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drawings/drawing33.xml" ContentType="application/vnd.openxmlformats-officedocument.drawing+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firstSheet="6" activeTab="20"/>
  </bookViews>
  <sheets>
    <sheet name="PT TAP CHAT" sheetId="112" r:id="rId1"/>
    <sheet name="MENU" sheetId="73" r:id="rId2"/>
    <sheet name="1" sheetId="98" r:id="rId3"/>
    <sheet name="2" sheetId="99" r:id="rId4"/>
    <sheet name="3" sheetId="100" r:id="rId5"/>
    <sheet name="4" sheetId="108" r:id="rId6"/>
    <sheet name="5" sheetId="101" r:id="rId7"/>
    <sheet name="6" sheetId="102" r:id="rId8"/>
    <sheet name="7" sheetId="104" r:id="rId9"/>
    <sheet name="8" sheetId="109" r:id="rId10"/>
    <sheet name="XM.HN" sheetId="7" r:id="rId11"/>
    <sheet name="XM.FILE GOC" sheetId="10" r:id="rId12"/>
    <sheet name="1. XL-1E kh" sheetId="46" r:id="rId13"/>
    <sheet name="2. XL-1F kh" sheetId="58" r:id="rId14"/>
    <sheet name="3.XT-C kh" sheetId="60" r:id="rId15"/>
    <sheet name="4.ZN-NI kh" sheetId="95" r:id="rId16"/>
    <sheet name="1. XL-1E TT" sheetId="61" r:id="rId17"/>
    <sheet name="1. XL-1E TT(CA2)" sheetId="113" r:id="rId18"/>
    <sheet name="2. XL-1F TT " sheetId="54" r:id="rId19"/>
    <sheet name="2. XL-1F TT(CA2)" sheetId="114" r:id="rId20"/>
    <sheet name="3.XT-C TT" sheetId="56" r:id="rId21"/>
    <sheet name="3.XT-C TT(CA2)" sheetId="115" r:id="rId22"/>
    <sheet name="4.ZN-NI tt(CA1)" sheetId="117" r:id="rId23"/>
    <sheet name="4.ZN-NI tt(CA2)" sheetId="118" r:id="rId24"/>
    <sheet name="4.ZN-NI tt" sheetId="96" r:id="rId25"/>
    <sheet name="XM.GUI MAIL" sheetId="24" r:id="rId26"/>
    <sheet name="XM.chart" sheetId="62" r:id="rId27"/>
    <sheet name="XM.chart 1" sheetId="69" r:id="rId28"/>
    <sheet name="BS-XT" sheetId="119" r:id="rId29"/>
    <sheet name="ED-XI DEN" sheetId="75" r:id="rId30"/>
    <sheet name="R.HN" sheetId="76" r:id="rId31"/>
    <sheet name="R.FILE GOC" sheetId="77" r:id="rId32"/>
    <sheet name="1.xi den" sheetId="78" r:id="rId33"/>
    <sheet name="2.RL E" sheetId="79" r:id="rId34"/>
    <sheet name="3.RL G" sheetId="80" r:id="rId35"/>
    <sheet name="4.RL F" sheetId="81" r:id="rId36"/>
    <sheet name="5.ML" sheetId="82" r:id="rId37"/>
    <sheet name="1.xi den TT" sheetId="83" r:id="rId38"/>
    <sheet name="2.RL E tt" sheetId="84" r:id="rId39"/>
    <sheet name="3.RL G tt" sheetId="85" r:id="rId40"/>
    <sheet name="4.RL F tt" sheetId="86" r:id="rId41"/>
    <sheet name="5.ML tt" sheetId="87" r:id="rId42"/>
    <sheet name="R.GUI MAIL" sheetId="88" r:id="rId43"/>
    <sheet name="RL-LINE" sheetId="89" r:id="rId44"/>
    <sheet name="RL.chart" sheetId="90" r:id="rId45"/>
    <sheet name="RL.chart1" sheetId="91" r:id="rId46"/>
    <sheet name="ACID Đ.VAO" sheetId="94" r:id="rId47"/>
    <sheet name="GHI CHU" sheetId="65" r:id="rId48"/>
    <sheet name="tg import" sheetId="110" r:id="rId49"/>
    <sheet name="IT.NONG DO" sheetId="74" r:id="rId50"/>
    <sheet name="IT.NHIET DO" sheetId="92" r:id="rId51"/>
  </sheets>
  <externalReferences>
    <externalReference r:id="rId52"/>
    <externalReference r:id="rId53"/>
    <externalReference r:id="rId54"/>
    <externalReference r:id="rId55"/>
    <externalReference r:id="rId56"/>
    <externalReference r:id="rId57"/>
  </externalReferences>
  <definedNames>
    <definedName name="_NEW2">[1]吊電B線入出料標準數據!$B$4:$P$4003</definedName>
    <definedName name="_XM_XT_THUCTE" localSheetId="28">'[2]XM.GUI MAIL'!$A$6:$AQ$108</definedName>
    <definedName name="_XM_XT_THUCTE">'XM.GUI MAIL'!$A$6:$AQ$108</definedName>
    <definedName name="AB" localSheetId="17">#REF!</definedName>
    <definedName name="AB" localSheetId="19">#REF!</definedName>
    <definedName name="AB" localSheetId="21">#REF!</definedName>
    <definedName name="AB" localSheetId="22">#REF!</definedName>
    <definedName name="AB" localSheetId="23">#REF!</definedName>
    <definedName name="AB" localSheetId="28">#REF!</definedName>
    <definedName name="AB">#REF!</definedName>
    <definedName name="abcd" localSheetId="2">#REF!</definedName>
    <definedName name="abcd" localSheetId="3">#REF!</definedName>
    <definedName name="abcd" localSheetId="4">#REF!</definedName>
    <definedName name="abcd" localSheetId="5">#REF!</definedName>
    <definedName name="abcd" localSheetId="15">#REF!</definedName>
    <definedName name="abcd" localSheetId="24">#REF!</definedName>
    <definedName name="abcd" localSheetId="22">#REF!</definedName>
    <definedName name="abcd" localSheetId="23">#REF!</definedName>
    <definedName name="abcd" localSheetId="6">#REF!</definedName>
    <definedName name="abcd" localSheetId="7">#REF!</definedName>
    <definedName name="abcd" localSheetId="8">#REF!</definedName>
    <definedName name="abcd" localSheetId="9">#REF!</definedName>
    <definedName name="CCC" localSheetId="17">#REF!</definedName>
    <definedName name="CCC" localSheetId="19">#REF!</definedName>
    <definedName name="CCC" localSheetId="21">#REF!</definedName>
    <definedName name="CCC" localSheetId="22">#REF!</definedName>
    <definedName name="CCC" localSheetId="23">#REF!</definedName>
    <definedName name="CCC" localSheetId="28">#REF!</definedName>
    <definedName name="CCC">#REF!</definedName>
    <definedName name="CXXTA" localSheetId="17">#REF!</definedName>
    <definedName name="CXXTA" localSheetId="19">#REF!</definedName>
    <definedName name="CXXTA" localSheetId="21">#REF!</definedName>
    <definedName name="CXXTA" localSheetId="22">#REF!</definedName>
    <definedName name="CXXTA" localSheetId="23">#REF!</definedName>
    <definedName name="CXXTA" localSheetId="28">#REF!</definedName>
    <definedName name="CXXTA">#REF!</definedName>
    <definedName name="CXXTB">[1]吊電B線入出料標準數據!$B$3:$P$428</definedName>
    <definedName name="HUANGHAIDONGA" localSheetId="17">#REF!</definedName>
    <definedName name="HUANGHAIDONGA" localSheetId="19">#REF!</definedName>
    <definedName name="HUANGHAIDONGA" localSheetId="21">#REF!</definedName>
    <definedName name="HUANGHAIDONGA" localSheetId="22">#REF!</definedName>
    <definedName name="HUANGHAIDONGA" localSheetId="23">#REF!</definedName>
    <definedName name="HUANGHAIDONGA" localSheetId="28">#REF!</definedName>
    <definedName name="HUANGHAIDONGA">#REF!</definedName>
    <definedName name="HUANGHAIDONGB">[1]吊電B線入出料標準數據!$A$3:$P$428</definedName>
    <definedName name="PartNo">[3]All!$B$5:$Q$65536</definedName>
    <definedName name="_xlnm.Print_Area" localSheetId="12">'1. XL-1E kh'!$A$1:$AG$75</definedName>
    <definedName name="_xlnm.Print_Area" localSheetId="32">'1.xi den'!$A$1:$P$34</definedName>
    <definedName name="_xlnm.Print_Area" localSheetId="37">'1.xi den TT'!$A$1:$P$34</definedName>
    <definedName name="_xlnm.Print_Area" localSheetId="13">'2. XL-1F kh'!$A$1:$AG$71</definedName>
    <definedName name="_xlnm.Print_Area" localSheetId="33">'2.RL E'!$A$1:$S$42</definedName>
    <definedName name="_xlnm.Print_Area" localSheetId="38">'2.RL E tt'!$A$1:$S$44</definedName>
    <definedName name="_xlnm.Print_Area" localSheetId="34">'3.RL G'!$A$1:$Q$35</definedName>
    <definedName name="_xlnm.Print_Area" localSheetId="39">'3.RL G tt'!$A$1:$Q$35</definedName>
    <definedName name="_xlnm.Print_Area" localSheetId="14">'3.XT-C kh'!$A$1:$AG$75</definedName>
    <definedName name="_xlnm.Print_Area" localSheetId="35">'4.RL F'!$A$1:$R$42</definedName>
    <definedName name="_xlnm.Print_Area" localSheetId="40">'4.RL F tt'!$A$1:$R$44</definedName>
    <definedName name="_xlnm.Print_Area" localSheetId="15">'4.ZN-NI kh'!$A$1:$Q$69</definedName>
    <definedName name="_xlnm.Print_Area" localSheetId="24">'4.ZN-NI tt'!$A$1:$Q$67</definedName>
    <definedName name="_xlnm.Print_Area" localSheetId="22">'4.ZN-NI tt(CA1)'!$A$1:$R$14</definedName>
    <definedName name="_xlnm.Print_Area" localSheetId="23">'4.ZN-NI tt(CA2)'!$A$1:$R$13</definedName>
    <definedName name="_xlnm.Print_Area" localSheetId="36">'5.ML'!$A$1:$R$33</definedName>
    <definedName name="_xlnm.Print_Area" localSheetId="41">'5.ML tt'!$A$1:$R$33</definedName>
    <definedName name="_xlnm.Print_Area" localSheetId="46">'ACID Đ.VAO'!$C$1:$I$8</definedName>
    <definedName name="_xlnm.Print_Area" localSheetId="0">'PT TAP CHAT'!$B$1:$G$73</definedName>
    <definedName name="RLMLXD" localSheetId="28">'[2]R.GUI MAIL'!$A$6:$AQ$114</definedName>
    <definedName name="RLMLXD">'R.GUI MAIL'!$A$6:$AQ$114</definedName>
    <definedName name="sss">'[4]附表-01'!$A$2:$L$1662</definedName>
    <definedName name="WUJIWEI" localSheetId="17">#REF!</definedName>
    <definedName name="WUJIWEI" localSheetId="19">#REF!</definedName>
    <definedName name="WUJIWEI" localSheetId="21">#REF!</definedName>
    <definedName name="WUJIWEI" localSheetId="22">#REF!</definedName>
    <definedName name="WUJIWEI" localSheetId="23">#REF!</definedName>
    <definedName name="WUJIWEI" localSheetId="28">#REF!</definedName>
    <definedName name="WUJIWEI">#REF!</definedName>
    <definedName name="XTB123" localSheetId="17">[5]輸入!#REF!</definedName>
    <definedName name="XTB123" localSheetId="19">[5]輸入!#REF!</definedName>
    <definedName name="XTB123" localSheetId="21">[5]輸入!#REF!</definedName>
    <definedName name="XTB123" localSheetId="22">[5]輸入!#REF!</definedName>
    <definedName name="XTB123" localSheetId="23">[5]輸入!#REF!</definedName>
    <definedName name="XTB123" localSheetId="28">[5]輸入!#REF!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O41" i="89"/>
  <c r="AP98" i="24"/>
  <c r="AL7" i="119"/>
  <c r="AM7"/>
  <c r="AL8"/>
  <c r="AM8"/>
  <c r="AL9"/>
  <c r="AM9"/>
  <c r="AL10"/>
  <c r="AM10"/>
  <c r="AL11"/>
  <c r="AM11"/>
  <c r="AL12"/>
  <c r="AM12"/>
  <c r="AL13"/>
  <c r="AM13"/>
  <c r="AL14"/>
  <c r="AM14"/>
  <c r="AL15"/>
  <c r="AM15"/>
  <c r="AL16"/>
  <c r="AM16"/>
  <c r="AL17"/>
  <c r="AM17"/>
  <c r="AL18"/>
  <c r="AM18"/>
  <c r="AL19"/>
  <c r="AM19"/>
  <c r="AL20"/>
  <c r="AM20"/>
  <c r="AL21"/>
  <c r="AM21"/>
  <c r="AL22"/>
  <c r="AM22"/>
  <c r="AL23"/>
  <c r="AM23"/>
  <c r="AL24"/>
  <c r="AM24"/>
  <c r="AL25"/>
  <c r="AM25"/>
  <c r="AM6"/>
  <c r="AL6"/>
  <c r="B3"/>
  <c r="O112" i="89"/>
  <c r="O125"/>
  <c r="I8"/>
  <c r="L101" i="24"/>
  <c r="I101"/>
  <c r="D64" i="69"/>
  <c r="E64"/>
  <c r="F64"/>
  <c r="G64"/>
  <c r="H64"/>
  <c r="I64"/>
  <c r="I147" l="1"/>
  <c r="I148"/>
  <c r="I149"/>
  <c r="I150"/>
  <c r="I151"/>
  <c r="I152"/>
  <c r="I153"/>
  <c r="I154"/>
  <c r="I155"/>
  <c r="I156"/>
  <c r="I157"/>
  <c r="I158"/>
  <c r="I159"/>
  <c r="I160"/>
  <c r="I161"/>
  <c r="I146"/>
  <c r="H147"/>
  <c r="H148"/>
  <c r="H149"/>
  <c r="H150"/>
  <c r="H151"/>
  <c r="H152"/>
  <c r="H153"/>
  <c r="H154"/>
  <c r="H155"/>
  <c r="H156"/>
  <c r="H157"/>
  <c r="H158"/>
  <c r="H159"/>
  <c r="H160"/>
  <c r="H161"/>
  <c r="H146"/>
  <c r="G147"/>
  <c r="G148"/>
  <c r="G149"/>
  <c r="G150"/>
  <c r="G151"/>
  <c r="G152"/>
  <c r="G153"/>
  <c r="G154"/>
  <c r="G155"/>
  <c r="G156"/>
  <c r="G157"/>
  <c r="G158"/>
  <c r="G159"/>
  <c r="G160"/>
  <c r="G161"/>
  <c r="G146"/>
  <c r="I143"/>
  <c r="I142"/>
  <c r="H143"/>
  <c r="H142"/>
  <c r="G143"/>
  <c r="G142"/>
  <c r="H139"/>
  <c r="G139"/>
  <c r="I133"/>
  <c r="I134"/>
  <c r="I135"/>
  <c r="I136"/>
  <c r="I137"/>
  <c r="I138"/>
  <c r="I132"/>
  <c r="H133"/>
  <c r="H134"/>
  <c r="H135"/>
  <c r="H136"/>
  <c r="H137"/>
  <c r="H138"/>
  <c r="H132"/>
  <c r="G133"/>
  <c r="G134"/>
  <c r="G135"/>
  <c r="G136"/>
  <c r="G137"/>
  <c r="G138"/>
  <c r="G132"/>
  <c r="I115"/>
  <c r="I116"/>
  <c r="I117"/>
  <c r="I118"/>
  <c r="I119"/>
  <c r="I120"/>
  <c r="I121"/>
  <c r="I122"/>
  <c r="I123"/>
  <c r="I124"/>
  <c r="I125"/>
  <c r="I126"/>
  <c r="I127"/>
  <c r="I128"/>
  <c r="I129"/>
  <c r="I114"/>
  <c r="H115"/>
  <c r="H116"/>
  <c r="H117"/>
  <c r="H118"/>
  <c r="H119"/>
  <c r="H120"/>
  <c r="H121"/>
  <c r="H122"/>
  <c r="H123"/>
  <c r="H124"/>
  <c r="H125"/>
  <c r="H126"/>
  <c r="H127"/>
  <c r="H128"/>
  <c r="H129"/>
  <c r="H114"/>
  <c r="G115"/>
  <c r="G116"/>
  <c r="G117"/>
  <c r="G118"/>
  <c r="G119"/>
  <c r="G120"/>
  <c r="G121"/>
  <c r="G122"/>
  <c r="G123"/>
  <c r="G124"/>
  <c r="G125"/>
  <c r="G126"/>
  <c r="G127"/>
  <c r="G128"/>
  <c r="G129"/>
  <c r="G114"/>
  <c r="I94"/>
  <c r="I95"/>
  <c r="I96"/>
  <c r="I97"/>
  <c r="I98"/>
  <c r="I99"/>
  <c r="I100"/>
  <c r="I101"/>
  <c r="I102"/>
  <c r="I103"/>
  <c r="I104"/>
  <c r="I105"/>
  <c r="I106"/>
  <c r="I108"/>
  <c r="I93"/>
  <c r="H94"/>
  <c r="H95"/>
  <c r="H96"/>
  <c r="H97"/>
  <c r="H98"/>
  <c r="H99"/>
  <c r="H100"/>
  <c r="H101"/>
  <c r="H102"/>
  <c r="H103"/>
  <c r="H104"/>
  <c r="H105"/>
  <c r="H106"/>
  <c r="H108"/>
  <c r="H93"/>
  <c r="G94"/>
  <c r="G95"/>
  <c r="G96"/>
  <c r="G97"/>
  <c r="G98"/>
  <c r="G99"/>
  <c r="G100"/>
  <c r="G101"/>
  <c r="G102"/>
  <c r="G103"/>
  <c r="G104"/>
  <c r="G105"/>
  <c r="G106"/>
  <c r="G108"/>
  <c r="G93"/>
  <c r="I90"/>
  <c r="I89"/>
  <c r="H90"/>
  <c r="H89"/>
  <c r="G90"/>
  <c r="G89"/>
  <c r="I86"/>
  <c r="H86"/>
  <c r="G86"/>
  <c r="I80"/>
  <c r="I81"/>
  <c r="I82"/>
  <c r="I83"/>
  <c r="I84"/>
  <c r="I85"/>
  <c r="I79"/>
  <c r="H80"/>
  <c r="H81"/>
  <c r="H82"/>
  <c r="H83"/>
  <c r="H84"/>
  <c r="H85"/>
  <c r="H79"/>
  <c r="G80"/>
  <c r="G81"/>
  <c r="G82"/>
  <c r="G83"/>
  <c r="G84"/>
  <c r="G85"/>
  <c r="G79"/>
  <c r="I62"/>
  <c r="I63"/>
  <c r="I65"/>
  <c r="I66"/>
  <c r="I67"/>
  <c r="I68"/>
  <c r="I69"/>
  <c r="I70"/>
  <c r="I71"/>
  <c r="I72"/>
  <c r="I73"/>
  <c r="I74"/>
  <c r="I76"/>
  <c r="I61"/>
  <c r="H62"/>
  <c r="H63"/>
  <c r="H65"/>
  <c r="H66"/>
  <c r="H67"/>
  <c r="H68"/>
  <c r="H69"/>
  <c r="H70"/>
  <c r="H71"/>
  <c r="H72"/>
  <c r="H73"/>
  <c r="H74"/>
  <c r="H76"/>
  <c r="H61"/>
  <c r="G62"/>
  <c r="G63"/>
  <c r="G65"/>
  <c r="G66"/>
  <c r="G67"/>
  <c r="G68"/>
  <c r="G69"/>
  <c r="G70"/>
  <c r="G71"/>
  <c r="G72"/>
  <c r="G73"/>
  <c r="G74"/>
  <c r="G76"/>
  <c r="G61"/>
  <c r="H40"/>
  <c r="H41"/>
  <c r="H42"/>
  <c r="H43"/>
  <c r="H44"/>
  <c r="H45"/>
  <c r="H46"/>
  <c r="H47"/>
  <c r="H48"/>
  <c r="H49"/>
  <c r="H50"/>
  <c r="H51"/>
  <c r="H52"/>
  <c r="H53"/>
  <c r="H54"/>
  <c r="H55"/>
  <c r="H56"/>
  <c r="H39"/>
  <c r="I40"/>
  <c r="I41"/>
  <c r="I42"/>
  <c r="I43"/>
  <c r="I44"/>
  <c r="I45"/>
  <c r="I46"/>
  <c r="I47"/>
  <c r="I48"/>
  <c r="I49"/>
  <c r="I50"/>
  <c r="I51"/>
  <c r="I52"/>
  <c r="I53"/>
  <c r="I54"/>
  <c r="I55"/>
  <c r="I56"/>
  <c r="I39"/>
  <c r="G40"/>
  <c r="G41"/>
  <c r="G42"/>
  <c r="G43"/>
  <c r="G44"/>
  <c r="G45"/>
  <c r="G46"/>
  <c r="G47"/>
  <c r="G48"/>
  <c r="G49"/>
  <c r="G50"/>
  <c r="G51"/>
  <c r="G52"/>
  <c r="G53"/>
  <c r="G54"/>
  <c r="G55"/>
  <c r="G56"/>
  <c r="G39"/>
  <c r="I36"/>
  <c r="I35"/>
  <c r="H36"/>
  <c r="H35"/>
  <c r="G36"/>
  <c r="G35"/>
  <c r="H32"/>
  <c r="I32"/>
  <c r="G32"/>
  <c r="I26"/>
  <c r="I27"/>
  <c r="I28"/>
  <c r="I29"/>
  <c r="I30"/>
  <c r="I31"/>
  <c r="I25"/>
  <c r="H26"/>
  <c r="H27"/>
  <c r="H28"/>
  <c r="H29"/>
  <c r="H30"/>
  <c r="H31"/>
  <c r="H25"/>
  <c r="G26"/>
  <c r="G27"/>
  <c r="G28"/>
  <c r="G29"/>
  <c r="G30"/>
  <c r="G31"/>
  <c r="G25"/>
  <c r="I6"/>
  <c r="I7"/>
  <c r="I8"/>
  <c r="I9"/>
  <c r="I10"/>
  <c r="I11"/>
  <c r="I12"/>
  <c r="I13"/>
  <c r="I14"/>
  <c r="I15"/>
  <c r="I16"/>
  <c r="I17"/>
  <c r="I18"/>
  <c r="I19"/>
  <c r="I20"/>
  <c r="I21"/>
  <c r="I22"/>
  <c r="I5"/>
  <c r="H6"/>
  <c r="H7"/>
  <c r="H8"/>
  <c r="H9"/>
  <c r="H10"/>
  <c r="H11"/>
  <c r="H12"/>
  <c r="H13"/>
  <c r="H14"/>
  <c r="H15"/>
  <c r="H16"/>
  <c r="H17"/>
  <c r="H18"/>
  <c r="H19"/>
  <c r="H20"/>
  <c r="H21"/>
  <c r="H22"/>
  <c r="H5"/>
  <c r="G6"/>
  <c r="G7"/>
  <c r="G8"/>
  <c r="G9"/>
  <c r="G10"/>
  <c r="G11"/>
  <c r="G12"/>
  <c r="G13"/>
  <c r="G14"/>
  <c r="G15"/>
  <c r="G16"/>
  <c r="G17"/>
  <c r="G18"/>
  <c r="G19"/>
  <c r="G20"/>
  <c r="G21"/>
  <c r="G22"/>
  <c r="G5"/>
  <c r="K16" i="61"/>
  <c r="I74" i="24"/>
  <c r="AP74"/>
  <c r="AJ74"/>
  <c r="AD74"/>
  <c r="X74"/>
  <c r="R74"/>
  <c r="AP43"/>
  <c r="AJ43"/>
  <c r="AD43"/>
  <c r="X43"/>
  <c r="R43"/>
  <c r="L43"/>
  <c r="I42" i="89"/>
  <c r="I21"/>
  <c r="Q98" i="88"/>
  <c r="Q96"/>
  <c r="Q94"/>
  <c r="Q92"/>
  <c r="Q91"/>
  <c r="Q90"/>
  <c r="Q89"/>
  <c r="K98"/>
  <c r="K96"/>
  <c r="K94"/>
  <c r="K92"/>
  <c r="K91"/>
  <c r="K90"/>
  <c r="K89"/>
  <c r="Q63"/>
  <c r="K63"/>
  <c r="Q62"/>
  <c r="K62"/>
  <c r="Q59"/>
  <c r="Q58"/>
  <c r="Q57"/>
  <c r="K59"/>
  <c r="K58"/>
  <c r="K57"/>
  <c r="Q61"/>
  <c r="K61"/>
  <c r="H61"/>
  <c r="K14"/>
  <c r="AO30"/>
  <c r="AI30"/>
  <c r="AC30"/>
  <c r="W30"/>
  <c r="Q30"/>
  <c r="AO46"/>
  <c r="AI46"/>
  <c r="AC46"/>
  <c r="W46"/>
  <c r="Q46"/>
  <c r="K46"/>
  <c r="AO44"/>
  <c r="AO43"/>
  <c r="AO42"/>
  <c r="AO41"/>
  <c r="AI44"/>
  <c r="AI43"/>
  <c r="AI42"/>
  <c r="AI41"/>
  <c r="AC44"/>
  <c r="AC43"/>
  <c r="AC42"/>
  <c r="AC41"/>
  <c r="W44"/>
  <c r="W43"/>
  <c r="W42"/>
  <c r="W41"/>
  <c r="Q44"/>
  <c r="Q43"/>
  <c r="Q42"/>
  <c r="Q41"/>
  <c r="K44"/>
  <c r="K43"/>
  <c r="K42"/>
  <c r="K41"/>
  <c r="AO28"/>
  <c r="AO27"/>
  <c r="AO26"/>
  <c r="AO25"/>
  <c r="AI28"/>
  <c r="AI27"/>
  <c r="AI26"/>
  <c r="AI25"/>
  <c r="AC28"/>
  <c r="AC27"/>
  <c r="AC26"/>
  <c r="AC25"/>
  <c r="W28"/>
  <c r="W27"/>
  <c r="W26"/>
  <c r="W25"/>
  <c r="Q28"/>
  <c r="Q27"/>
  <c r="Q26"/>
  <c r="Q25"/>
  <c r="H13"/>
  <c r="H14"/>
  <c r="H9"/>
  <c r="AO14"/>
  <c r="AO12"/>
  <c r="AO11"/>
  <c r="AO9"/>
  <c r="AO8"/>
  <c r="AO7"/>
  <c r="AO6"/>
  <c r="AI14"/>
  <c r="AI12"/>
  <c r="AI11"/>
  <c r="AI9"/>
  <c r="AI8"/>
  <c r="AI7"/>
  <c r="AI6"/>
  <c r="AC14"/>
  <c r="AC12"/>
  <c r="AC11"/>
  <c r="AC9"/>
  <c r="AC8"/>
  <c r="AC7"/>
  <c r="AC6"/>
  <c r="W14"/>
  <c r="W12"/>
  <c r="W11"/>
  <c r="W9"/>
  <c r="W8"/>
  <c r="W7"/>
  <c r="W6"/>
  <c r="Q14"/>
  <c r="Q12"/>
  <c r="Q11"/>
  <c r="Q9"/>
  <c r="Q8"/>
  <c r="Q7"/>
  <c r="Q6"/>
  <c r="K6"/>
  <c r="K11"/>
  <c r="K12"/>
  <c r="K8"/>
  <c r="H6"/>
  <c r="H10"/>
  <c r="I107" i="24"/>
  <c r="L10"/>
  <c r="I36" i="54"/>
  <c r="I38" i="113"/>
  <c r="I38" i="61"/>
  <c r="AP79" i="24"/>
  <c r="AP78"/>
  <c r="AP77"/>
  <c r="AP76"/>
  <c r="AP75"/>
  <c r="AP73"/>
  <c r="AP72"/>
  <c r="AP71"/>
  <c r="AP70"/>
  <c r="AP69"/>
  <c r="AP68"/>
  <c r="AJ79"/>
  <c r="AJ78"/>
  <c r="AJ77"/>
  <c r="AJ76"/>
  <c r="AJ75"/>
  <c r="AJ73"/>
  <c r="AJ72"/>
  <c r="AJ71"/>
  <c r="AJ70"/>
  <c r="AJ69"/>
  <c r="AJ68"/>
  <c r="AD79"/>
  <c r="AD78"/>
  <c r="AD77"/>
  <c r="AD76"/>
  <c r="AD75"/>
  <c r="AD73"/>
  <c r="AD72"/>
  <c r="AD71"/>
  <c r="AD70"/>
  <c r="AD69"/>
  <c r="AD68"/>
  <c r="X79"/>
  <c r="X78"/>
  <c r="X77"/>
  <c r="X76"/>
  <c r="X75"/>
  <c r="X73"/>
  <c r="X72"/>
  <c r="X71"/>
  <c r="X70"/>
  <c r="X69"/>
  <c r="X68"/>
  <c r="R79"/>
  <c r="R78"/>
  <c r="R77"/>
  <c r="R76"/>
  <c r="R75"/>
  <c r="R73"/>
  <c r="R72"/>
  <c r="R71"/>
  <c r="R70"/>
  <c r="R69"/>
  <c r="R68"/>
  <c r="L79"/>
  <c r="L77"/>
  <c r="L75"/>
  <c r="L71"/>
  <c r="L69"/>
  <c r="L37"/>
  <c r="AP48"/>
  <c r="AP47"/>
  <c r="AP46"/>
  <c r="AP45"/>
  <c r="AP42"/>
  <c r="AP41"/>
  <c r="AP40"/>
  <c r="AP39"/>
  <c r="AP38"/>
  <c r="AP37"/>
  <c r="AJ48"/>
  <c r="AJ47"/>
  <c r="AJ46"/>
  <c r="AJ45"/>
  <c r="AJ42"/>
  <c r="AJ41"/>
  <c r="AJ40"/>
  <c r="AJ39"/>
  <c r="AJ38"/>
  <c r="AJ37"/>
  <c r="AD48"/>
  <c r="AD47"/>
  <c r="AD46"/>
  <c r="AD45"/>
  <c r="AD42"/>
  <c r="AD41"/>
  <c r="AD40"/>
  <c r="AD39"/>
  <c r="AD38"/>
  <c r="AD37"/>
  <c r="X48"/>
  <c r="X47"/>
  <c r="X46"/>
  <c r="X45"/>
  <c r="X42"/>
  <c r="X41"/>
  <c r="X40"/>
  <c r="X39"/>
  <c r="X38"/>
  <c r="X37"/>
  <c r="R48"/>
  <c r="R47"/>
  <c r="R46"/>
  <c r="R45"/>
  <c r="R42"/>
  <c r="R41"/>
  <c r="R40"/>
  <c r="R39"/>
  <c r="R38"/>
  <c r="R37"/>
  <c r="L48"/>
  <c r="L47"/>
  <c r="L46"/>
  <c r="L45"/>
  <c r="L42"/>
  <c r="L41"/>
  <c r="L40"/>
  <c r="L39"/>
  <c r="L38"/>
  <c r="AP17"/>
  <c r="AP16"/>
  <c r="AP15"/>
  <c r="AP14"/>
  <c r="AP12"/>
  <c r="AP11"/>
  <c r="AP10"/>
  <c r="AP9"/>
  <c r="AP8"/>
  <c r="AP7"/>
  <c r="AP6"/>
  <c r="AJ17"/>
  <c r="AJ16"/>
  <c r="AJ15"/>
  <c r="AJ14"/>
  <c r="AJ12"/>
  <c r="AJ11"/>
  <c r="AJ10"/>
  <c r="AJ9"/>
  <c r="AJ8"/>
  <c r="AJ7"/>
  <c r="AJ6"/>
  <c r="AD17"/>
  <c r="K23" i="113" s="1"/>
  <c r="AD16" i="24"/>
  <c r="AD15"/>
  <c r="K21" i="113" s="1"/>
  <c r="AD14" i="24"/>
  <c r="AD12"/>
  <c r="K18" i="113" s="1"/>
  <c r="AD11" i="24"/>
  <c r="AD10"/>
  <c r="K16" i="113" s="1"/>
  <c r="AD9" i="24"/>
  <c r="AD8"/>
  <c r="K12" i="113" s="1"/>
  <c r="K13" s="1"/>
  <c r="AD7" i="24"/>
  <c r="AD6"/>
  <c r="X17"/>
  <c r="X16"/>
  <c r="X15"/>
  <c r="X14"/>
  <c r="X12"/>
  <c r="X11"/>
  <c r="X10"/>
  <c r="X9"/>
  <c r="X8"/>
  <c r="X7"/>
  <c r="X6"/>
  <c r="R17"/>
  <c r="R16"/>
  <c r="R15"/>
  <c r="R14"/>
  <c r="R12"/>
  <c r="R11"/>
  <c r="R10"/>
  <c r="R9"/>
  <c r="R8"/>
  <c r="R7"/>
  <c r="R6"/>
  <c r="L17"/>
  <c r="L9"/>
  <c r="I6"/>
  <c r="I17"/>
  <c r="I16"/>
  <c r="I10"/>
  <c r="L7"/>
  <c r="L8"/>
  <c r="L11"/>
  <c r="L12"/>
  <c r="L14"/>
  <c r="L15"/>
  <c r="O13" i="118"/>
  <c r="M13"/>
  <c r="K13"/>
  <c r="I13"/>
  <c r="H13"/>
  <c r="G13"/>
  <c r="O12"/>
  <c r="M12"/>
  <c r="K12"/>
  <c r="I12"/>
  <c r="H12"/>
  <c r="G12"/>
  <c r="O11"/>
  <c r="M11"/>
  <c r="K11"/>
  <c r="I11"/>
  <c r="H11"/>
  <c r="G11"/>
  <c r="H8"/>
  <c r="G8"/>
  <c r="H7"/>
  <c r="G7"/>
  <c r="H6"/>
  <c r="G6"/>
  <c r="O13" i="117"/>
  <c r="M13"/>
  <c r="K13"/>
  <c r="I13"/>
  <c r="H13"/>
  <c r="G13"/>
  <c r="O12"/>
  <c r="M12"/>
  <c r="K12"/>
  <c r="I12"/>
  <c r="H12"/>
  <c r="G12"/>
  <c r="O11"/>
  <c r="M11"/>
  <c r="K11"/>
  <c r="I11"/>
  <c r="H11"/>
  <c r="G11"/>
  <c r="H8"/>
  <c r="G8"/>
  <c r="H7"/>
  <c r="G7"/>
  <c r="H6"/>
  <c r="G6"/>
  <c r="G30" i="56"/>
  <c r="G29"/>
  <c r="M56" i="96"/>
  <c r="M55"/>
  <c r="M54"/>
  <c r="M53"/>
  <c r="I56"/>
  <c r="I55"/>
  <c r="I54"/>
  <c r="I53"/>
  <c r="M46"/>
  <c r="M44"/>
  <c r="M42"/>
  <c r="M40"/>
  <c r="I46"/>
  <c r="I44"/>
  <c r="I42"/>
  <c r="I40"/>
  <c r="Q41" i="115"/>
  <c r="M41"/>
  <c r="I41"/>
  <c r="H41"/>
  <c r="G41"/>
  <c r="Q40"/>
  <c r="M40"/>
  <c r="I40"/>
  <c r="H40"/>
  <c r="G40"/>
  <c r="S37"/>
  <c r="Q37"/>
  <c r="O37"/>
  <c r="M37"/>
  <c r="K37"/>
  <c r="I37"/>
  <c r="G37"/>
  <c r="S36"/>
  <c r="Q36"/>
  <c r="K36"/>
  <c r="I36"/>
  <c r="H36"/>
  <c r="G36"/>
  <c r="S35"/>
  <c r="O67" i="96" s="1"/>
  <c r="H35" i="115"/>
  <c r="G35"/>
  <c r="H34"/>
  <c r="G34"/>
  <c r="H33"/>
  <c r="G33"/>
  <c r="H32"/>
  <c r="G32"/>
  <c r="H31"/>
  <c r="G31"/>
  <c r="H30"/>
  <c r="G30"/>
  <c r="H29"/>
  <c r="G29"/>
  <c r="H28"/>
  <c r="G28"/>
  <c r="Q25"/>
  <c r="M25"/>
  <c r="I25"/>
  <c r="G25"/>
  <c r="S24"/>
  <c r="Q24"/>
  <c r="O24"/>
  <c r="M24"/>
  <c r="K24"/>
  <c r="I24"/>
  <c r="G24"/>
  <c r="S23"/>
  <c r="Q23"/>
  <c r="O23"/>
  <c r="M23"/>
  <c r="K23"/>
  <c r="I23"/>
  <c r="H23"/>
  <c r="G23"/>
  <c r="S22"/>
  <c r="Q22"/>
  <c r="O22"/>
  <c r="M22"/>
  <c r="K22"/>
  <c r="I22"/>
  <c r="H22"/>
  <c r="G22"/>
  <c r="S21"/>
  <c r="O56" i="96" s="1"/>
  <c r="Q21" i="115"/>
  <c r="O21"/>
  <c r="M21"/>
  <c r="K21"/>
  <c r="K56" i="96" s="1"/>
  <c r="I21" i="115"/>
  <c r="H21"/>
  <c r="G21"/>
  <c r="S20"/>
  <c r="O55" i="96" s="1"/>
  <c r="Q20" i="115"/>
  <c r="O20"/>
  <c r="M20"/>
  <c r="K20"/>
  <c r="K55" i="96" s="1"/>
  <c r="I20" i="115"/>
  <c r="H20"/>
  <c r="G20"/>
  <c r="S19"/>
  <c r="O54" i="96" s="1"/>
  <c r="Q19" i="115"/>
  <c r="O19"/>
  <c r="M19"/>
  <c r="K19"/>
  <c r="K54" i="96" s="1"/>
  <c r="I19" i="115"/>
  <c r="H19"/>
  <c r="G19"/>
  <c r="S18"/>
  <c r="O53" i="96" s="1"/>
  <c r="Q18" i="115"/>
  <c r="O18"/>
  <c r="M18"/>
  <c r="K18"/>
  <c r="K53" i="96" s="1"/>
  <c r="I18" i="115"/>
  <c r="H18"/>
  <c r="G18"/>
  <c r="Q17"/>
  <c r="M17"/>
  <c r="I17"/>
  <c r="H17"/>
  <c r="G17"/>
  <c r="S16"/>
  <c r="Q16"/>
  <c r="O16"/>
  <c r="M16"/>
  <c r="K16"/>
  <c r="I16"/>
  <c r="H16"/>
  <c r="G16"/>
  <c r="S15"/>
  <c r="Q15"/>
  <c r="O15"/>
  <c r="M15"/>
  <c r="K15"/>
  <c r="I15"/>
  <c r="H15"/>
  <c r="G15"/>
  <c r="S14"/>
  <c r="Q14"/>
  <c r="O14"/>
  <c r="M14"/>
  <c r="K14"/>
  <c r="I14"/>
  <c r="H14"/>
  <c r="G14"/>
  <c r="S12"/>
  <c r="S13" s="1"/>
  <c r="O47" i="96" s="1"/>
  <c r="Q12" i="115"/>
  <c r="O12"/>
  <c r="O13" s="1"/>
  <c r="M12"/>
  <c r="K12"/>
  <c r="K13" s="1"/>
  <c r="K47" i="96" s="1"/>
  <c r="I12" i="115"/>
  <c r="H12"/>
  <c r="G12"/>
  <c r="S10"/>
  <c r="S11" s="1"/>
  <c r="O45" i="96" s="1"/>
  <c r="Q10" i="115"/>
  <c r="O10"/>
  <c r="O11" s="1"/>
  <c r="M10"/>
  <c r="K10"/>
  <c r="K11" s="1"/>
  <c r="K45" i="96" s="1"/>
  <c r="I10" i="115"/>
  <c r="H10"/>
  <c r="G10"/>
  <c r="S8"/>
  <c r="S9" s="1"/>
  <c r="O43" i="96" s="1"/>
  <c r="Q8" i="115"/>
  <c r="O8"/>
  <c r="O9" s="1"/>
  <c r="M8"/>
  <c r="K8"/>
  <c r="K9" s="1"/>
  <c r="K43" i="96" s="1"/>
  <c r="I8" i="115"/>
  <c r="H8"/>
  <c r="G8"/>
  <c r="S6"/>
  <c r="S7" s="1"/>
  <c r="O41" i="96" s="1"/>
  <c r="Q6" i="115"/>
  <c r="O6"/>
  <c r="O7" s="1"/>
  <c r="M6"/>
  <c r="K6"/>
  <c r="K7" s="1"/>
  <c r="K41" i="96" s="1"/>
  <c r="I6" i="115"/>
  <c r="H6"/>
  <c r="G6"/>
  <c r="S3"/>
  <c r="Q3" i="118" s="1"/>
  <c r="Q37" i="114"/>
  <c r="M37"/>
  <c r="I37"/>
  <c r="H37"/>
  <c r="G37"/>
  <c r="Q36"/>
  <c r="M36"/>
  <c r="I36"/>
  <c r="H36"/>
  <c r="G36"/>
  <c r="S33"/>
  <c r="O33"/>
  <c r="K33"/>
  <c r="H33"/>
  <c r="G33"/>
  <c r="S32"/>
  <c r="Q32"/>
  <c r="O32"/>
  <c r="M32"/>
  <c r="K32"/>
  <c r="I32"/>
  <c r="H32"/>
  <c r="G32"/>
  <c r="S31"/>
  <c r="Q31"/>
  <c r="O31"/>
  <c r="M31"/>
  <c r="K31"/>
  <c r="I31"/>
  <c r="H31"/>
  <c r="G31"/>
  <c r="S30"/>
  <c r="Q30"/>
  <c r="O30"/>
  <c r="M30"/>
  <c r="K30"/>
  <c r="I30"/>
  <c r="H30"/>
  <c r="G30"/>
  <c r="S29"/>
  <c r="Q29"/>
  <c r="O29"/>
  <c r="M29"/>
  <c r="K29"/>
  <c r="I29"/>
  <c r="H29"/>
  <c r="G29"/>
  <c r="S28"/>
  <c r="Q28"/>
  <c r="O28"/>
  <c r="M28"/>
  <c r="K28"/>
  <c r="I28"/>
  <c r="H28"/>
  <c r="G28"/>
  <c r="S27"/>
  <c r="Q27"/>
  <c r="O27"/>
  <c r="M27"/>
  <c r="K27"/>
  <c r="I27"/>
  <c r="H27"/>
  <c r="G27"/>
  <c r="S26"/>
  <c r="Q26"/>
  <c r="O26"/>
  <c r="M26"/>
  <c r="K26"/>
  <c r="I26"/>
  <c r="H26"/>
  <c r="G26"/>
  <c r="S23"/>
  <c r="Q23"/>
  <c r="O23"/>
  <c r="M23"/>
  <c r="K23"/>
  <c r="I23"/>
  <c r="H23"/>
  <c r="G23"/>
  <c r="S22"/>
  <c r="Q22"/>
  <c r="O22"/>
  <c r="M22"/>
  <c r="K22"/>
  <c r="I22"/>
  <c r="H22"/>
  <c r="G22"/>
  <c r="S21"/>
  <c r="Q21"/>
  <c r="O21"/>
  <c r="M21"/>
  <c r="K21"/>
  <c r="I21"/>
  <c r="H21"/>
  <c r="G21"/>
  <c r="S20"/>
  <c r="I107" i="69" s="1"/>
  <c r="Q20" i="114"/>
  <c r="I75" i="69" s="1"/>
  <c r="O20" i="114"/>
  <c r="H107" i="69" s="1"/>
  <c r="M20" i="114"/>
  <c r="H75" i="69" s="1"/>
  <c r="K20" i="114"/>
  <c r="G107" i="69" s="1"/>
  <c r="I20" i="114"/>
  <c r="G75" i="69" s="1"/>
  <c r="H20" i="114"/>
  <c r="G20"/>
  <c r="S19"/>
  <c r="Q19"/>
  <c r="O19"/>
  <c r="M19"/>
  <c r="K19"/>
  <c r="I19"/>
  <c r="H19"/>
  <c r="G19"/>
  <c r="S18"/>
  <c r="Q18"/>
  <c r="O18"/>
  <c r="M18"/>
  <c r="K18"/>
  <c r="I18"/>
  <c r="H18"/>
  <c r="G18"/>
  <c r="S17"/>
  <c r="Q17"/>
  <c r="O17"/>
  <c r="M17"/>
  <c r="K17"/>
  <c r="I17"/>
  <c r="H17"/>
  <c r="G17"/>
  <c r="S16"/>
  <c r="Q16"/>
  <c r="O16"/>
  <c r="M16"/>
  <c r="K16"/>
  <c r="I16"/>
  <c r="H16"/>
  <c r="G16"/>
  <c r="S15"/>
  <c r="Q15"/>
  <c r="O15"/>
  <c r="M15"/>
  <c r="K15"/>
  <c r="I15"/>
  <c r="H15"/>
  <c r="G15"/>
  <c r="S14"/>
  <c r="Q14"/>
  <c r="O14"/>
  <c r="M14"/>
  <c r="K14"/>
  <c r="I14"/>
  <c r="H14"/>
  <c r="G14"/>
  <c r="S12"/>
  <c r="S13" s="1"/>
  <c r="Q12"/>
  <c r="O12"/>
  <c r="O13" s="1"/>
  <c r="M12"/>
  <c r="K12"/>
  <c r="K13" s="1"/>
  <c r="I12"/>
  <c r="H12"/>
  <c r="G12"/>
  <c r="S10"/>
  <c r="S11" s="1"/>
  <c r="Q10"/>
  <c r="O10"/>
  <c r="O11" s="1"/>
  <c r="M10"/>
  <c r="K10"/>
  <c r="K11" s="1"/>
  <c r="I10"/>
  <c r="H10"/>
  <c r="G10"/>
  <c r="S8"/>
  <c r="S9" s="1"/>
  <c r="Q8"/>
  <c r="O8"/>
  <c r="O9" s="1"/>
  <c r="M8"/>
  <c r="K8"/>
  <c r="K9" s="1"/>
  <c r="I8"/>
  <c r="H8"/>
  <c r="G8"/>
  <c r="S6"/>
  <c r="S7" s="1"/>
  <c r="Q6"/>
  <c r="O6"/>
  <c r="O7" s="1"/>
  <c r="M6"/>
  <c r="K6"/>
  <c r="K7" s="1"/>
  <c r="I6"/>
  <c r="H6"/>
  <c r="G6"/>
  <c r="S3"/>
  <c r="Q39" i="113"/>
  <c r="M39"/>
  <c r="I39"/>
  <c r="H39"/>
  <c r="G39"/>
  <c r="Q38"/>
  <c r="M38"/>
  <c r="H38"/>
  <c r="G38"/>
  <c r="S35"/>
  <c r="Q35"/>
  <c r="O35"/>
  <c r="M35"/>
  <c r="K35"/>
  <c r="I35"/>
  <c r="H35"/>
  <c r="G35"/>
  <c r="S34"/>
  <c r="Q34"/>
  <c r="O34"/>
  <c r="M34"/>
  <c r="K34"/>
  <c r="I34"/>
  <c r="H34"/>
  <c r="G34"/>
  <c r="S33"/>
  <c r="Q33"/>
  <c r="O33"/>
  <c r="M33"/>
  <c r="K33"/>
  <c r="I33"/>
  <c r="H33"/>
  <c r="G33"/>
  <c r="S32"/>
  <c r="Q32"/>
  <c r="O32"/>
  <c r="M32"/>
  <c r="K32"/>
  <c r="I32"/>
  <c r="H32"/>
  <c r="G32"/>
  <c r="S31"/>
  <c r="Q31"/>
  <c r="O31"/>
  <c r="M31"/>
  <c r="K31"/>
  <c r="I31"/>
  <c r="H31"/>
  <c r="G31"/>
  <c r="S30"/>
  <c r="Q30"/>
  <c r="O30"/>
  <c r="M30"/>
  <c r="K30"/>
  <c r="I30"/>
  <c r="H30"/>
  <c r="G30"/>
  <c r="S29"/>
  <c r="Q29"/>
  <c r="O29"/>
  <c r="M29"/>
  <c r="K29"/>
  <c r="I29"/>
  <c r="H29"/>
  <c r="G29"/>
  <c r="S28"/>
  <c r="Q28"/>
  <c r="O28"/>
  <c r="M28"/>
  <c r="K28"/>
  <c r="I28"/>
  <c r="H28"/>
  <c r="G28"/>
  <c r="S25"/>
  <c r="Q25"/>
  <c r="O25"/>
  <c r="M25"/>
  <c r="K25"/>
  <c r="I25"/>
  <c r="H25"/>
  <c r="G25"/>
  <c r="S24"/>
  <c r="Q24"/>
  <c r="O24"/>
  <c r="M24"/>
  <c r="K24"/>
  <c r="I24"/>
  <c r="H24"/>
  <c r="G24"/>
  <c r="S23"/>
  <c r="Q23"/>
  <c r="O23"/>
  <c r="M23"/>
  <c r="I23"/>
  <c r="H23"/>
  <c r="G23"/>
  <c r="S22"/>
  <c r="Q22"/>
  <c r="O22"/>
  <c r="M22"/>
  <c r="K22"/>
  <c r="I22"/>
  <c r="H22"/>
  <c r="G22"/>
  <c r="S21"/>
  <c r="Q21"/>
  <c r="O21"/>
  <c r="M21"/>
  <c r="I21"/>
  <c r="H21"/>
  <c r="G21"/>
  <c r="S20"/>
  <c r="Q20"/>
  <c r="O20"/>
  <c r="M20"/>
  <c r="K20"/>
  <c r="I20"/>
  <c r="H20"/>
  <c r="G20"/>
  <c r="S19"/>
  <c r="Q19"/>
  <c r="O19"/>
  <c r="M19"/>
  <c r="K19"/>
  <c r="I19"/>
  <c r="H19"/>
  <c r="G19"/>
  <c r="S18"/>
  <c r="Q18"/>
  <c r="O18"/>
  <c r="M18"/>
  <c r="I18"/>
  <c r="H18"/>
  <c r="G18"/>
  <c r="S17"/>
  <c r="Q17"/>
  <c r="O17"/>
  <c r="M17"/>
  <c r="K17"/>
  <c r="I17"/>
  <c r="H17"/>
  <c r="G17"/>
  <c r="S16"/>
  <c r="Q16"/>
  <c r="O16"/>
  <c r="M16"/>
  <c r="I16"/>
  <c r="H16"/>
  <c r="G16"/>
  <c r="S14"/>
  <c r="S15" s="1"/>
  <c r="Q14"/>
  <c r="O14"/>
  <c r="O15" s="1"/>
  <c r="M14"/>
  <c r="K14"/>
  <c r="K15" s="1"/>
  <c r="I14"/>
  <c r="H14"/>
  <c r="G14"/>
  <c r="S12"/>
  <c r="S13" s="1"/>
  <c r="Q12"/>
  <c r="O12"/>
  <c r="O13" s="1"/>
  <c r="M12"/>
  <c r="I12"/>
  <c r="H12"/>
  <c r="G12"/>
  <c r="S9"/>
  <c r="S10" s="1"/>
  <c r="S11" s="1"/>
  <c r="Q9"/>
  <c r="O9"/>
  <c r="O10" s="1"/>
  <c r="O11" s="1"/>
  <c r="M9"/>
  <c r="K9"/>
  <c r="K10" s="1"/>
  <c r="K11" s="1"/>
  <c r="I9"/>
  <c r="H9"/>
  <c r="G9"/>
  <c r="S6"/>
  <c r="S7" s="1"/>
  <c r="S8" s="1"/>
  <c r="Q6"/>
  <c r="O6"/>
  <c r="O7" s="1"/>
  <c r="O8" s="1"/>
  <c r="M6"/>
  <c r="H6"/>
  <c r="G6"/>
  <c r="S3"/>
  <c r="F3"/>
  <c r="AB3" s="1"/>
  <c r="I93" i="24"/>
  <c r="O8" i="10"/>
  <c r="I8"/>
  <c r="I17" i="56"/>
  <c r="I75" i="24"/>
  <c r="I82"/>
  <c r="I19" i="61"/>
  <c r="I17" i="54"/>
  <c r="I8" i="24"/>
  <c r="I71" i="10"/>
  <c r="I57" i="7"/>
  <c r="I50"/>
  <c r="I48"/>
  <c r="I47"/>
  <c r="I32"/>
  <c r="I31"/>
  <c r="I16"/>
  <c r="I15"/>
  <c r="E68" i="112"/>
  <c r="E67"/>
  <c r="E63"/>
  <c r="E62"/>
  <c r="E58"/>
  <c r="E57"/>
  <c r="E51"/>
  <c r="E49"/>
  <c r="E43"/>
  <c r="E42"/>
  <c r="E36"/>
  <c r="E35"/>
  <c r="E31"/>
  <c r="E30"/>
  <c r="E24"/>
  <c r="E23"/>
  <c r="E5"/>
  <c r="E6"/>
  <c r="E7"/>
  <c r="E8"/>
  <c r="E9"/>
  <c r="E10"/>
  <c r="E11"/>
  <c r="E12"/>
  <c r="E13"/>
  <c r="E14"/>
  <c r="E15"/>
  <c r="E16"/>
  <c r="E17"/>
  <c r="E4"/>
  <c r="I120" i="10"/>
  <c r="K32" i="60"/>
  <c r="S32"/>
  <c r="I32"/>
  <c r="I69" i="46"/>
  <c r="I103" i="24"/>
  <c r="I95"/>
  <c r="I96"/>
  <c r="I33" i="56" s="1"/>
  <c r="I88" i="24"/>
  <c r="I8" i="117" s="1"/>
  <c r="I58" i="24"/>
  <c r="C16" i="104"/>
  <c r="C17"/>
  <c r="C30"/>
  <c r="C31"/>
  <c r="C44"/>
  <c r="C45"/>
  <c r="C16" i="102"/>
  <c r="C17"/>
  <c r="C30"/>
  <c r="C31"/>
  <c r="C44"/>
  <c r="C45"/>
  <c r="C17" i="101"/>
  <c r="C30"/>
  <c r="C31"/>
  <c r="C44"/>
  <c r="C45"/>
  <c r="C16" i="100"/>
  <c r="C17"/>
  <c r="C30"/>
  <c r="C31"/>
  <c r="C44"/>
  <c r="C45"/>
  <c r="C16" i="99"/>
  <c r="C17"/>
  <c r="C30"/>
  <c r="C31"/>
  <c r="C44"/>
  <c r="C45"/>
  <c r="C16" i="98"/>
  <c r="C17"/>
  <c r="C30"/>
  <c r="C31"/>
  <c r="C44"/>
  <c r="C45"/>
  <c r="K31" i="58"/>
  <c r="K33" i="46"/>
  <c r="AA117" i="10"/>
  <c r="I88"/>
  <c r="I83" i="24"/>
  <c r="I91"/>
  <c r="C39" i="98"/>
  <c r="L60" i="24"/>
  <c r="I44"/>
  <c r="I13"/>
  <c r="C11" i="98" s="1"/>
  <c r="H69" i="95"/>
  <c r="H68"/>
  <c r="H67"/>
  <c r="H66"/>
  <c r="H65"/>
  <c r="H64"/>
  <c r="H63"/>
  <c r="H62"/>
  <c r="H61"/>
  <c r="H33"/>
  <c r="H32"/>
  <c r="H31"/>
  <c r="H30"/>
  <c r="H29"/>
  <c r="H28"/>
  <c r="H27"/>
  <c r="H26"/>
  <c r="H25"/>
  <c r="H58"/>
  <c r="H57"/>
  <c r="H56"/>
  <c r="H55"/>
  <c r="H54"/>
  <c r="H52"/>
  <c r="H50"/>
  <c r="H48"/>
  <c r="H46"/>
  <c r="H44"/>
  <c r="H42"/>
  <c r="H22"/>
  <c r="H21"/>
  <c r="H20"/>
  <c r="H19"/>
  <c r="H18"/>
  <c r="H16"/>
  <c r="H14"/>
  <c r="H12"/>
  <c r="H10"/>
  <c r="H8"/>
  <c r="H6"/>
  <c r="H67" i="96"/>
  <c r="H66"/>
  <c r="H65"/>
  <c r="H64"/>
  <c r="H63"/>
  <c r="H62"/>
  <c r="H61"/>
  <c r="H60"/>
  <c r="H59"/>
  <c r="H33"/>
  <c r="H32"/>
  <c r="H31"/>
  <c r="H30"/>
  <c r="H29"/>
  <c r="H52"/>
  <c r="H50"/>
  <c r="H48"/>
  <c r="H18"/>
  <c r="H16"/>
  <c r="H14"/>
  <c r="H56"/>
  <c r="H55"/>
  <c r="H54"/>
  <c r="H53"/>
  <c r="H22"/>
  <c r="H21"/>
  <c r="H20"/>
  <c r="H19"/>
  <c r="H28"/>
  <c r="H27"/>
  <c r="H26"/>
  <c r="H25"/>
  <c r="H46"/>
  <c r="H44"/>
  <c r="H42"/>
  <c r="H40"/>
  <c r="H12"/>
  <c r="H10"/>
  <c r="H8"/>
  <c r="H6"/>
  <c r="H23" i="56"/>
  <c r="H22"/>
  <c r="H21"/>
  <c r="H20"/>
  <c r="H19"/>
  <c r="H18"/>
  <c r="H17"/>
  <c r="H16"/>
  <c r="H15"/>
  <c r="H14"/>
  <c r="H12"/>
  <c r="H10"/>
  <c r="H8"/>
  <c r="H6"/>
  <c r="H36"/>
  <c r="H35"/>
  <c r="H34"/>
  <c r="H33"/>
  <c r="H32"/>
  <c r="H31"/>
  <c r="H30"/>
  <c r="H29"/>
  <c r="H28"/>
  <c r="H41"/>
  <c r="H40"/>
  <c r="H37" i="54"/>
  <c r="H36"/>
  <c r="H33"/>
  <c r="H32"/>
  <c r="H31"/>
  <c r="H30"/>
  <c r="H29"/>
  <c r="H28"/>
  <c r="H27"/>
  <c r="H26"/>
  <c r="H23"/>
  <c r="H22"/>
  <c r="H21"/>
  <c r="H20"/>
  <c r="H19"/>
  <c r="H18"/>
  <c r="H17"/>
  <c r="H16"/>
  <c r="H15"/>
  <c r="H14"/>
  <c r="H12"/>
  <c r="H10"/>
  <c r="H8"/>
  <c r="H6"/>
  <c r="I139" i="69" l="1"/>
  <c r="O40" i="96"/>
  <c r="O46"/>
  <c r="O44"/>
  <c r="O42"/>
  <c r="K40"/>
  <c r="K46"/>
  <c r="K44"/>
  <c r="K42"/>
  <c r="C25" i="98"/>
  <c r="I69" i="95"/>
  <c r="H39" i="61"/>
  <c r="H38"/>
  <c r="H35"/>
  <c r="H34"/>
  <c r="H33"/>
  <c r="H32"/>
  <c r="H31"/>
  <c r="H29"/>
  <c r="H30"/>
  <c r="H28"/>
  <c r="H25"/>
  <c r="H24"/>
  <c r="H23"/>
  <c r="H22"/>
  <c r="H21"/>
  <c r="H20"/>
  <c r="H19"/>
  <c r="H18"/>
  <c r="H17"/>
  <c r="H16"/>
  <c r="H14"/>
  <c r="H12"/>
  <c r="H9"/>
  <c r="H6"/>
  <c r="F3"/>
  <c r="AB3" s="1"/>
  <c r="H56" i="60"/>
  <c r="H55"/>
  <c r="H54"/>
  <c r="H52"/>
  <c r="H48"/>
  <c r="H75"/>
  <c r="H74"/>
  <c r="H37"/>
  <c r="H36"/>
  <c r="H18"/>
  <c r="H17"/>
  <c r="H16"/>
  <c r="H15"/>
  <c r="H10"/>
  <c r="H56" i="58"/>
  <c r="H53"/>
  <c r="H62"/>
  <c r="H71"/>
  <c r="H70"/>
  <c r="H35"/>
  <c r="H34"/>
  <c r="H26"/>
  <c r="H25"/>
  <c r="H20"/>
  <c r="H19"/>
  <c r="H17"/>
  <c r="H75" i="46"/>
  <c r="H74"/>
  <c r="H69"/>
  <c r="H66"/>
  <c r="H60"/>
  <c r="H58"/>
  <c r="H57"/>
  <c r="H56"/>
  <c r="H54"/>
  <c r="H50"/>
  <c r="H44"/>
  <c r="H37"/>
  <c r="H36"/>
  <c r="H31"/>
  <c r="H23"/>
  <c r="H20"/>
  <c r="H19"/>
  <c r="H18"/>
  <c r="H17"/>
  <c r="H12"/>
  <c r="H9"/>
  <c r="F114" i="10"/>
  <c r="F115"/>
  <c r="F116"/>
  <c r="F117"/>
  <c r="F108"/>
  <c r="F107"/>
  <c r="F92"/>
  <c r="H63" i="60" s="1"/>
  <c r="F93" i="10"/>
  <c r="H64" i="60" s="1"/>
  <c r="F94" i="10"/>
  <c r="H65" i="60" s="1"/>
  <c r="F95" i="10"/>
  <c r="H66" i="60" s="1"/>
  <c r="F96" i="10"/>
  <c r="F97"/>
  <c r="H68" i="60" s="1"/>
  <c r="F98" i="10"/>
  <c r="H69" i="60" s="1"/>
  <c r="F99" i="10"/>
  <c r="H70" i="60" s="1"/>
  <c r="F100" i="10"/>
  <c r="H71" i="60" s="1"/>
  <c r="F101" i="10"/>
  <c r="F102"/>
  <c r="H67" i="60" s="1"/>
  <c r="F103" i="10"/>
  <c r="F120" s="1"/>
  <c r="F104"/>
  <c r="F121" s="1"/>
  <c r="F105"/>
  <c r="F122" s="1"/>
  <c r="F91"/>
  <c r="H62" i="60" s="1"/>
  <c r="F69" i="10"/>
  <c r="H46" i="60" s="1"/>
  <c r="F70" i="10"/>
  <c r="F71"/>
  <c r="H50" i="60" s="1"/>
  <c r="F72" i="10"/>
  <c r="H14" i="60" s="1"/>
  <c r="F73" i="10"/>
  <c r="H53" i="60" s="1"/>
  <c r="F74" i="10"/>
  <c r="F75"/>
  <c r="F76"/>
  <c r="F77"/>
  <c r="H57" i="60" s="1"/>
  <c r="F78" i="10"/>
  <c r="H20" i="60" s="1"/>
  <c r="F79" i="10"/>
  <c r="H59" i="60" s="1"/>
  <c r="F80" i="10"/>
  <c r="F81"/>
  <c r="F82"/>
  <c r="F83"/>
  <c r="F84"/>
  <c r="F113" s="1"/>
  <c r="F85"/>
  <c r="F86"/>
  <c r="F87"/>
  <c r="F88"/>
  <c r="F68"/>
  <c r="H44" i="60" s="1"/>
  <c r="F63" i="10"/>
  <c r="F62"/>
  <c r="F54"/>
  <c r="H61" i="58" s="1"/>
  <c r="F55" i="10"/>
  <c r="F56"/>
  <c r="H63" i="58" s="1"/>
  <c r="F57" i="10"/>
  <c r="H64" i="58" s="1"/>
  <c r="F58" i="10"/>
  <c r="H65" i="58" s="1"/>
  <c r="F59" i="10"/>
  <c r="H30" i="58" s="1"/>
  <c r="F60" i="10"/>
  <c r="H67" i="58" s="1"/>
  <c r="F53" i="10"/>
  <c r="H60" i="58" s="1"/>
  <c r="F38" i="10"/>
  <c r="H44" i="58" s="1"/>
  <c r="F39" i="10"/>
  <c r="H10" i="58" s="1"/>
  <c r="F40" i="10"/>
  <c r="H48" i="58" s="1"/>
  <c r="F41" i="10"/>
  <c r="H14" i="58" s="1"/>
  <c r="F42" i="10"/>
  <c r="H51" i="58" s="1"/>
  <c r="F43" i="10"/>
  <c r="H16" i="58" s="1"/>
  <c r="F44" i="10"/>
  <c r="F45"/>
  <c r="H54" i="58" s="1"/>
  <c r="F46" i="10"/>
  <c r="H55" i="58" s="1"/>
  <c r="F47" i="10"/>
  <c r="F48"/>
  <c r="H57" i="58" s="1"/>
  <c r="F49" i="10"/>
  <c r="F50"/>
  <c r="F37"/>
  <c r="H6" i="58" s="1"/>
  <c r="F32" i="10"/>
  <c r="F31"/>
  <c r="F23"/>
  <c r="F24"/>
  <c r="H28" i="46" s="1"/>
  <c r="F25" i="10"/>
  <c r="H67" i="46" s="1"/>
  <c r="F26" i="10"/>
  <c r="F27"/>
  <c r="F28"/>
  <c r="F29"/>
  <c r="H71" i="46" s="1"/>
  <c r="F22" i="10"/>
  <c r="F7"/>
  <c r="H47" i="46" s="1"/>
  <c r="F8" i="10"/>
  <c r="F9"/>
  <c r="H52" i="46" s="1"/>
  <c r="F10" i="10"/>
  <c r="H16" i="46" s="1"/>
  <c r="F11" i="10"/>
  <c r="H55" i="46" s="1"/>
  <c r="F12" i="10"/>
  <c r="F13"/>
  <c r="F14"/>
  <c r="F15"/>
  <c r="H59" i="46" s="1"/>
  <c r="F16" i="10"/>
  <c r="H22" i="46" s="1"/>
  <c r="F17" i="10"/>
  <c r="H61" i="46" s="1"/>
  <c r="F18" i="10"/>
  <c r="F19"/>
  <c r="F6"/>
  <c r="H6" i="46" s="1"/>
  <c r="AD121" i="10"/>
  <c r="AA121"/>
  <c r="U121"/>
  <c r="R121"/>
  <c r="O121"/>
  <c r="L121"/>
  <c r="I121"/>
  <c r="E104"/>
  <c r="E121" s="1"/>
  <c r="X121"/>
  <c r="AP100" i="24"/>
  <c r="AP99"/>
  <c r="AM100"/>
  <c r="AM99"/>
  <c r="AJ100"/>
  <c r="AJ99"/>
  <c r="AG100"/>
  <c r="AG99"/>
  <c r="AD100"/>
  <c r="AD99"/>
  <c r="AA100"/>
  <c r="AA99"/>
  <c r="X100"/>
  <c r="X99"/>
  <c r="U100"/>
  <c r="U99"/>
  <c r="R100"/>
  <c r="R99"/>
  <c r="O100"/>
  <c r="O99"/>
  <c r="L100"/>
  <c r="L99"/>
  <c r="I100"/>
  <c r="I99"/>
  <c r="AA33" i="60"/>
  <c r="AA32"/>
  <c r="Y33"/>
  <c r="Y32"/>
  <c r="S33"/>
  <c r="Q33"/>
  <c r="Q32"/>
  <c r="K33"/>
  <c r="I33"/>
  <c r="AA71"/>
  <c r="AA70"/>
  <c r="Y71"/>
  <c r="Y70"/>
  <c r="S71"/>
  <c r="S70"/>
  <c r="Q71"/>
  <c r="Q70"/>
  <c r="K71"/>
  <c r="K70"/>
  <c r="I71"/>
  <c r="I70"/>
  <c r="E99" i="10"/>
  <c r="G32" i="60" s="1"/>
  <c r="E100" i="10"/>
  <c r="G33" i="60" s="1"/>
  <c r="D68" i="112"/>
  <c r="D67"/>
  <c r="E74" i="10"/>
  <c r="G74"/>
  <c r="E75"/>
  <c r="G75"/>
  <c r="AD122"/>
  <c r="AD120"/>
  <c r="AA122"/>
  <c r="AA120"/>
  <c r="X122"/>
  <c r="X120"/>
  <c r="U122"/>
  <c r="U120"/>
  <c r="R122"/>
  <c r="R120"/>
  <c r="O122"/>
  <c r="O120"/>
  <c r="L122"/>
  <c r="L120"/>
  <c r="I122"/>
  <c r="U117"/>
  <c r="T113"/>
  <c r="O117"/>
  <c r="I117"/>
  <c r="I4" i="112"/>
  <c r="I68"/>
  <c r="I67"/>
  <c r="I66"/>
  <c r="I65"/>
  <c r="I64"/>
  <c r="I63"/>
  <c r="I62"/>
  <c r="I61"/>
  <c r="I60"/>
  <c r="I59"/>
  <c r="I58"/>
  <c r="I57"/>
  <c r="I56"/>
  <c r="I55"/>
  <c r="I54"/>
  <c r="I53"/>
  <c r="I52"/>
  <c r="I51"/>
  <c r="I50"/>
  <c r="I49"/>
  <c r="I48"/>
  <c r="I47"/>
  <c r="I46"/>
  <c r="I45"/>
  <c r="I44"/>
  <c r="I43"/>
  <c r="I42"/>
  <c r="I36"/>
  <c r="I35"/>
  <c r="I34"/>
  <c r="I33"/>
  <c r="I32"/>
  <c r="I31"/>
  <c r="I30"/>
  <c r="I29"/>
  <c r="I28"/>
  <c r="I27"/>
  <c r="I26"/>
  <c r="I25"/>
  <c r="I24"/>
  <c r="I23"/>
  <c r="I5"/>
  <c r="I6"/>
  <c r="I7"/>
  <c r="I8"/>
  <c r="I9"/>
  <c r="I10"/>
  <c r="I11"/>
  <c r="I12"/>
  <c r="I13"/>
  <c r="I14"/>
  <c r="I15"/>
  <c r="I16"/>
  <c r="I17"/>
  <c r="I18"/>
  <c r="I19"/>
  <c r="I20"/>
  <c r="I37"/>
  <c r="I38"/>
  <c r="I39"/>
  <c r="D12"/>
  <c r="A1" i="7"/>
  <c r="G37" i="56"/>
  <c r="AP102" i="24"/>
  <c r="AM102"/>
  <c r="AJ102"/>
  <c r="AG102"/>
  <c r="AD102"/>
  <c r="AA102"/>
  <c r="X102"/>
  <c r="S37" i="56" s="1"/>
  <c r="U102" i="24"/>
  <c r="Q37" i="56" s="1"/>
  <c r="R102" i="24"/>
  <c r="O37" i="56" s="1"/>
  <c r="O102" i="24"/>
  <c r="M37" i="56" s="1"/>
  <c r="L102" i="24"/>
  <c r="K37" i="56" s="1"/>
  <c r="I102" i="24"/>
  <c r="I37" i="56" s="1"/>
  <c r="O95" i="24"/>
  <c r="E102" i="10"/>
  <c r="G67" i="60" s="1"/>
  <c r="E91" i="10"/>
  <c r="G24" i="60" s="1"/>
  <c r="E92" i="10"/>
  <c r="G63" i="60" s="1"/>
  <c r="E93" i="10"/>
  <c r="G64" i="60" s="1"/>
  <c r="E94" i="10"/>
  <c r="G65" i="60" s="1"/>
  <c r="E95" i="10"/>
  <c r="G66" i="60" s="1"/>
  <c r="E96" i="10"/>
  <c r="E97"/>
  <c r="G68" i="60" s="1"/>
  <c r="E98" i="10"/>
  <c r="G31" i="60" s="1"/>
  <c r="E101" i="10"/>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G85" i="10"/>
  <c r="E108"/>
  <c r="G75" i="60" s="1"/>
  <c r="E107" i="10"/>
  <c r="G74" i="60" s="1"/>
  <c r="E103" i="10"/>
  <c r="E120" s="1"/>
  <c r="E105"/>
  <c r="E122" s="1"/>
  <c r="G69"/>
  <c r="G70"/>
  <c r="G71"/>
  <c r="G72"/>
  <c r="G73"/>
  <c r="G76"/>
  <c r="G77"/>
  <c r="G78"/>
  <c r="G79"/>
  <c r="G80"/>
  <c r="G81"/>
  <c r="G82"/>
  <c r="O54" i="60" s="1"/>
  <c r="G83" i="10"/>
  <c r="G84"/>
  <c r="G86"/>
  <c r="G87"/>
  <c r="G88"/>
  <c r="G68"/>
  <c r="E69"/>
  <c r="G46" i="60" s="1"/>
  <c r="E70" i="10"/>
  <c r="G10" i="60" s="1"/>
  <c r="E71" i="10"/>
  <c r="G50" i="60" s="1"/>
  <c r="E72" i="10"/>
  <c r="G14" i="60" s="1"/>
  <c r="E73" i="10"/>
  <c r="G53" i="60" s="1"/>
  <c r="E76" i="10"/>
  <c r="G18" i="60" s="1"/>
  <c r="E77" i="10"/>
  <c r="G57" i="60" s="1"/>
  <c r="E78" i="10"/>
  <c r="G20" i="60" s="1"/>
  <c r="E79" i="10"/>
  <c r="G59" i="60" s="1"/>
  <c r="E80" i="10"/>
  <c r="E81"/>
  <c r="E82"/>
  <c r="G16" i="60" s="1"/>
  <c r="E83" i="10"/>
  <c r="G55" i="60" s="1"/>
  <c r="E84" i="10"/>
  <c r="E113" s="1"/>
  <c r="E85"/>
  <c r="E86"/>
  <c r="E115" s="1"/>
  <c r="E87"/>
  <c r="E88"/>
  <c r="E117" s="1"/>
  <c r="E68"/>
  <c r="G44" i="60" s="1"/>
  <c r="E63" i="10"/>
  <c r="G71" i="58" s="1"/>
  <c r="E62" i="10"/>
  <c r="G70" i="58" s="1"/>
  <c r="E54" i="10"/>
  <c r="G61" i="58" s="1"/>
  <c r="E55" i="10"/>
  <c r="G62" i="58" s="1"/>
  <c r="E56" i="10"/>
  <c r="G63" i="58" s="1"/>
  <c r="E57" i="10"/>
  <c r="G64" i="58" s="1"/>
  <c r="E58" i="10"/>
  <c r="G65" i="58" s="1"/>
  <c r="E59" i="10"/>
  <c r="G66" i="58" s="1"/>
  <c r="E60" i="10"/>
  <c r="G67" i="58" s="1"/>
  <c r="E53" i="10"/>
  <c r="G60" i="58" s="1"/>
  <c r="G38" i="10"/>
  <c r="G39"/>
  <c r="G40"/>
  <c r="G41"/>
  <c r="G42"/>
  <c r="G43"/>
  <c r="G44"/>
  <c r="G45"/>
  <c r="G46"/>
  <c r="G47"/>
  <c r="G48"/>
  <c r="G49"/>
  <c r="G37"/>
  <c r="E38"/>
  <c r="G44" i="58" s="1"/>
  <c r="E39" i="10"/>
  <c r="G46" i="58" s="1"/>
  <c r="E40" i="10"/>
  <c r="G48" i="58" s="1"/>
  <c r="E41" i="10"/>
  <c r="G50" i="58" s="1"/>
  <c r="E42" i="10"/>
  <c r="G51" i="58" s="1"/>
  <c r="E43" i="10"/>
  <c r="G52" i="58" s="1"/>
  <c r="E44" i="10"/>
  <c r="G53" i="58" s="1"/>
  <c r="E45" i="10"/>
  <c r="G54" i="58" s="1"/>
  <c r="E46" i="10"/>
  <c r="G55" i="58" s="1"/>
  <c r="E47" i="10"/>
  <c r="G56" i="58" s="1"/>
  <c r="E48" i="10"/>
  <c r="G57" i="58" s="1"/>
  <c r="E49" i="10"/>
  <c r="E50"/>
  <c r="E37"/>
  <c r="G42" i="58" s="1"/>
  <c r="E32" i="10"/>
  <c r="G75" i="46" s="1"/>
  <c r="E31" i="10"/>
  <c r="G74" i="46" s="1"/>
  <c r="E23" i="10"/>
  <c r="E24"/>
  <c r="G66" i="46" s="1"/>
  <c r="E25" i="10"/>
  <c r="G67" i="46" s="1"/>
  <c r="E26" i="10"/>
  <c r="E27"/>
  <c r="G69" i="46" s="1"/>
  <c r="E28" i="10"/>
  <c r="E29"/>
  <c r="G71" i="46" s="1"/>
  <c r="E22" i="10"/>
  <c r="G7"/>
  <c r="G8"/>
  <c r="G9"/>
  <c r="G10"/>
  <c r="G11"/>
  <c r="G12"/>
  <c r="G13"/>
  <c r="G14"/>
  <c r="G15"/>
  <c r="G16"/>
  <c r="G17"/>
  <c r="G18"/>
  <c r="G6"/>
  <c r="E7"/>
  <c r="G47" i="46" s="1"/>
  <c r="E8" i="10"/>
  <c r="G50" i="46" s="1"/>
  <c r="E9" i="10"/>
  <c r="G52" i="46" s="1"/>
  <c r="E10" i="10"/>
  <c r="G54" i="46" s="1"/>
  <c r="E11" i="10"/>
  <c r="G55" i="46" s="1"/>
  <c r="E12" i="10"/>
  <c r="G56" i="46" s="1"/>
  <c r="E13" i="10"/>
  <c r="G57" i="46" s="1"/>
  <c r="E14" i="10"/>
  <c r="G58" i="46" s="1"/>
  <c r="E15" i="10"/>
  <c r="G59" i="46" s="1"/>
  <c r="E16" i="10"/>
  <c r="G60" i="46" s="1"/>
  <c r="E17" i="10"/>
  <c r="G61" i="46" s="1"/>
  <c r="E18" i="10"/>
  <c r="E19"/>
  <c r="E6"/>
  <c r="G44" i="46" s="1"/>
  <c r="G33" i="95"/>
  <c r="G32"/>
  <c r="G31"/>
  <c r="G30"/>
  <c r="G29"/>
  <c r="G28"/>
  <c r="G27"/>
  <c r="G26"/>
  <c r="G25"/>
  <c r="G69"/>
  <c r="G68"/>
  <c r="G67"/>
  <c r="G66"/>
  <c r="G65"/>
  <c r="G64"/>
  <c r="G63"/>
  <c r="G62"/>
  <c r="G61"/>
  <c r="G58"/>
  <c r="G57"/>
  <c r="G56"/>
  <c r="G55"/>
  <c r="G54"/>
  <c r="G52"/>
  <c r="G50"/>
  <c r="G48"/>
  <c r="G46"/>
  <c r="G44"/>
  <c r="G42"/>
  <c r="G22"/>
  <c r="G21"/>
  <c r="G20"/>
  <c r="G19"/>
  <c r="G18"/>
  <c r="G16"/>
  <c r="G14"/>
  <c r="G12"/>
  <c r="G10"/>
  <c r="G8"/>
  <c r="G6"/>
  <c r="G56" i="96"/>
  <c r="G55"/>
  <c r="G54"/>
  <c r="G53"/>
  <c r="G52"/>
  <c r="G50"/>
  <c r="G48"/>
  <c r="G46"/>
  <c r="G44"/>
  <c r="G42"/>
  <c r="G40"/>
  <c r="G29"/>
  <c r="G67"/>
  <c r="G66"/>
  <c r="G65"/>
  <c r="G64"/>
  <c r="G63"/>
  <c r="G62"/>
  <c r="G61"/>
  <c r="G60"/>
  <c r="G59"/>
  <c r="G30"/>
  <c r="G33"/>
  <c r="G32"/>
  <c r="G31"/>
  <c r="G28"/>
  <c r="G27"/>
  <c r="G26"/>
  <c r="G25"/>
  <c r="G18"/>
  <c r="G16"/>
  <c r="G14"/>
  <c r="G22"/>
  <c r="G21"/>
  <c r="G20"/>
  <c r="G19"/>
  <c r="G12"/>
  <c r="G10"/>
  <c r="G8"/>
  <c r="G6"/>
  <c r="G41" i="56"/>
  <c r="G40"/>
  <c r="G36"/>
  <c r="G35"/>
  <c r="G34"/>
  <c r="G33"/>
  <c r="G32"/>
  <c r="G31"/>
  <c r="G28"/>
  <c r="G25"/>
  <c r="G24"/>
  <c r="G23"/>
  <c r="G22"/>
  <c r="G21"/>
  <c r="G20"/>
  <c r="G19"/>
  <c r="G18"/>
  <c r="G17"/>
  <c r="G16"/>
  <c r="G15"/>
  <c r="G14"/>
  <c r="G12"/>
  <c r="G10"/>
  <c r="G8"/>
  <c r="G6"/>
  <c r="G6" i="112"/>
  <c r="H21" i="46" l="1"/>
  <c r="H14"/>
  <c r="H21" i="58"/>
  <c r="H18"/>
  <c r="H52"/>
  <c r="H15"/>
  <c r="H50"/>
  <c r="H12"/>
  <c r="H46"/>
  <c r="H8"/>
  <c r="H42"/>
  <c r="H21" i="60"/>
  <c r="H58"/>
  <c r="H19"/>
  <c r="H12"/>
  <c r="H8"/>
  <c r="H6"/>
  <c r="H29"/>
  <c r="H30"/>
  <c r="H28"/>
  <c r="H27"/>
  <c r="H26"/>
  <c r="H25"/>
  <c r="H31" i="58"/>
  <c r="H66"/>
  <c r="H27"/>
  <c r="H24"/>
  <c r="H33" i="46"/>
  <c r="H29"/>
  <c r="H24" i="60"/>
  <c r="H28" i="58"/>
  <c r="H29"/>
  <c r="H31" i="60"/>
  <c r="H33"/>
  <c r="H32"/>
  <c r="G6" i="46"/>
  <c r="G12"/>
  <c r="G16"/>
  <c r="G18"/>
  <c r="G20"/>
  <c r="G22"/>
  <c r="G28"/>
  <c r="G31"/>
  <c r="G36"/>
  <c r="G6" i="58"/>
  <c r="G10"/>
  <c r="G14"/>
  <c r="G16"/>
  <c r="G18"/>
  <c r="G20"/>
  <c r="G24"/>
  <c r="G26"/>
  <c r="G28"/>
  <c r="G30"/>
  <c r="G34"/>
  <c r="G6" i="60"/>
  <c r="G12"/>
  <c r="G15"/>
  <c r="G19"/>
  <c r="G21"/>
  <c r="G17"/>
  <c r="G26"/>
  <c r="G28"/>
  <c r="G30"/>
  <c r="G37"/>
  <c r="G70"/>
  <c r="G48"/>
  <c r="G52"/>
  <c r="G54"/>
  <c r="G56"/>
  <c r="G58"/>
  <c r="G9" i="46"/>
  <c r="G14"/>
  <c r="G17"/>
  <c r="G19"/>
  <c r="G21"/>
  <c r="G23"/>
  <c r="G29"/>
  <c r="G33"/>
  <c r="G37"/>
  <c r="G8" i="58"/>
  <c r="G12"/>
  <c r="G15"/>
  <c r="G17"/>
  <c r="G19"/>
  <c r="G21"/>
  <c r="G25"/>
  <c r="G27"/>
  <c r="G29"/>
  <c r="G31"/>
  <c r="G35"/>
  <c r="G8" i="60"/>
  <c r="G25"/>
  <c r="G27"/>
  <c r="G29"/>
  <c r="G36"/>
  <c r="G69"/>
  <c r="G71"/>
  <c r="G62"/>
  <c r="O16"/>
  <c r="AE54"/>
  <c r="W54"/>
  <c r="W16"/>
  <c r="AE16"/>
  <c r="J117" i="10"/>
  <c r="E67" i="7"/>
  <c r="E68"/>
  <c r="E66"/>
  <c r="A64"/>
  <c r="G44" i="112"/>
  <c r="G25"/>
  <c r="E62" i="7"/>
  <c r="E61"/>
  <c r="E60"/>
  <c r="AM108" i="24"/>
  <c r="U108"/>
  <c r="Q41" i="56" s="1"/>
  <c r="AG107" i="24"/>
  <c r="AA107"/>
  <c r="AA108"/>
  <c r="B2" i="112"/>
  <c r="D63"/>
  <c r="D62"/>
  <c r="D58"/>
  <c r="D57"/>
  <c r="D51"/>
  <c r="D49"/>
  <c r="D43"/>
  <c r="D42"/>
  <c r="D36"/>
  <c r="D35"/>
  <c r="D31"/>
  <c r="D30"/>
  <c r="D24"/>
  <c r="D23"/>
  <c r="D17"/>
  <c r="D16"/>
  <c r="D11"/>
  <c r="D5"/>
  <c r="D4"/>
  <c r="AM82" i="24" l="1"/>
  <c r="AG82"/>
  <c r="AA82"/>
  <c r="AB82" s="1"/>
  <c r="U82"/>
  <c r="O82"/>
  <c r="P82" s="1"/>
  <c r="O25" i="56"/>
  <c r="K25"/>
  <c r="AM83" i="24"/>
  <c r="AG83"/>
  <c r="AA83"/>
  <c r="U83"/>
  <c r="Q25" i="56" s="1"/>
  <c r="O83" i="24"/>
  <c r="M25" i="56" s="1"/>
  <c r="AM88" i="24"/>
  <c r="M8" i="118" s="1"/>
  <c r="AA88" i="24"/>
  <c r="I8" i="118" s="1"/>
  <c r="U88" i="24"/>
  <c r="M8" i="117" s="1"/>
  <c r="AM75" i="24"/>
  <c r="C39" i="104" s="1"/>
  <c r="AG75" i="24"/>
  <c r="C39" i="102" s="1"/>
  <c r="AA75" i="24"/>
  <c r="C39" i="101" s="1"/>
  <c r="U75" i="24"/>
  <c r="C39" i="100" s="1"/>
  <c r="O75" i="24"/>
  <c r="C39" i="99" s="1"/>
  <c r="G58" i="112"/>
  <c r="AM44" i="24"/>
  <c r="C25" i="104" s="1"/>
  <c r="AG44" i="24"/>
  <c r="C25" i="102" s="1"/>
  <c r="AA44" i="24"/>
  <c r="C25" i="101" s="1"/>
  <c r="U44" i="24"/>
  <c r="C25" i="100" s="1"/>
  <c r="O44" i="24"/>
  <c r="C25" i="99" s="1"/>
  <c r="G31" i="112"/>
  <c r="AM13" i="24"/>
  <c r="C11" i="104" s="1"/>
  <c r="AG13" i="24"/>
  <c r="C11" i="102" s="1"/>
  <c r="AA13" i="24"/>
  <c r="C11" i="101" s="1"/>
  <c r="U13" i="24"/>
  <c r="C11" i="100" s="1"/>
  <c r="O13" i="24"/>
  <c r="C11" i="99" s="1"/>
  <c r="G12" i="112"/>
  <c r="H57" i="7"/>
  <c r="H50"/>
  <c r="H48"/>
  <c r="H47"/>
  <c r="H32"/>
  <c r="H31"/>
  <c r="H16"/>
  <c r="H15"/>
  <c r="AM83" i="10"/>
  <c r="Y55" i="60" s="1"/>
  <c r="AG83" i="10"/>
  <c r="Q55" i="60" s="1"/>
  <c r="AA83" i="10"/>
  <c r="I55" i="60" s="1"/>
  <c r="U83" i="10"/>
  <c r="Y17" i="60" s="1"/>
  <c r="O83" i="10"/>
  <c r="Q17" i="60" s="1"/>
  <c r="I83" i="10"/>
  <c r="I17" i="60" s="1"/>
  <c r="AM75" i="10"/>
  <c r="AG75"/>
  <c r="AA75"/>
  <c r="U75"/>
  <c r="O75"/>
  <c r="I75"/>
  <c r="AM44"/>
  <c r="AG44"/>
  <c r="AA44"/>
  <c r="U44"/>
  <c r="O44"/>
  <c r="I44"/>
  <c r="AM13"/>
  <c r="AG13"/>
  <c r="AA13"/>
  <c r="U13"/>
  <c r="O13"/>
  <c r="I13"/>
  <c r="AL82" i="24"/>
  <c r="AF82"/>
  <c r="Z82"/>
  <c r="T82"/>
  <c r="N82"/>
  <c r="H82"/>
  <c r="G62" i="112" s="1"/>
  <c r="AL82" i="10"/>
  <c r="AM82" s="1"/>
  <c r="AF82"/>
  <c r="AG82" s="1"/>
  <c r="Z82"/>
  <c r="AA82" s="1"/>
  <c r="T82"/>
  <c r="U82" s="1"/>
  <c r="N82"/>
  <c r="O82" s="1"/>
  <c r="H82"/>
  <c r="G77" i="65"/>
  <c r="G76"/>
  <c r="AH82" i="10" l="1"/>
  <c r="AJ82" s="1"/>
  <c r="S54" i="60" s="1"/>
  <c r="Q54"/>
  <c r="AB82" i="10"/>
  <c r="AD82" s="1"/>
  <c r="K54" i="60" s="1"/>
  <c r="I54"/>
  <c r="V82" i="10"/>
  <c r="X82" s="1"/>
  <c r="AA16" i="60" s="1"/>
  <c r="Y16"/>
  <c r="P82" i="10"/>
  <c r="R82" s="1"/>
  <c r="S16" i="60" s="1"/>
  <c r="Q16"/>
  <c r="AN82" i="10"/>
  <c r="AP82" s="1"/>
  <c r="AA54" i="60" s="1"/>
  <c r="Y54"/>
  <c r="AD82" i="24"/>
  <c r="I25" i="56"/>
  <c r="G63" i="112"/>
  <c r="I24" i="56"/>
  <c r="AP82" i="24"/>
  <c r="AN82"/>
  <c r="AH82"/>
  <c r="X82"/>
  <c r="S24" i="56" s="1"/>
  <c r="V82" i="24"/>
  <c r="M24" i="56"/>
  <c r="R82" i="24"/>
  <c r="O24" i="56" s="1"/>
  <c r="Q24"/>
  <c r="J82" i="24"/>
  <c r="I82" i="10"/>
  <c r="J82" l="1"/>
  <c r="I16" i="60"/>
  <c r="AJ82" i="24"/>
  <c r="L82"/>
  <c r="K24" i="56" s="1"/>
  <c r="L82" i="10"/>
  <c r="K16" i="60" s="1"/>
  <c r="AE52" i="58"/>
  <c r="W52"/>
  <c r="O52"/>
  <c r="AE16"/>
  <c r="W16"/>
  <c r="O16"/>
  <c r="M41" i="88"/>
  <c r="N41" s="1"/>
  <c r="O41" s="1"/>
  <c r="AM96" i="24"/>
  <c r="Q33" i="115" s="1"/>
  <c r="AE56" i="46"/>
  <c r="W56"/>
  <c r="O56"/>
  <c r="AE18"/>
  <c r="W18"/>
  <c r="O18"/>
  <c r="C70" i="65" l="1"/>
  <c r="D70"/>
  <c r="E70"/>
  <c r="B70"/>
  <c r="C69"/>
  <c r="D69"/>
  <c r="E69"/>
  <c r="B69"/>
  <c r="AM81" i="10" l="1"/>
  <c r="AG81"/>
  <c r="AA81"/>
  <c r="U81"/>
  <c r="O81"/>
  <c r="I81"/>
  <c r="I81" i="24" s="1"/>
  <c r="G68" i="112" s="1"/>
  <c r="AM50" i="10"/>
  <c r="AG50"/>
  <c r="AA50"/>
  <c r="U50"/>
  <c r="O50"/>
  <c r="I50"/>
  <c r="AM19"/>
  <c r="AG19"/>
  <c r="AA19"/>
  <c r="U19"/>
  <c r="O19"/>
  <c r="I19"/>
  <c r="AM88"/>
  <c r="AA88"/>
  <c r="U88"/>
  <c r="E5" i="94"/>
  <c r="E6"/>
  <c r="E7"/>
  <c r="E8"/>
  <c r="E4"/>
  <c r="E3"/>
  <c r="AM80" i="24" l="1"/>
  <c r="AP80" s="1"/>
  <c r="AG80"/>
  <c r="AJ80" s="1"/>
  <c r="AA80"/>
  <c r="AD80" s="1"/>
  <c r="U80"/>
  <c r="X80" s="1"/>
  <c r="O80"/>
  <c r="R80" s="1"/>
  <c r="AM18"/>
  <c r="AN18" s="1"/>
  <c r="AG18"/>
  <c r="AJ18" s="1"/>
  <c r="AA18"/>
  <c r="AB18" s="1"/>
  <c r="U18"/>
  <c r="X18" s="1"/>
  <c r="O18"/>
  <c r="P18" s="1"/>
  <c r="AH18" l="1"/>
  <c r="AD18"/>
  <c r="V18"/>
  <c r="AP18"/>
  <c r="R18"/>
  <c r="I49"/>
  <c r="G35" i="112" s="1"/>
  <c r="O37" i="96" l="1"/>
  <c r="O39" i="95"/>
  <c r="AD101" i="24"/>
  <c r="AA101"/>
  <c r="AP101"/>
  <c r="AM101"/>
  <c r="X101"/>
  <c r="S36" i="56" s="1"/>
  <c r="U101" i="24"/>
  <c r="Q36" i="56" s="1"/>
  <c r="K36"/>
  <c r="I36"/>
  <c r="AE23" i="46"/>
  <c r="AE22"/>
  <c r="AE21"/>
  <c r="AE20"/>
  <c r="AE17"/>
  <c r="AE16"/>
  <c r="AE14"/>
  <c r="AE15" s="1"/>
  <c r="AE12"/>
  <c r="AE13" s="1"/>
  <c r="AE9"/>
  <c r="AE10" s="1"/>
  <c r="AE11" s="1"/>
  <c r="AE6"/>
  <c r="AE7" s="1"/>
  <c r="AE8" s="1"/>
  <c r="W23"/>
  <c r="W22"/>
  <c r="W21"/>
  <c r="W20"/>
  <c r="W17"/>
  <c r="W16"/>
  <c r="W14"/>
  <c r="W15" s="1"/>
  <c r="W12"/>
  <c r="W13" s="1"/>
  <c r="W9"/>
  <c r="W10" s="1"/>
  <c r="W11" s="1"/>
  <c r="W6"/>
  <c r="W7" s="1"/>
  <c r="W8" s="1"/>
  <c r="AE57" i="58"/>
  <c r="AE56"/>
  <c r="AE55"/>
  <c r="AE54"/>
  <c r="AE51"/>
  <c r="AE50"/>
  <c r="AE48"/>
  <c r="AE49" s="1"/>
  <c r="AE46"/>
  <c r="AE47" s="1"/>
  <c r="AE44"/>
  <c r="AE45" s="1"/>
  <c r="AE42"/>
  <c r="AE43" s="1"/>
  <c r="W57"/>
  <c r="W56"/>
  <c r="W55"/>
  <c r="W54"/>
  <c r="W51"/>
  <c r="W50"/>
  <c r="W48"/>
  <c r="W49" s="1"/>
  <c r="W46"/>
  <c r="W47" s="1"/>
  <c r="W44"/>
  <c r="W45" s="1"/>
  <c r="W42"/>
  <c r="W43" s="1"/>
  <c r="O57"/>
  <c r="O56"/>
  <c r="O55"/>
  <c r="O54"/>
  <c r="O51"/>
  <c r="O50"/>
  <c r="O48"/>
  <c r="O49" s="1"/>
  <c r="O46"/>
  <c r="O47" s="1"/>
  <c r="O44"/>
  <c r="O45" s="1"/>
  <c r="O42"/>
  <c r="O43" s="1"/>
  <c r="AE21"/>
  <c r="AE20"/>
  <c r="AE19"/>
  <c r="AE18"/>
  <c r="AE15"/>
  <c r="AE14"/>
  <c r="AE12"/>
  <c r="AE13" s="1"/>
  <c r="AE10"/>
  <c r="AE11" s="1"/>
  <c r="AE8"/>
  <c r="AE9" s="1"/>
  <c r="AE6"/>
  <c r="AE7" s="1"/>
  <c r="W21"/>
  <c r="W20"/>
  <c r="W19"/>
  <c r="W18"/>
  <c r="W15"/>
  <c r="W14"/>
  <c r="W12"/>
  <c r="W13" s="1"/>
  <c r="W10"/>
  <c r="W11" s="1"/>
  <c r="W8"/>
  <c r="W9" s="1"/>
  <c r="W6"/>
  <c r="W7" s="1"/>
  <c r="O21"/>
  <c r="O20"/>
  <c r="O19"/>
  <c r="O18"/>
  <c r="O15"/>
  <c r="O14"/>
  <c r="O12"/>
  <c r="O13" s="1"/>
  <c r="O10"/>
  <c r="O11" s="1"/>
  <c r="O8"/>
  <c r="O9" s="1"/>
  <c r="O6"/>
  <c r="O7" s="1"/>
  <c r="AD39"/>
  <c r="AD3"/>
  <c r="O44" i="46"/>
  <c r="O45" s="1"/>
  <c r="O46" s="1"/>
  <c r="AD41" i="60"/>
  <c r="AD3"/>
  <c r="AD41" i="46"/>
  <c r="AD3"/>
  <c r="AE61"/>
  <c r="AE60"/>
  <c r="AE59"/>
  <c r="AE58"/>
  <c r="AE55"/>
  <c r="AE54"/>
  <c r="AE52"/>
  <c r="AE53" s="1"/>
  <c r="AE50"/>
  <c r="AE51" s="1"/>
  <c r="AE47"/>
  <c r="AE48" s="1"/>
  <c r="AE49" s="1"/>
  <c r="AE44"/>
  <c r="AE45" s="1"/>
  <c r="AE46" s="1"/>
  <c r="W61"/>
  <c r="W60"/>
  <c r="W59"/>
  <c r="W58"/>
  <c r="W55"/>
  <c r="W54"/>
  <c r="W52"/>
  <c r="W53" s="1"/>
  <c r="W50"/>
  <c r="W51" s="1"/>
  <c r="W47"/>
  <c r="W48" s="1"/>
  <c r="W49" s="1"/>
  <c r="W44"/>
  <c r="W45" s="1"/>
  <c r="W46" s="1"/>
  <c r="O61"/>
  <c r="O60"/>
  <c r="O59"/>
  <c r="O58"/>
  <c r="O55"/>
  <c r="O54"/>
  <c r="O52"/>
  <c r="O53" s="1"/>
  <c r="O50"/>
  <c r="O51" s="1"/>
  <c r="O47"/>
  <c r="O48" s="1"/>
  <c r="O49" s="1"/>
  <c r="O23"/>
  <c r="O22"/>
  <c r="O21"/>
  <c r="O20"/>
  <c r="O17"/>
  <c r="O16"/>
  <c r="O14"/>
  <c r="O15" s="1"/>
  <c r="O12"/>
  <c r="O13" s="1"/>
  <c r="O9"/>
  <c r="O10" s="1"/>
  <c r="O11" s="1"/>
  <c r="O6"/>
  <c r="O7" s="1"/>
  <c r="O8" s="1"/>
  <c r="AE59" i="60" l="1"/>
  <c r="AE58"/>
  <c r="AE57"/>
  <c r="AE56"/>
  <c r="AE53"/>
  <c r="AE52"/>
  <c r="AE50"/>
  <c r="AE51" s="1"/>
  <c r="AE48"/>
  <c r="AE49" s="1"/>
  <c r="AE46"/>
  <c r="AE47" s="1"/>
  <c r="AE44"/>
  <c r="AE45" s="1"/>
  <c r="W59"/>
  <c r="W58"/>
  <c r="W57"/>
  <c r="W56"/>
  <c r="W53"/>
  <c r="W52"/>
  <c r="W50"/>
  <c r="W51" s="1"/>
  <c r="W48"/>
  <c r="W49" s="1"/>
  <c r="W46"/>
  <c r="W47" s="1"/>
  <c r="W44"/>
  <c r="W45" s="1"/>
  <c r="O59"/>
  <c r="O58"/>
  <c r="O57"/>
  <c r="O56"/>
  <c r="O53"/>
  <c r="O52"/>
  <c r="O50"/>
  <c r="O51" s="1"/>
  <c r="O48"/>
  <c r="O49" s="1"/>
  <c r="O46"/>
  <c r="O47" s="1"/>
  <c r="O44"/>
  <c r="O45" s="1"/>
  <c r="AE21"/>
  <c r="AE20"/>
  <c r="AE19"/>
  <c r="AE18"/>
  <c r="AE15"/>
  <c r="AE14"/>
  <c r="AE12"/>
  <c r="AE13" s="1"/>
  <c r="AE10"/>
  <c r="AE11" s="1"/>
  <c r="AE8"/>
  <c r="AE9" s="1"/>
  <c r="AE6"/>
  <c r="AE7" s="1"/>
  <c r="W21"/>
  <c r="W20"/>
  <c r="W19"/>
  <c r="W18"/>
  <c r="W15"/>
  <c r="W14"/>
  <c r="W12"/>
  <c r="W13" s="1"/>
  <c r="W10"/>
  <c r="W11" s="1"/>
  <c r="W8"/>
  <c r="W9" s="1"/>
  <c r="W6"/>
  <c r="W7" s="1"/>
  <c r="O21"/>
  <c r="O20"/>
  <c r="O19"/>
  <c r="O18"/>
  <c r="O15"/>
  <c r="O14"/>
  <c r="O12"/>
  <c r="O13" s="1"/>
  <c r="O10"/>
  <c r="O11" s="1"/>
  <c r="O8"/>
  <c r="O9" s="1"/>
  <c r="O6"/>
  <c r="O7" s="1"/>
  <c r="T63" i="24" l="1"/>
  <c r="Q37" i="54" s="1"/>
  <c r="AG62" i="24"/>
  <c r="AA62"/>
  <c r="Q70" i="58"/>
  <c r="I70"/>
  <c r="M59" i="88"/>
  <c r="N59" s="1"/>
  <c r="G59"/>
  <c r="H59" s="1"/>
  <c r="M58"/>
  <c r="N58" s="1"/>
  <c r="G58"/>
  <c r="H58" s="1"/>
  <c r="M57"/>
  <c r="N57" s="1"/>
  <c r="O57" s="1"/>
  <c r="G57"/>
  <c r="H57" s="1"/>
  <c r="I57" s="1"/>
  <c r="N42" i="81"/>
  <c r="N41"/>
  <c r="N40"/>
  <c r="J42"/>
  <c r="J41"/>
  <c r="J40"/>
  <c r="F42"/>
  <c r="F41"/>
  <c r="F40"/>
  <c r="N21"/>
  <c r="N20"/>
  <c r="N19"/>
  <c r="J21"/>
  <c r="J20"/>
  <c r="J19"/>
  <c r="F21"/>
  <c r="F20"/>
  <c r="F19"/>
  <c r="M35" i="80"/>
  <c r="M34"/>
  <c r="M33"/>
  <c r="I35"/>
  <c r="I34"/>
  <c r="I33"/>
  <c r="E35"/>
  <c r="E34"/>
  <c r="E33"/>
  <c r="M18"/>
  <c r="M17"/>
  <c r="M16"/>
  <c r="I18"/>
  <c r="I17"/>
  <c r="I16"/>
  <c r="E18"/>
  <c r="E17"/>
  <c r="E16"/>
  <c r="Y24" i="73"/>
  <c r="Y12"/>
  <c r="A4" i="100" s="1"/>
  <c r="Y27" i="73"/>
  <c r="Y21"/>
  <c r="Y6"/>
  <c r="A4" i="98" s="1"/>
  <c r="Y18" i="73"/>
  <c r="Y15"/>
  <c r="Y9"/>
  <c r="C70" i="100"/>
  <c r="I70" s="1"/>
  <c r="Q70" s="1"/>
  <c r="E70"/>
  <c r="F70"/>
  <c r="G70"/>
  <c r="H70"/>
  <c r="J70"/>
  <c r="K70"/>
  <c r="L70"/>
  <c r="M70"/>
  <c r="N70"/>
  <c r="O70"/>
  <c r="P70"/>
  <c r="C71"/>
  <c r="I71" s="1"/>
  <c r="Q71" s="1"/>
  <c r="E71"/>
  <c r="F71"/>
  <c r="G71"/>
  <c r="H71"/>
  <c r="J71"/>
  <c r="K71"/>
  <c r="L71"/>
  <c r="M71"/>
  <c r="N71"/>
  <c r="O71"/>
  <c r="P71"/>
  <c r="C72"/>
  <c r="I72" s="1"/>
  <c r="Q72" s="1"/>
  <c r="E72"/>
  <c r="F72"/>
  <c r="G72"/>
  <c r="H72"/>
  <c r="J72"/>
  <c r="K72"/>
  <c r="L72"/>
  <c r="M72"/>
  <c r="N72"/>
  <c r="O72"/>
  <c r="P72"/>
  <c r="C73"/>
  <c r="I73" s="1"/>
  <c r="Q73" s="1"/>
  <c r="E73"/>
  <c r="F73"/>
  <c r="G73"/>
  <c r="H73"/>
  <c r="J73"/>
  <c r="K73"/>
  <c r="L73"/>
  <c r="M73"/>
  <c r="N73"/>
  <c r="O73"/>
  <c r="P73"/>
  <c r="C74"/>
  <c r="I74" s="1"/>
  <c r="Q74" s="1"/>
  <c r="E74"/>
  <c r="F74"/>
  <c r="G74"/>
  <c r="H74"/>
  <c r="J74"/>
  <c r="K74"/>
  <c r="L74"/>
  <c r="M74"/>
  <c r="N74"/>
  <c r="O74"/>
  <c r="P74"/>
  <c r="C75"/>
  <c r="I75" s="1"/>
  <c r="Q75" s="1"/>
  <c r="E75"/>
  <c r="F75"/>
  <c r="G75"/>
  <c r="H75"/>
  <c r="J75"/>
  <c r="K75"/>
  <c r="L75"/>
  <c r="M75"/>
  <c r="N75"/>
  <c r="O75"/>
  <c r="P75"/>
  <c r="C76"/>
  <c r="I76" s="1"/>
  <c r="Q76" s="1"/>
  <c r="E76"/>
  <c r="F76"/>
  <c r="G76"/>
  <c r="H76"/>
  <c r="J76"/>
  <c r="K76"/>
  <c r="L76"/>
  <c r="M76"/>
  <c r="N76"/>
  <c r="O76"/>
  <c r="P76"/>
  <c r="C77"/>
  <c r="I77" s="1"/>
  <c r="Q77" s="1"/>
  <c r="E77"/>
  <c r="F77"/>
  <c r="G77"/>
  <c r="H77"/>
  <c r="J77"/>
  <c r="K77"/>
  <c r="L77"/>
  <c r="M77"/>
  <c r="N77"/>
  <c r="O77"/>
  <c r="P77"/>
  <c r="C78"/>
  <c r="I78" s="1"/>
  <c r="Q78" s="1"/>
  <c r="E78"/>
  <c r="F78"/>
  <c r="G78"/>
  <c r="H78"/>
  <c r="J78"/>
  <c r="K78"/>
  <c r="L78"/>
  <c r="M78"/>
  <c r="N78"/>
  <c r="O78"/>
  <c r="P78"/>
  <c r="C79"/>
  <c r="I79" s="1"/>
  <c r="Q79" s="1"/>
  <c r="E79"/>
  <c r="F79"/>
  <c r="G79"/>
  <c r="H79"/>
  <c r="J79"/>
  <c r="K79"/>
  <c r="L79"/>
  <c r="M79"/>
  <c r="N79"/>
  <c r="O79"/>
  <c r="P79"/>
  <c r="C80"/>
  <c r="I80" s="1"/>
  <c r="Q80" s="1"/>
  <c r="E80"/>
  <c r="F80"/>
  <c r="G80"/>
  <c r="H80"/>
  <c r="J80"/>
  <c r="K80"/>
  <c r="L80"/>
  <c r="M80"/>
  <c r="N80"/>
  <c r="O80"/>
  <c r="P80"/>
  <c r="C81"/>
  <c r="I81" s="1"/>
  <c r="Q81" s="1"/>
  <c r="E81"/>
  <c r="F81"/>
  <c r="G81"/>
  <c r="H81"/>
  <c r="J81"/>
  <c r="K81"/>
  <c r="L81"/>
  <c r="M81"/>
  <c r="N81"/>
  <c r="O81"/>
  <c r="P81"/>
  <c r="C82"/>
  <c r="I82" s="1"/>
  <c r="Q82" s="1"/>
  <c r="E82"/>
  <c r="F82"/>
  <c r="G82"/>
  <c r="H82"/>
  <c r="J82"/>
  <c r="K82"/>
  <c r="L82"/>
  <c r="M82"/>
  <c r="N82"/>
  <c r="O82"/>
  <c r="P82"/>
  <c r="C83"/>
  <c r="I83" s="1"/>
  <c r="Q83" s="1"/>
  <c r="E83"/>
  <c r="F83"/>
  <c r="G83"/>
  <c r="H83"/>
  <c r="J83"/>
  <c r="K83"/>
  <c r="L83"/>
  <c r="M83"/>
  <c r="N83"/>
  <c r="O83"/>
  <c r="P83"/>
  <c r="P41" i="98"/>
  <c r="O41"/>
  <c r="N41"/>
  <c r="M41"/>
  <c r="L41"/>
  <c r="K41"/>
  <c r="J41"/>
  <c r="I41"/>
  <c r="H41"/>
  <c r="G41"/>
  <c r="F41"/>
  <c r="P40"/>
  <c r="O40"/>
  <c r="N40"/>
  <c r="M40"/>
  <c r="L40"/>
  <c r="K40"/>
  <c r="J40"/>
  <c r="I40"/>
  <c r="H40"/>
  <c r="G40"/>
  <c r="F40"/>
  <c r="P39"/>
  <c r="O39"/>
  <c r="N39"/>
  <c r="M39"/>
  <c r="L39"/>
  <c r="K39"/>
  <c r="J39"/>
  <c r="I39"/>
  <c r="H39"/>
  <c r="G39"/>
  <c r="F39"/>
  <c r="F78"/>
  <c r="G78"/>
  <c r="H78"/>
  <c r="I78"/>
  <c r="J78"/>
  <c r="K78"/>
  <c r="L78"/>
  <c r="M78"/>
  <c r="N78"/>
  <c r="O78"/>
  <c r="P78"/>
  <c r="F79"/>
  <c r="G79"/>
  <c r="H79"/>
  <c r="I79"/>
  <c r="J79"/>
  <c r="K79"/>
  <c r="L79"/>
  <c r="M79"/>
  <c r="N79"/>
  <c r="O79"/>
  <c r="P79"/>
  <c r="F80"/>
  <c r="G80"/>
  <c r="H80"/>
  <c r="I80"/>
  <c r="J80"/>
  <c r="K80"/>
  <c r="L80"/>
  <c r="M80"/>
  <c r="N80"/>
  <c r="O80"/>
  <c r="P80"/>
  <c r="F81"/>
  <c r="G81"/>
  <c r="H81"/>
  <c r="I81"/>
  <c r="J81"/>
  <c r="K81"/>
  <c r="L81"/>
  <c r="M81"/>
  <c r="N81"/>
  <c r="O81"/>
  <c r="P81"/>
  <c r="F82"/>
  <c r="G82"/>
  <c r="H82"/>
  <c r="I82"/>
  <c r="J82"/>
  <c r="K82"/>
  <c r="L82"/>
  <c r="M82"/>
  <c r="N82"/>
  <c r="O82"/>
  <c r="P82"/>
  <c r="P28" i="109"/>
  <c r="N28"/>
  <c r="M28"/>
  <c r="L28"/>
  <c r="K28"/>
  <c r="J28"/>
  <c r="I28"/>
  <c r="H28"/>
  <c r="G28"/>
  <c r="F28"/>
  <c r="E28"/>
  <c r="P27"/>
  <c r="N27"/>
  <c r="M27"/>
  <c r="L27"/>
  <c r="K27"/>
  <c r="J27"/>
  <c r="I27"/>
  <c r="H27"/>
  <c r="G27"/>
  <c r="F27"/>
  <c r="E27"/>
  <c r="P26"/>
  <c r="N26"/>
  <c r="M26"/>
  <c r="L26"/>
  <c r="K26"/>
  <c r="J26"/>
  <c r="I26"/>
  <c r="H26"/>
  <c r="G26"/>
  <c r="F26"/>
  <c r="E26"/>
  <c r="P25"/>
  <c r="N25"/>
  <c r="M25"/>
  <c r="L25"/>
  <c r="K25"/>
  <c r="J25"/>
  <c r="I25"/>
  <c r="H25"/>
  <c r="G25"/>
  <c r="F25"/>
  <c r="E25"/>
  <c r="P24"/>
  <c r="N24"/>
  <c r="M24"/>
  <c r="L24"/>
  <c r="K24"/>
  <c r="J24"/>
  <c r="I24"/>
  <c r="H24"/>
  <c r="G24"/>
  <c r="F24"/>
  <c r="E24"/>
  <c r="P23"/>
  <c r="N23"/>
  <c r="M23"/>
  <c r="L23"/>
  <c r="K23"/>
  <c r="J23"/>
  <c r="I23"/>
  <c r="H23"/>
  <c r="G23"/>
  <c r="F23"/>
  <c r="E23"/>
  <c r="P22"/>
  <c r="N22"/>
  <c r="M22"/>
  <c r="L22"/>
  <c r="K22"/>
  <c r="J22"/>
  <c r="I22"/>
  <c r="H22"/>
  <c r="G22"/>
  <c r="F22"/>
  <c r="E22"/>
  <c r="P21"/>
  <c r="N21"/>
  <c r="M21"/>
  <c r="L21"/>
  <c r="K21"/>
  <c r="J21"/>
  <c r="I21"/>
  <c r="H21"/>
  <c r="G21"/>
  <c r="F21"/>
  <c r="E21"/>
  <c r="P20"/>
  <c r="N20"/>
  <c r="M20"/>
  <c r="L20"/>
  <c r="K20"/>
  <c r="J20"/>
  <c r="I20"/>
  <c r="H20"/>
  <c r="G20"/>
  <c r="F20"/>
  <c r="E20"/>
  <c r="P19"/>
  <c r="N19"/>
  <c r="M19"/>
  <c r="L19"/>
  <c r="K19"/>
  <c r="J19"/>
  <c r="I19"/>
  <c r="H19"/>
  <c r="G19"/>
  <c r="F19"/>
  <c r="E19"/>
  <c r="P18"/>
  <c r="N18"/>
  <c r="M18"/>
  <c r="L18"/>
  <c r="K18"/>
  <c r="J18"/>
  <c r="I18"/>
  <c r="H18"/>
  <c r="G18"/>
  <c r="F18"/>
  <c r="E18"/>
  <c r="P17"/>
  <c r="N17"/>
  <c r="M17"/>
  <c r="L17"/>
  <c r="K17"/>
  <c r="J17"/>
  <c r="I17"/>
  <c r="H17"/>
  <c r="G17"/>
  <c r="F17"/>
  <c r="E17"/>
  <c r="P16"/>
  <c r="N16"/>
  <c r="M16"/>
  <c r="L16"/>
  <c r="K16"/>
  <c r="J16"/>
  <c r="I16"/>
  <c r="H16"/>
  <c r="G16"/>
  <c r="F16"/>
  <c r="E16"/>
  <c r="P15"/>
  <c r="N15"/>
  <c r="M15"/>
  <c r="L15"/>
  <c r="K15"/>
  <c r="J15"/>
  <c r="I15"/>
  <c r="H15"/>
  <c r="G15"/>
  <c r="F15"/>
  <c r="E15"/>
  <c r="P14"/>
  <c r="N14"/>
  <c r="M14"/>
  <c r="L14"/>
  <c r="K14"/>
  <c r="J14"/>
  <c r="I14"/>
  <c r="H14"/>
  <c r="G14"/>
  <c r="F14"/>
  <c r="E14"/>
  <c r="P13"/>
  <c r="N13"/>
  <c r="M13"/>
  <c r="L13"/>
  <c r="K13"/>
  <c r="J13"/>
  <c r="I13"/>
  <c r="H13"/>
  <c r="G13"/>
  <c r="F13"/>
  <c r="E13"/>
  <c r="P12"/>
  <c r="N12"/>
  <c r="M12"/>
  <c r="L12"/>
  <c r="K12"/>
  <c r="J12"/>
  <c r="I12"/>
  <c r="H12"/>
  <c r="G12"/>
  <c r="F12"/>
  <c r="E12"/>
  <c r="P11"/>
  <c r="N11"/>
  <c r="M11"/>
  <c r="L11"/>
  <c r="K11"/>
  <c r="J11"/>
  <c r="I11"/>
  <c r="H11"/>
  <c r="G11"/>
  <c r="F11"/>
  <c r="E11"/>
  <c r="P10"/>
  <c r="N10"/>
  <c r="M10"/>
  <c r="L10"/>
  <c r="K10"/>
  <c r="J10"/>
  <c r="I10"/>
  <c r="H10"/>
  <c r="G10"/>
  <c r="F10"/>
  <c r="E10"/>
  <c r="P9"/>
  <c r="N9"/>
  <c r="M9"/>
  <c r="L9"/>
  <c r="K9"/>
  <c r="J9"/>
  <c r="I9"/>
  <c r="H9"/>
  <c r="G9"/>
  <c r="F9"/>
  <c r="E9"/>
  <c r="P8"/>
  <c r="N8"/>
  <c r="M8"/>
  <c r="L8"/>
  <c r="K8"/>
  <c r="J8"/>
  <c r="I8"/>
  <c r="H8"/>
  <c r="G8"/>
  <c r="F8"/>
  <c r="E8"/>
  <c r="P7"/>
  <c r="N7"/>
  <c r="M7"/>
  <c r="L7"/>
  <c r="K7"/>
  <c r="J7"/>
  <c r="I7"/>
  <c r="H7"/>
  <c r="G7"/>
  <c r="F7"/>
  <c r="E7"/>
  <c r="P6"/>
  <c r="N6"/>
  <c r="M6"/>
  <c r="L6"/>
  <c r="K6"/>
  <c r="J6"/>
  <c r="I6"/>
  <c r="H6"/>
  <c r="G6"/>
  <c r="F6"/>
  <c r="E6"/>
  <c r="P5"/>
  <c r="N5"/>
  <c r="M5"/>
  <c r="L5"/>
  <c r="K5"/>
  <c r="J5"/>
  <c r="I5"/>
  <c r="H5"/>
  <c r="G5"/>
  <c r="F5"/>
  <c r="E5"/>
  <c r="P4"/>
  <c r="N4"/>
  <c r="M4"/>
  <c r="L4"/>
  <c r="K4"/>
  <c r="J4"/>
  <c r="I4"/>
  <c r="H4"/>
  <c r="G4"/>
  <c r="F4"/>
  <c r="E4"/>
  <c r="P33" i="108"/>
  <c r="O33"/>
  <c r="N33"/>
  <c r="M33"/>
  <c r="L33"/>
  <c r="K33"/>
  <c r="J33"/>
  <c r="H33"/>
  <c r="G33"/>
  <c r="F33"/>
  <c r="E33"/>
  <c r="P32"/>
  <c r="O32"/>
  <c r="N32"/>
  <c r="M32"/>
  <c r="L32"/>
  <c r="K32"/>
  <c r="J32"/>
  <c r="H32"/>
  <c r="G32"/>
  <c r="F32"/>
  <c r="E32"/>
  <c r="P31"/>
  <c r="O31"/>
  <c r="N31"/>
  <c r="M31"/>
  <c r="L31"/>
  <c r="K31"/>
  <c r="J31"/>
  <c r="H31"/>
  <c r="G31"/>
  <c r="F31"/>
  <c r="E31"/>
  <c r="P30"/>
  <c r="O30"/>
  <c r="N30"/>
  <c r="M30"/>
  <c r="L30"/>
  <c r="K30"/>
  <c r="J30"/>
  <c r="H30"/>
  <c r="G30"/>
  <c r="F30"/>
  <c r="E30"/>
  <c r="P29"/>
  <c r="O29"/>
  <c r="N29"/>
  <c r="M29"/>
  <c r="L29"/>
  <c r="K29"/>
  <c r="J29"/>
  <c r="H29"/>
  <c r="G29"/>
  <c r="F29"/>
  <c r="E29"/>
  <c r="P28"/>
  <c r="O28"/>
  <c r="N28"/>
  <c r="M28"/>
  <c r="L28"/>
  <c r="K28"/>
  <c r="J28"/>
  <c r="H28"/>
  <c r="G28"/>
  <c r="F28"/>
  <c r="E28"/>
  <c r="P27"/>
  <c r="O27"/>
  <c r="N27"/>
  <c r="M27"/>
  <c r="L27"/>
  <c r="K27"/>
  <c r="J27"/>
  <c r="H27"/>
  <c r="G27"/>
  <c r="F27"/>
  <c r="E27"/>
  <c r="P26"/>
  <c r="O26"/>
  <c r="N26"/>
  <c r="M26"/>
  <c r="L26"/>
  <c r="K26"/>
  <c r="J26"/>
  <c r="H26"/>
  <c r="G26"/>
  <c r="F26"/>
  <c r="E26"/>
  <c r="P25"/>
  <c r="O25"/>
  <c r="N25"/>
  <c r="M25"/>
  <c r="L25"/>
  <c r="K25"/>
  <c r="J25"/>
  <c r="H25"/>
  <c r="G25"/>
  <c r="F25"/>
  <c r="E25"/>
  <c r="P24"/>
  <c r="O24"/>
  <c r="N24"/>
  <c r="M24"/>
  <c r="L24"/>
  <c r="K24"/>
  <c r="J24"/>
  <c r="H24"/>
  <c r="G24"/>
  <c r="F24"/>
  <c r="E24"/>
  <c r="P23"/>
  <c r="O23"/>
  <c r="N23"/>
  <c r="M23"/>
  <c r="L23"/>
  <c r="K23"/>
  <c r="J23"/>
  <c r="H23"/>
  <c r="G23"/>
  <c r="F23"/>
  <c r="E23"/>
  <c r="P22"/>
  <c r="O22"/>
  <c r="N22"/>
  <c r="M22"/>
  <c r="L22"/>
  <c r="K22"/>
  <c r="J22"/>
  <c r="H22"/>
  <c r="G22"/>
  <c r="F22"/>
  <c r="E22"/>
  <c r="P21"/>
  <c r="O21"/>
  <c r="N21"/>
  <c r="M21"/>
  <c r="L21"/>
  <c r="K21"/>
  <c r="J21"/>
  <c r="H21"/>
  <c r="G21"/>
  <c r="F21"/>
  <c r="E21"/>
  <c r="P20"/>
  <c r="O20"/>
  <c r="N20"/>
  <c r="M20"/>
  <c r="L20"/>
  <c r="K20"/>
  <c r="J20"/>
  <c r="H20"/>
  <c r="G20"/>
  <c r="F20"/>
  <c r="E20"/>
  <c r="P19"/>
  <c r="O19"/>
  <c r="N19"/>
  <c r="M19"/>
  <c r="L19"/>
  <c r="K19"/>
  <c r="J19"/>
  <c r="H19"/>
  <c r="G19"/>
  <c r="F19"/>
  <c r="E19"/>
  <c r="P18"/>
  <c r="O18"/>
  <c r="N18"/>
  <c r="M18"/>
  <c r="L18"/>
  <c r="K18"/>
  <c r="J18"/>
  <c r="H18"/>
  <c r="G18"/>
  <c r="F18"/>
  <c r="E18"/>
  <c r="P17"/>
  <c r="O17"/>
  <c r="N17"/>
  <c r="M17"/>
  <c r="L17"/>
  <c r="K17"/>
  <c r="J17"/>
  <c r="H17"/>
  <c r="G17"/>
  <c r="F17"/>
  <c r="E17"/>
  <c r="P16"/>
  <c r="O16"/>
  <c r="N16"/>
  <c r="M16"/>
  <c r="L16"/>
  <c r="K16"/>
  <c r="J16"/>
  <c r="H16"/>
  <c r="G16"/>
  <c r="F16"/>
  <c r="E16"/>
  <c r="P15"/>
  <c r="O15"/>
  <c r="N15"/>
  <c r="M15"/>
  <c r="L15"/>
  <c r="K15"/>
  <c r="J15"/>
  <c r="H15"/>
  <c r="G15"/>
  <c r="F15"/>
  <c r="E15"/>
  <c r="P14"/>
  <c r="O14"/>
  <c r="N14"/>
  <c r="M14"/>
  <c r="L14"/>
  <c r="K14"/>
  <c r="J14"/>
  <c r="H14"/>
  <c r="G14"/>
  <c r="F14"/>
  <c r="E14"/>
  <c r="P13"/>
  <c r="O13"/>
  <c r="N13"/>
  <c r="M13"/>
  <c r="L13"/>
  <c r="K13"/>
  <c r="J13"/>
  <c r="H13"/>
  <c r="G13"/>
  <c r="F13"/>
  <c r="E13"/>
  <c r="P12"/>
  <c r="O12"/>
  <c r="N12"/>
  <c r="M12"/>
  <c r="L12"/>
  <c r="K12"/>
  <c r="J12"/>
  <c r="H12"/>
  <c r="G12"/>
  <c r="F12"/>
  <c r="E12"/>
  <c r="P11"/>
  <c r="O11"/>
  <c r="N11"/>
  <c r="M11"/>
  <c r="L11"/>
  <c r="K11"/>
  <c r="J11"/>
  <c r="H11"/>
  <c r="G11"/>
  <c r="F11"/>
  <c r="E11"/>
  <c r="P10"/>
  <c r="O10"/>
  <c r="N10"/>
  <c r="M10"/>
  <c r="L10"/>
  <c r="K10"/>
  <c r="J10"/>
  <c r="H10"/>
  <c r="G10"/>
  <c r="F10"/>
  <c r="E10"/>
  <c r="P9"/>
  <c r="O9"/>
  <c r="N9"/>
  <c r="M9"/>
  <c r="L9"/>
  <c r="K9"/>
  <c r="J9"/>
  <c r="H9"/>
  <c r="G9"/>
  <c r="F9"/>
  <c r="E9"/>
  <c r="P8"/>
  <c r="O8"/>
  <c r="N8"/>
  <c r="M8"/>
  <c r="L8"/>
  <c r="K8"/>
  <c r="J8"/>
  <c r="H8"/>
  <c r="G8"/>
  <c r="F8"/>
  <c r="E8"/>
  <c r="P7"/>
  <c r="O7"/>
  <c r="N7"/>
  <c r="M7"/>
  <c r="L7"/>
  <c r="K7"/>
  <c r="J7"/>
  <c r="H7"/>
  <c r="G7"/>
  <c r="F7"/>
  <c r="E7"/>
  <c r="P6"/>
  <c r="O6"/>
  <c r="N6"/>
  <c r="M6"/>
  <c r="L6"/>
  <c r="K6"/>
  <c r="J6"/>
  <c r="H6"/>
  <c r="G6"/>
  <c r="F6"/>
  <c r="E6"/>
  <c r="P5"/>
  <c r="O5"/>
  <c r="N5"/>
  <c r="M5"/>
  <c r="L5"/>
  <c r="K5"/>
  <c r="J5"/>
  <c r="H5"/>
  <c r="G5"/>
  <c r="F5"/>
  <c r="E5"/>
  <c r="P4"/>
  <c r="O4"/>
  <c r="N4"/>
  <c r="M4"/>
  <c r="L4"/>
  <c r="K4"/>
  <c r="J4"/>
  <c r="H4"/>
  <c r="G4"/>
  <c r="F4"/>
  <c r="E4"/>
  <c r="N69" i="104"/>
  <c r="M69"/>
  <c r="K69"/>
  <c r="F69"/>
  <c r="E69"/>
  <c r="P69"/>
  <c r="L69"/>
  <c r="J69"/>
  <c r="I69"/>
  <c r="H69"/>
  <c r="G69"/>
  <c r="P68"/>
  <c r="M68"/>
  <c r="H68"/>
  <c r="E68"/>
  <c r="N68"/>
  <c r="L68"/>
  <c r="K68"/>
  <c r="J68"/>
  <c r="I68"/>
  <c r="G68"/>
  <c r="F68"/>
  <c r="L67"/>
  <c r="K67"/>
  <c r="H67"/>
  <c r="G67"/>
  <c r="P67"/>
  <c r="N67"/>
  <c r="M67"/>
  <c r="J67"/>
  <c r="I67"/>
  <c r="F67"/>
  <c r="E67"/>
  <c r="N66"/>
  <c r="L66"/>
  <c r="K66"/>
  <c r="F66"/>
  <c r="P66"/>
  <c r="M66"/>
  <c r="J66"/>
  <c r="I66"/>
  <c r="H66"/>
  <c r="G66"/>
  <c r="E66"/>
  <c r="N65"/>
  <c r="M65"/>
  <c r="K65"/>
  <c r="F65"/>
  <c r="E65"/>
  <c r="P65"/>
  <c r="L65"/>
  <c r="J65"/>
  <c r="I65"/>
  <c r="H65"/>
  <c r="G65"/>
  <c r="M64"/>
  <c r="H64"/>
  <c r="E64"/>
  <c r="P64"/>
  <c r="N64"/>
  <c r="L64"/>
  <c r="K64"/>
  <c r="J64"/>
  <c r="I64"/>
  <c r="G64"/>
  <c r="F64"/>
  <c r="L63"/>
  <c r="K63"/>
  <c r="G63"/>
  <c r="P63"/>
  <c r="N63"/>
  <c r="M63"/>
  <c r="J63"/>
  <c r="I63"/>
  <c r="H63"/>
  <c r="F63"/>
  <c r="E63"/>
  <c r="N62"/>
  <c r="L62"/>
  <c r="P62"/>
  <c r="M62"/>
  <c r="K62"/>
  <c r="J62"/>
  <c r="I62"/>
  <c r="H62"/>
  <c r="G62"/>
  <c r="F62"/>
  <c r="E62"/>
  <c r="N61"/>
  <c r="K61"/>
  <c r="J61"/>
  <c r="I61"/>
  <c r="G61"/>
  <c r="F61"/>
  <c r="P61"/>
  <c r="M61"/>
  <c r="L61"/>
  <c r="H61"/>
  <c r="E61"/>
  <c r="M60"/>
  <c r="J60"/>
  <c r="I60"/>
  <c r="H60"/>
  <c r="E60"/>
  <c r="P60"/>
  <c r="N60"/>
  <c r="L60"/>
  <c r="K60"/>
  <c r="G60"/>
  <c r="F60"/>
  <c r="P59"/>
  <c r="L59"/>
  <c r="K59"/>
  <c r="E59"/>
  <c r="N59"/>
  <c r="M59"/>
  <c r="J59"/>
  <c r="I59"/>
  <c r="H59"/>
  <c r="G59"/>
  <c r="F59"/>
  <c r="P58"/>
  <c r="M58"/>
  <c r="I58"/>
  <c r="H58"/>
  <c r="E58"/>
  <c r="N58"/>
  <c r="L58"/>
  <c r="K58"/>
  <c r="J58"/>
  <c r="G58"/>
  <c r="F58"/>
  <c r="L57"/>
  <c r="G57"/>
  <c r="P57"/>
  <c r="N57"/>
  <c r="M57"/>
  <c r="K57"/>
  <c r="J57"/>
  <c r="I57"/>
  <c r="H57"/>
  <c r="F57"/>
  <c r="E57"/>
  <c r="N56"/>
  <c r="L56"/>
  <c r="K56"/>
  <c r="J56"/>
  <c r="F56"/>
  <c r="P56"/>
  <c r="M56"/>
  <c r="I56"/>
  <c r="H56"/>
  <c r="G56"/>
  <c r="E56"/>
  <c r="N55"/>
  <c r="M55"/>
  <c r="K55"/>
  <c r="J55"/>
  <c r="I55"/>
  <c r="F55"/>
  <c r="E55"/>
  <c r="P55"/>
  <c r="L55"/>
  <c r="H55"/>
  <c r="G55"/>
  <c r="P54"/>
  <c r="M54"/>
  <c r="I54"/>
  <c r="H54"/>
  <c r="E54"/>
  <c r="N54"/>
  <c r="L54"/>
  <c r="K54"/>
  <c r="J54"/>
  <c r="G54"/>
  <c r="F54"/>
  <c r="L53"/>
  <c r="G53"/>
  <c r="P53"/>
  <c r="N53"/>
  <c r="M53"/>
  <c r="K53"/>
  <c r="J53"/>
  <c r="I53"/>
  <c r="H53"/>
  <c r="F53"/>
  <c r="E53"/>
  <c r="N52"/>
  <c r="L52"/>
  <c r="K52"/>
  <c r="J52"/>
  <c r="F52"/>
  <c r="P52"/>
  <c r="M52"/>
  <c r="I52"/>
  <c r="H52"/>
  <c r="G52"/>
  <c r="E52"/>
  <c r="N51"/>
  <c r="M51"/>
  <c r="K51"/>
  <c r="J51"/>
  <c r="I51"/>
  <c r="F51"/>
  <c r="E51"/>
  <c r="P51"/>
  <c r="L51"/>
  <c r="H51"/>
  <c r="G51"/>
  <c r="M50"/>
  <c r="I50"/>
  <c r="H50"/>
  <c r="E50"/>
  <c r="P50"/>
  <c r="N50"/>
  <c r="L50"/>
  <c r="K50"/>
  <c r="J50"/>
  <c r="G50"/>
  <c r="F50"/>
  <c r="L49"/>
  <c r="G49"/>
  <c r="P49"/>
  <c r="N49"/>
  <c r="M49"/>
  <c r="K49"/>
  <c r="J49"/>
  <c r="I49"/>
  <c r="H49"/>
  <c r="F49"/>
  <c r="E49"/>
  <c r="N48"/>
  <c r="L48"/>
  <c r="K48"/>
  <c r="J48"/>
  <c r="F48"/>
  <c r="P48"/>
  <c r="M48"/>
  <c r="I48"/>
  <c r="H48"/>
  <c r="G48"/>
  <c r="E48"/>
  <c r="N47"/>
  <c r="M47"/>
  <c r="K47"/>
  <c r="J47"/>
  <c r="I47"/>
  <c r="F47"/>
  <c r="E47"/>
  <c r="P47"/>
  <c r="L47"/>
  <c r="H47"/>
  <c r="G47"/>
  <c r="M46"/>
  <c r="I46"/>
  <c r="H46"/>
  <c r="E46"/>
  <c r="P46"/>
  <c r="N46"/>
  <c r="L46"/>
  <c r="K46"/>
  <c r="J46"/>
  <c r="G46"/>
  <c r="F46"/>
  <c r="L45"/>
  <c r="G45"/>
  <c r="P45"/>
  <c r="N45"/>
  <c r="M45"/>
  <c r="K45"/>
  <c r="J45"/>
  <c r="I45"/>
  <c r="H45"/>
  <c r="F45"/>
  <c r="E45"/>
  <c r="N44"/>
  <c r="L44"/>
  <c r="K44"/>
  <c r="J44"/>
  <c r="F44"/>
  <c r="P44"/>
  <c r="M44"/>
  <c r="I44"/>
  <c r="H44"/>
  <c r="G44"/>
  <c r="E44"/>
  <c r="N43"/>
  <c r="M43"/>
  <c r="K43"/>
  <c r="J43"/>
  <c r="I43"/>
  <c r="F43"/>
  <c r="E43"/>
  <c r="P43"/>
  <c r="L43"/>
  <c r="H43"/>
  <c r="G43"/>
  <c r="P42"/>
  <c r="M42"/>
  <c r="I42"/>
  <c r="H42"/>
  <c r="E42"/>
  <c r="N42"/>
  <c r="L42"/>
  <c r="K42"/>
  <c r="J42"/>
  <c r="G42"/>
  <c r="F42"/>
  <c r="L41"/>
  <c r="G41"/>
  <c r="P41"/>
  <c r="N41"/>
  <c r="M41"/>
  <c r="K41"/>
  <c r="J41"/>
  <c r="I41"/>
  <c r="H41"/>
  <c r="F41"/>
  <c r="E41"/>
  <c r="N40"/>
  <c r="L40"/>
  <c r="K40"/>
  <c r="J40"/>
  <c r="F40"/>
  <c r="P40"/>
  <c r="M40"/>
  <c r="I40"/>
  <c r="H40"/>
  <c r="G40"/>
  <c r="E40"/>
  <c r="N39"/>
  <c r="M39"/>
  <c r="K39"/>
  <c r="J39"/>
  <c r="I39"/>
  <c r="F39"/>
  <c r="E39"/>
  <c r="P39"/>
  <c r="L39"/>
  <c r="H39"/>
  <c r="G39"/>
  <c r="P38"/>
  <c r="M38"/>
  <c r="I38"/>
  <c r="H38"/>
  <c r="E38"/>
  <c r="N38"/>
  <c r="L38"/>
  <c r="K38"/>
  <c r="J38"/>
  <c r="G38"/>
  <c r="F38"/>
  <c r="L37"/>
  <c r="G37"/>
  <c r="P37"/>
  <c r="N37"/>
  <c r="M37"/>
  <c r="K37"/>
  <c r="J37"/>
  <c r="I37"/>
  <c r="H37"/>
  <c r="F37"/>
  <c r="E37"/>
  <c r="N36"/>
  <c r="L36"/>
  <c r="K36"/>
  <c r="J36"/>
  <c r="F36"/>
  <c r="P36"/>
  <c r="M36"/>
  <c r="I36"/>
  <c r="H36"/>
  <c r="G36"/>
  <c r="E36"/>
  <c r="N35"/>
  <c r="M35"/>
  <c r="K35"/>
  <c r="J35"/>
  <c r="I35"/>
  <c r="F35"/>
  <c r="E35"/>
  <c r="P35"/>
  <c r="L35"/>
  <c r="H35"/>
  <c r="G35"/>
  <c r="M34"/>
  <c r="I34"/>
  <c r="H34"/>
  <c r="E34"/>
  <c r="P34"/>
  <c r="N34"/>
  <c r="L34"/>
  <c r="K34"/>
  <c r="J34"/>
  <c r="G34"/>
  <c r="F34"/>
  <c r="L33"/>
  <c r="G33"/>
  <c r="P33"/>
  <c r="N33"/>
  <c r="M33"/>
  <c r="K33"/>
  <c r="J33"/>
  <c r="I33"/>
  <c r="H33"/>
  <c r="F33"/>
  <c r="E33"/>
  <c r="N32"/>
  <c r="L32"/>
  <c r="K32"/>
  <c r="J32"/>
  <c r="F32"/>
  <c r="P32"/>
  <c r="M32"/>
  <c r="I32"/>
  <c r="H32"/>
  <c r="G32"/>
  <c r="E32"/>
  <c r="N31"/>
  <c r="M31"/>
  <c r="K31"/>
  <c r="J31"/>
  <c r="I31"/>
  <c r="F31"/>
  <c r="E31"/>
  <c r="P31"/>
  <c r="L31"/>
  <c r="H31"/>
  <c r="G31"/>
  <c r="M30"/>
  <c r="I30"/>
  <c r="H30"/>
  <c r="E30"/>
  <c r="P30"/>
  <c r="N30"/>
  <c r="L30"/>
  <c r="K30"/>
  <c r="J30"/>
  <c r="G30"/>
  <c r="F30"/>
  <c r="G29"/>
  <c r="P29"/>
  <c r="N29"/>
  <c r="M29"/>
  <c r="L29"/>
  <c r="K29"/>
  <c r="J29"/>
  <c r="I29"/>
  <c r="H29"/>
  <c r="F29"/>
  <c r="E29"/>
  <c r="L28"/>
  <c r="K28"/>
  <c r="J28"/>
  <c r="F28"/>
  <c r="P28"/>
  <c r="N28"/>
  <c r="M28"/>
  <c r="I28"/>
  <c r="H28"/>
  <c r="G28"/>
  <c r="E28"/>
  <c r="N27"/>
  <c r="K27"/>
  <c r="F27"/>
  <c r="E27"/>
  <c r="P27"/>
  <c r="M27"/>
  <c r="L27"/>
  <c r="J27"/>
  <c r="I27"/>
  <c r="H27"/>
  <c r="G27"/>
  <c r="M26"/>
  <c r="L26"/>
  <c r="H26"/>
  <c r="F26"/>
  <c r="E26"/>
  <c r="P26"/>
  <c r="N26"/>
  <c r="K26"/>
  <c r="J26"/>
  <c r="I26"/>
  <c r="G26"/>
  <c r="L25"/>
  <c r="I25"/>
  <c r="G25"/>
  <c r="P25"/>
  <c r="N25"/>
  <c r="M25"/>
  <c r="K25"/>
  <c r="J25"/>
  <c r="H25"/>
  <c r="F25"/>
  <c r="E25"/>
  <c r="L24"/>
  <c r="J24"/>
  <c r="P24"/>
  <c r="N24"/>
  <c r="M24"/>
  <c r="K24"/>
  <c r="I24"/>
  <c r="H24"/>
  <c r="G24"/>
  <c r="F24"/>
  <c r="E24"/>
  <c r="N23"/>
  <c r="K23"/>
  <c r="J23"/>
  <c r="G23"/>
  <c r="F23"/>
  <c r="E23"/>
  <c r="P23"/>
  <c r="M23"/>
  <c r="L23"/>
  <c r="I23"/>
  <c r="H23"/>
  <c r="P22"/>
  <c r="M22"/>
  <c r="L22"/>
  <c r="H22"/>
  <c r="F22"/>
  <c r="E22"/>
  <c r="N22"/>
  <c r="K22"/>
  <c r="J22"/>
  <c r="I22"/>
  <c r="G22"/>
  <c r="L21"/>
  <c r="K21"/>
  <c r="G21"/>
  <c r="P21"/>
  <c r="N21"/>
  <c r="M21"/>
  <c r="J21"/>
  <c r="I21"/>
  <c r="H21"/>
  <c r="F21"/>
  <c r="E21"/>
  <c r="N20"/>
  <c r="L20"/>
  <c r="K20"/>
  <c r="F20"/>
  <c r="P20"/>
  <c r="M20"/>
  <c r="J20"/>
  <c r="I20"/>
  <c r="H20"/>
  <c r="G20"/>
  <c r="E20"/>
  <c r="N19"/>
  <c r="K19"/>
  <c r="I19"/>
  <c r="G19"/>
  <c r="F19"/>
  <c r="P19"/>
  <c r="M19"/>
  <c r="L19"/>
  <c r="J19"/>
  <c r="H19"/>
  <c r="E19"/>
  <c r="M18"/>
  <c r="J18"/>
  <c r="H18"/>
  <c r="E18"/>
  <c r="P18"/>
  <c r="N18"/>
  <c r="L18"/>
  <c r="K18"/>
  <c r="I18"/>
  <c r="G18"/>
  <c r="F18"/>
  <c r="L17"/>
  <c r="K17"/>
  <c r="G17"/>
  <c r="E17"/>
  <c r="P17"/>
  <c r="N17"/>
  <c r="M17"/>
  <c r="J17"/>
  <c r="I17"/>
  <c r="H17"/>
  <c r="F17"/>
  <c r="L16"/>
  <c r="K16"/>
  <c r="F16"/>
  <c r="P16"/>
  <c r="N16"/>
  <c r="M16"/>
  <c r="J16"/>
  <c r="I16"/>
  <c r="H16"/>
  <c r="G16"/>
  <c r="E16"/>
  <c r="N15"/>
  <c r="K15"/>
  <c r="G15"/>
  <c r="F15"/>
  <c r="P15"/>
  <c r="M15"/>
  <c r="L15"/>
  <c r="J15"/>
  <c r="I15"/>
  <c r="H15"/>
  <c r="E15"/>
  <c r="P14"/>
  <c r="M14"/>
  <c r="L14"/>
  <c r="I14"/>
  <c r="H14"/>
  <c r="E14"/>
  <c r="N14"/>
  <c r="K14"/>
  <c r="J14"/>
  <c r="G14"/>
  <c r="F14"/>
  <c r="K13"/>
  <c r="G13"/>
  <c r="E13"/>
  <c r="P13"/>
  <c r="N13"/>
  <c r="M13"/>
  <c r="L13"/>
  <c r="J13"/>
  <c r="I13"/>
  <c r="H13"/>
  <c r="F13"/>
  <c r="L12"/>
  <c r="K12"/>
  <c r="J12"/>
  <c r="F12"/>
  <c r="P12"/>
  <c r="N12"/>
  <c r="M12"/>
  <c r="I12"/>
  <c r="H12"/>
  <c r="G12"/>
  <c r="E12"/>
  <c r="N11"/>
  <c r="K11"/>
  <c r="F11"/>
  <c r="E11"/>
  <c r="P11"/>
  <c r="M11"/>
  <c r="L11"/>
  <c r="J11"/>
  <c r="I11"/>
  <c r="H11"/>
  <c r="G11"/>
  <c r="P10"/>
  <c r="M10"/>
  <c r="L10"/>
  <c r="H10"/>
  <c r="F10"/>
  <c r="E10"/>
  <c r="N10"/>
  <c r="K10"/>
  <c r="J10"/>
  <c r="I10"/>
  <c r="G10"/>
  <c r="L9"/>
  <c r="I9"/>
  <c r="G9"/>
  <c r="P9"/>
  <c r="N9"/>
  <c r="M9"/>
  <c r="K9"/>
  <c r="J9"/>
  <c r="H9"/>
  <c r="F9"/>
  <c r="E9"/>
  <c r="L8"/>
  <c r="J8"/>
  <c r="P8"/>
  <c r="N8"/>
  <c r="M8"/>
  <c r="K8"/>
  <c r="I8"/>
  <c r="H8"/>
  <c r="G8"/>
  <c r="F8"/>
  <c r="E8"/>
  <c r="N7"/>
  <c r="K7"/>
  <c r="J7"/>
  <c r="G7"/>
  <c r="F7"/>
  <c r="E7"/>
  <c r="P7"/>
  <c r="M7"/>
  <c r="L7"/>
  <c r="I7"/>
  <c r="H7"/>
  <c r="P6"/>
  <c r="M6"/>
  <c r="L6"/>
  <c r="H6"/>
  <c r="F6"/>
  <c r="E6"/>
  <c r="N6"/>
  <c r="K6"/>
  <c r="J6"/>
  <c r="I6"/>
  <c r="G6"/>
  <c r="L5"/>
  <c r="K5"/>
  <c r="G5"/>
  <c r="P5"/>
  <c r="N5"/>
  <c r="M5"/>
  <c r="J5"/>
  <c r="I5"/>
  <c r="H5"/>
  <c r="F5"/>
  <c r="E5"/>
  <c r="N4"/>
  <c r="L4"/>
  <c r="K4"/>
  <c r="F4"/>
  <c r="P4"/>
  <c r="M4"/>
  <c r="J4"/>
  <c r="I4"/>
  <c r="H4"/>
  <c r="G4"/>
  <c r="E4"/>
  <c r="O58" i="88" l="1"/>
  <c r="I59"/>
  <c r="I58"/>
  <c r="O59"/>
  <c r="A8" i="98"/>
  <c r="A12"/>
  <c r="A16"/>
  <c r="A20"/>
  <c r="A24"/>
  <c r="A28"/>
  <c r="A32"/>
  <c r="A36"/>
  <c r="A40"/>
  <c r="A44"/>
  <c r="A48"/>
  <c r="A52"/>
  <c r="A56"/>
  <c r="A60"/>
  <c r="A64"/>
  <c r="A68"/>
  <c r="A72"/>
  <c r="A76"/>
  <c r="A80"/>
  <c r="A84"/>
  <c r="A88"/>
  <c r="A92"/>
  <c r="A96"/>
  <c r="A7"/>
  <c r="A11"/>
  <c r="A15"/>
  <c r="A19"/>
  <c r="A23"/>
  <c r="A27"/>
  <c r="A31"/>
  <c r="A35"/>
  <c r="A39"/>
  <c r="A43"/>
  <c r="A47"/>
  <c r="A51"/>
  <c r="A55"/>
  <c r="A59"/>
  <c r="A63"/>
  <c r="A67"/>
  <c r="A71"/>
  <c r="A75"/>
  <c r="A79"/>
  <c r="A83"/>
  <c r="A87"/>
  <c r="A91"/>
  <c r="A95"/>
  <c r="A9"/>
  <c r="A13"/>
  <c r="A17"/>
  <c r="A21"/>
  <c r="A25"/>
  <c r="A29"/>
  <c r="A33"/>
  <c r="A37"/>
  <c r="A41"/>
  <c r="A45"/>
  <c r="A49"/>
  <c r="A53"/>
  <c r="A57"/>
  <c r="A61"/>
  <c r="A65"/>
  <c r="A69"/>
  <c r="A73"/>
  <c r="A77"/>
  <c r="A81"/>
  <c r="A85"/>
  <c r="A89"/>
  <c r="A93"/>
  <c r="A6"/>
  <c r="A10"/>
  <c r="A14"/>
  <c r="A18"/>
  <c r="A22"/>
  <c r="A26"/>
  <c r="A30"/>
  <c r="A34"/>
  <c r="A38"/>
  <c r="A42"/>
  <c r="A46"/>
  <c r="A50"/>
  <c r="A54"/>
  <c r="A58"/>
  <c r="A62"/>
  <c r="A66"/>
  <c r="A70"/>
  <c r="A74"/>
  <c r="A78"/>
  <c r="A82"/>
  <c r="A86"/>
  <c r="A90"/>
  <c r="A94"/>
  <c r="A5"/>
  <c r="N45" i="102"/>
  <c r="K45"/>
  <c r="P45"/>
  <c r="O45"/>
  <c r="L45"/>
  <c r="J45"/>
  <c r="I45"/>
  <c r="H45"/>
  <c r="G45"/>
  <c r="F45"/>
  <c r="E45"/>
  <c r="N44"/>
  <c r="E44"/>
  <c r="P44"/>
  <c r="O44"/>
  <c r="L44"/>
  <c r="K44"/>
  <c r="J44"/>
  <c r="I44"/>
  <c r="H44"/>
  <c r="G44"/>
  <c r="F44"/>
  <c r="P43"/>
  <c r="O43"/>
  <c r="N43"/>
  <c r="L43"/>
  <c r="K43"/>
  <c r="J43"/>
  <c r="I43"/>
  <c r="H43"/>
  <c r="G43"/>
  <c r="F43"/>
  <c r="E43"/>
  <c r="G42"/>
  <c r="P42"/>
  <c r="O42"/>
  <c r="N42"/>
  <c r="L42"/>
  <c r="K42"/>
  <c r="J42"/>
  <c r="I42"/>
  <c r="H42"/>
  <c r="F42"/>
  <c r="E42"/>
  <c r="K41"/>
  <c r="F41"/>
  <c r="P41"/>
  <c r="O41"/>
  <c r="N41"/>
  <c r="L41"/>
  <c r="J41"/>
  <c r="I41"/>
  <c r="H41"/>
  <c r="G41"/>
  <c r="E41"/>
  <c r="E40"/>
  <c r="P40"/>
  <c r="O40"/>
  <c r="N40"/>
  <c r="L40"/>
  <c r="K40"/>
  <c r="J40"/>
  <c r="I40"/>
  <c r="H40"/>
  <c r="G40"/>
  <c r="F40"/>
  <c r="L39"/>
  <c r="P39"/>
  <c r="O39"/>
  <c r="N39"/>
  <c r="K39"/>
  <c r="J39"/>
  <c r="I39"/>
  <c r="H39"/>
  <c r="G39"/>
  <c r="F39"/>
  <c r="E39"/>
  <c r="G38"/>
  <c r="P38"/>
  <c r="O38"/>
  <c r="N38"/>
  <c r="L38"/>
  <c r="K38"/>
  <c r="J38"/>
  <c r="I38"/>
  <c r="H38"/>
  <c r="F38"/>
  <c r="E38"/>
  <c r="K37"/>
  <c r="F37"/>
  <c r="P37"/>
  <c r="O37"/>
  <c r="N37"/>
  <c r="L37"/>
  <c r="J37"/>
  <c r="I37"/>
  <c r="H37"/>
  <c r="G37"/>
  <c r="E37"/>
  <c r="P36"/>
  <c r="O36"/>
  <c r="N36"/>
  <c r="L36"/>
  <c r="K36"/>
  <c r="J36"/>
  <c r="I36"/>
  <c r="H36"/>
  <c r="G36"/>
  <c r="F36"/>
  <c r="E36"/>
  <c r="P35"/>
  <c r="O35"/>
  <c r="N35"/>
  <c r="L35"/>
  <c r="K35"/>
  <c r="J35"/>
  <c r="I35"/>
  <c r="H35"/>
  <c r="G35"/>
  <c r="F35"/>
  <c r="E35"/>
  <c r="G34"/>
  <c r="P34"/>
  <c r="O34"/>
  <c r="N34"/>
  <c r="L34"/>
  <c r="K34"/>
  <c r="J34"/>
  <c r="I34"/>
  <c r="H34"/>
  <c r="F34"/>
  <c r="E34"/>
  <c r="F33"/>
  <c r="P33"/>
  <c r="O33"/>
  <c r="N33"/>
  <c r="L33"/>
  <c r="K33"/>
  <c r="J33"/>
  <c r="I33"/>
  <c r="H33"/>
  <c r="G33"/>
  <c r="E33"/>
  <c r="I32"/>
  <c r="F32"/>
  <c r="P32"/>
  <c r="O32"/>
  <c r="N32"/>
  <c r="L32"/>
  <c r="K32"/>
  <c r="J32"/>
  <c r="H32"/>
  <c r="G32"/>
  <c r="E32"/>
  <c r="O31"/>
  <c r="L31"/>
  <c r="G31"/>
  <c r="P31"/>
  <c r="N31"/>
  <c r="K31"/>
  <c r="J31"/>
  <c r="I31"/>
  <c r="H31"/>
  <c r="F31"/>
  <c r="E31"/>
  <c r="L30"/>
  <c r="P30"/>
  <c r="O30"/>
  <c r="N30"/>
  <c r="K30"/>
  <c r="J30"/>
  <c r="I30"/>
  <c r="H30"/>
  <c r="G30"/>
  <c r="F30"/>
  <c r="E30"/>
  <c r="J29"/>
  <c r="P29"/>
  <c r="O29"/>
  <c r="N29"/>
  <c r="L29"/>
  <c r="K29"/>
  <c r="I29"/>
  <c r="H29"/>
  <c r="G29"/>
  <c r="F29"/>
  <c r="E29"/>
  <c r="L28"/>
  <c r="F28"/>
  <c r="P28"/>
  <c r="O28"/>
  <c r="N28"/>
  <c r="K28"/>
  <c r="J28"/>
  <c r="I28"/>
  <c r="H28"/>
  <c r="G28"/>
  <c r="E28"/>
  <c r="L27"/>
  <c r="G27"/>
  <c r="P27"/>
  <c r="O27"/>
  <c r="N27"/>
  <c r="K27"/>
  <c r="J27"/>
  <c r="I27"/>
  <c r="H27"/>
  <c r="F27"/>
  <c r="E27"/>
  <c r="P26"/>
  <c r="O26"/>
  <c r="N26"/>
  <c r="L26"/>
  <c r="K26"/>
  <c r="J26"/>
  <c r="I26"/>
  <c r="H26"/>
  <c r="G26"/>
  <c r="F26"/>
  <c r="E26"/>
  <c r="K25"/>
  <c r="F25"/>
  <c r="P25"/>
  <c r="O25"/>
  <c r="N25"/>
  <c r="L25"/>
  <c r="J25"/>
  <c r="I25"/>
  <c r="H25"/>
  <c r="G25"/>
  <c r="E25"/>
  <c r="J24"/>
  <c r="P24"/>
  <c r="O24"/>
  <c r="N24"/>
  <c r="L24"/>
  <c r="K24"/>
  <c r="I24"/>
  <c r="H24"/>
  <c r="G24"/>
  <c r="F24"/>
  <c r="E24"/>
  <c r="E23"/>
  <c r="P23"/>
  <c r="O23"/>
  <c r="N23"/>
  <c r="L23"/>
  <c r="K23"/>
  <c r="J23"/>
  <c r="I23"/>
  <c r="H23"/>
  <c r="G23"/>
  <c r="F23"/>
  <c r="L22"/>
  <c r="K22"/>
  <c r="P22"/>
  <c r="O22"/>
  <c r="N22"/>
  <c r="J22"/>
  <c r="I22"/>
  <c r="H22"/>
  <c r="G22"/>
  <c r="F22"/>
  <c r="E22"/>
  <c r="F21"/>
  <c r="P21"/>
  <c r="O21"/>
  <c r="N21"/>
  <c r="L21"/>
  <c r="K21"/>
  <c r="J21"/>
  <c r="I21"/>
  <c r="H21"/>
  <c r="G21"/>
  <c r="E21"/>
  <c r="J20"/>
  <c r="H20"/>
  <c r="E20"/>
  <c r="P20"/>
  <c r="O20"/>
  <c r="N20"/>
  <c r="L20"/>
  <c r="K20"/>
  <c r="I20"/>
  <c r="G20"/>
  <c r="F20"/>
  <c r="K19"/>
  <c r="E19"/>
  <c r="P19"/>
  <c r="O19"/>
  <c r="N19"/>
  <c r="L19"/>
  <c r="J19"/>
  <c r="I19"/>
  <c r="H19"/>
  <c r="G19"/>
  <c r="F19"/>
  <c r="L18"/>
  <c r="P18"/>
  <c r="O18"/>
  <c r="N18"/>
  <c r="K18"/>
  <c r="J18"/>
  <c r="I18"/>
  <c r="H18"/>
  <c r="G18"/>
  <c r="F18"/>
  <c r="E18"/>
  <c r="K17"/>
  <c r="F17"/>
  <c r="E17"/>
  <c r="P17"/>
  <c r="O17"/>
  <c r="N17"/>
  <c r="L17"/>
  <c r="J17"/>
  <c r="I17"/>
  <c r="H17"/>
  <c r="G17"/>
  <c r="I16"/>
  <c r="P16"/>
  <c r="O16"/>
  <c r="N16"/>
  <c r="L16"/>
  <c r="K16"/>
  <c r="J16"/>
  <c r="H16"/>
  <c r="G16"/>
  <c r="F16"/>
  <c r="E16"/>
  <c r="I15"/>
  <c r="P15"/>
  <c r="O15"/>
  <c r="N15"/>
  <c r="L15"/>
  <c r="K15"/>
  <c r="J15"/>
  <c r="H15"/>
  <c r="G15"/>
  <c r="F15"/>
  <c r="E15"/>
  <c r="L14"/>
  <c r="P14"/>
  <c r="O14"/>
  <c r="N14"/>
  <c r="K14"/>
  <c r="J14"/>
  <c r="I14"/>
  <c r="H14"/>
  <c r="G14"/>
  <c r="F14"/>
  <c r="E14"/>
  <c r="J13"/>
  <c r="F13"/>
  <c r="P13"/>
  <c r="O13"/>
  <c r="N13"/>
  <c r="L13"/>
  <c r="K13"/>
  <c r="I13"/>
  <c r="H13"/>
  <c r="G13"/>
  <c r="E13"/>
  <c r="F12"/>
  <c r="E12"/>
  <c r="P12"/>
  <c r="O12"/>
  <c r="N12"/>
  <c r="L12"/>
  <c r="K12"/>
  <c r="J12"/>
  <c r="I12"/>
  <c r="H12"/>
  <c r="G12"/>
  <c r="O11"/>
  <c r="L11"/>
  <c r="G11"/>
  <c r="P11"/>
  <c r="N11"/>
  <c r="K11"/>
  <c r="J11"/>
  <c r="I11"/>
  <c r="H11"/>
  <c r="F11"/>
  <c r="E11"/>
  <c r="P10"/>
  <c r="O10"/>
  <c r="N10"/>
  <c r="L10"/>
  <c r="K10"/>
  <c r="J10"/>
  <c r="I10"/>
  <c r="H10"/>
  <c r="G10"/>
  <c r="F10"/>
  <c r="E10"/>
  <c r="N9"/>
  <c r="I9"/>
  <c r="P9"/>
  <c r="O9"/>
  <c r="L9"/>
  <c r="K9"/>
  <c r="J9"/>
  <c r="H9"/>
  <c r="G9"/>
  <c r="F9"/>
  <c r="E9"/>
  <c r="H8"/>
  <c r="E8"/>
  <c r="P8"/>
  <c r="O8"/>
  <c r="N8"/>
  <c r="L8"/>
  <c r="K8"/>
  <c r="J8"/>
  <c r="I8"/>
  <c r="G8"/>
  <c r="F8"/>
  <c r="K7"/>
  <c r="E7"/>
  <c r="P7"/>
  <c r="O7"/>
  <c r="N7"/>
  <c r="L7"/>
  <c r="J7"/>
  <c r="I7"/>
  <c r="H7"/>
  <c r="G7"/>
  <c r="F7"/>
  <c r="L6"/>
  <c r="P6"/>
  <c r="O6"/>
  <c r="N6"/>
  <c r="K6"/>
  <c r="J6"/>
  <c r="I6"/>
  <c r="H6"/>
  <c r="G6"/>
  <c r="F6"/>
  <c r="E6"/>
  <c r="N5"/>
  <c r="F5"/>
  <c r="P5"/>
  <c r="O5"/>
  <c r="L5"/>
  <c r="K5"/>
  <c r="J5"/>
  <c r="I5"/>
  <c r="H5"/>
  <c r="G5"/>
  <c r="E5"/>
  <c r="P4"/>
  <c r="J4"/>
  <c r="H4"/>
  <c r="E4"/>
  <c r="O4"/>
  <c r="N4"/>
  <c r="L4"/>
  <c r="K4"/>
  <c r="I4"/>
  <c r="G4"/>
  <c r="F4"/>
  <c r="P83" i="101"/>
  <c r="O83"/>
  <c r="N83"/>
  <c r="M83"/>
  <c r="L83"/>
  <c r="C83"/>
  <c r="K83" s="1"/>
  <c r="Q83" s="1"/>
  <c r="J83"/>
  <c r="I83"/>
  <c r="H83"/>
  <c r="G83"/>
  <c r="F83"/>
  <c r="E83"/>
  <c r="P82"/>
  <c r="O82"/>
  <c r="N82"/>
  <c r="M82"/>
  <c r="L82"/>
  <c r="C82"/>
  <c r="K82" s="1"/>
  <c r="Q82" s="1"/>
  <c r="J82"/>
  <c r="I82"/>
  <c r="H82"/>
  <c r="G82"/>
  <c r="F82"/>
  <c r="E82"/>
  <c r="P81"/>
  <c r="O81"/>
  <c r="N81"/>
  <c r="M81"/>
  <c r="L81"/>
  <c r="C81"/>
  <c r="K81" s="1"/>
  <c r="Q81" s="1"/>
  <c r="J81"/>
  <c r="I81"/>
  <c r="H81"/>
  <c r="G81"/>
  <c r="F81"/>
  <c r="E81"/>
  <c r="H80"/>
  <c r="E80"/>
  <c r="P80"/>
  <c r="O80"/>
  <c r="N80"/>
  <c r="M80"/>
  <c r="L80"/>
  <c r="C80"/>
  <c r="K80" s="1"/>
  <c r="Q80" s="1"/>
  <c r="J80"/>
  <c r="I80"/>
  <c r="G80"/>
  <c r="F80"/>
  <c r="P79"/>
  <c r="O79"/>
  <c r="N79"/>
  <c r="M79"/>
  <c r="L79"/>
  <c r="C79"/>
  <c r="K79" s="1"/>
  <c r="Q79" s="1"/>
  <c r="J79"/>
  <c r="I79"/>
  <c r="H79"/>
  <c r="G79"/>
  <c r="F79"/>
  <c r="E79"/>
  <c r="P78"/>
  <c r="O78"/>
  <c r="N78"/>
  <c r="M78"/>
  <c r="L78"/>
  <c r="C78"/>
  <c r="K78" s="1"/>
  <c r="Q78" s="1"/>
  <c r="J78"/>
  <c r="I78"/>
  <c r="H78"/>
  <c r="G78"/>
  <c r="F78"/>
  <c r="E78"/>
  <c r="M77"/>
  <c r="F77"/>
  <c r="P77"/>
  <c r="O77"/>
  <c r="N77"/>
  <c r="L77"/>
  <c r="C77"/>
  <c r="K77" s="1"/>
  <c r="Q77" s="1"/>
  <c r="J77"/>
  <c r="I77"/>
  <c r="H77"/>
  <c r="G77"/>
  <c r="E77"/>
  <c r="E76"/>
  <c r="P76"/>
  <c r="O76"/>
  <c r="N76"/>
  <c r="M76"/>
  <c r="L76"/>
  <c r="C76"/>
  <c r="K76" s="1"/>
  <c r="Q76" s="1"/>
  <c r="J76"/>
  <c r="I76"/>
  <c r="H76"/>
  <c r="G76"/>
  <c r="F76"/>
  <c r="P75"/>
  <c r="O75"/>
  <c r="N75"/>
  <c r="M75"/>
  <c r="L75"/>
  <c r="C75"/>
  <c r="K75" s="1"/>
  <c r="Q75" s="1"/>
  <c r="J75"/>
  <c r="I75"/>
  <c r="H75"/>
  <c r="G75"/>
  <c r="F75"/>
  <c r="E75"/>
  <c r="P74"/>
  <c r="O74"/>
  <c r="N74"/>
  <c r="M74"/>
  <c r="L74"/>
  <c r="C74"/>
  <c r="K74" s="1"/>
  <c r="Q74" s="1"/>
  <c r="J74"/>
  <c r="I74"/>
  <c r="H74"/>
  <c r="G74"/>
  <c r="F74"/>
  <c r="E74"/>
  <c r="P73"/>
  <c r="O73"/>
  <c r="N73"/>
  <c r="M73"/>
  <c r="L73"/>
  <c r="C73"/>
  <c r="K73" s="1"/>
  <c r="Q73" s="1"/>
  <c r="J73"/>
  <c r="I73"/>
  <c r="H73"/>
  <c r="G73"/>
  <c r="F73"/>
  <c r="E73"/>
  <c r="P72"/>
  <c r="O72"/>
  <c r="N72"/>
  <c r="M72"/>
  <c r="L72"/>
  <c r="C72"/>
  <c r="K72" s="1"/>
  <c r="Q72" s="1"/>
  <c r="J72"/>
  <c r="I72"/>
  <c r="H72"/>
  <c r="G72"/>
  <c r="F72"/>
  <c r="E72"/>
  <c r="G71"/>
  <c r="P71"/>
  <c r="O71"/>
  <c r="N71"/>
  <c r="M71"/>
  <c r="L71"/>
  <c r="C71"/>
  <c r="K71" s="1"/>
  <c r="Q71" s="1"/>
  <c r="J71"/>
  <c r="I71"/>
  <c r="H71"/>
  <c r="F71"/>
  <c r="E71"/>
  <c r="F70"/>
  <c r="P70"/>
  <c r="O70"/>
  <c r="N70"/>
  <c r="M70"/>
  <c r="L70"/>
  <c r="C70"/>
  <c r="K70" s="1"/>
  <c r="Q70" s="1"/>
  <c r="J70"/>
  <c r="I70"/>
  <c r="H70"/>
  <c r="G70"/>
  <c r="E70"/>
  <c r="H69"/>
  <c r="E69"/>
  <c r="P69"/>
  <c r="O69"/>
  <c r="N69"/>
  <c r="M69"/>
  <c r="L69"/>
  <c r="J69"/>
  <c r="I69"/>
  <c r="G69"/>
  <c r="F69"/>
  <c r="P68"/>
  <c r="O68"/>
  <c r="N68"/>
  <c r="M68"/>
  <c r="L68"/>
  <c r="J68"/>
  <c r="I68"/>
  <c r="H68"/>
  <c r="G68"/>
  <c r="F68"/>
  <c r="E68"/>
  <c r="F67"/>
  <c r="P67"/>
  <c r="O67"/>
  <c r="N67"/>
  <c r="M67"/>
  <c r="L67"/>
  <c r="J67"/>
  <c r="I67"/>
  <c r="H67"/>
  <c r="G67"/>
  <c r="E67"/>
  <c r="F66"/>
  <c r="E66"/>
  <c r="P66"/>
  <c r="O66"/>
  <c r="N66"/>
  <c r="M66"/>
  <c r="L66"/>
  <c r="J66"/>
  <c r="I66"/>
  <c r="H66"/>
  <c r="G66"/>
  <c r="H65"/>
  <c r="E65"/>
  <c r="P65"/>
  <c r="O65"/>
  <c r="N65"/>
  <c r="M65"/>
  <c r="L65"/>
  <c r="J65"/>
  <c r="I65"/>
  <c r="G65"/>
  <c r="F65"/>
  <c r="P64"/>
  <c r="O64"/>
  <c r="N64"/>
  <c r="M64"/>
  <c r="L64"/>
  <c r="J64"/>
  <c r="I64"/>
  <c r="H64"/>
  <c r="G64"/>
  <c r="F64"/>
  <c r="E64"/>
  <c r="P63"/>
  <c r="O63"/>
  <c r="N63"/>
  <c r="M63"/>
  <c r="L63"/>
  <c r="J63"/>
  <c r="I63"/>
  <c r="H63"/>
  <c r="G63"/>
  <c r="F63"/>
  <c r="E63"/>
  <c r="N62"/>
  <c r="M62"/>
  <c r="F62"/>
  <c r="P62"/>
  <c r="O62"/>
  <c r="L62"/>
  <c r="J62"/>
  <c r="I62"/>
  <c r="H62"/>
  <c r="G62"/>
  <c r="E62"/>
  <c r="H61"/>
  <c r="E61"/>
  <c r="P61"/>
  <c r="O61"/>
  <c r="N61"/>
  <c r="M61"/>
  <c r="L61"/>
  <c r="J61"/>
  <c r="I61"/>
  <c r="G61"/>
  <c r="F61"/>
  <c r="E60"/>
  <c r="P60"/>
  <c r="O60"/>
  <c r="N60"/>
  <c r="M60"/>
  <c r="L60"/>
  <c r="J60"/>
  <c r="I60"/>
  <c r="H60"/>
  <c r="G60"/>
  <c r="F60"/>
  <c r="P59"/>
  <c r="O59"/>
  <c r="N59"/>
  <c r="M59"/>
  <c r="L59"/>
  <c r="J59"/>
  <c r="I59"/>
  <c r="H59"/>
  <c r="G59"/>
  <c r="F59"/>
  <c r="E59"/>
  <c r="F58"/>
  <c r="P58"/>
  <c r="O58"/>
  <c r="N58"/>
  <c r="M58"/>
  <c r="L58"/>
  <c r="J58"/>
  <c r="I58"/>
  <c r="H58"/>
  <c r="G58"/>
  <c r="E58"/>
  <c r="P57"/>
  <c r="O57"/>
  <c r="N57"/>
  <c r="M57"/>
  <c r="L57"/>
  <c r="J57"/>
  <c r="I57"/>
  <c r="H57"/>
  <c r="G57"/>
  <c r="F57"/>
  <c r="E57"/>
  <c r="P56"/>
  <c r="O56"/>
  <c r="N56"/>
  <c r="M56"/>
  <c r="L56"/>
  <c r="J56"/>
  <c r="I56"/>
  <c r="H56"/>
  <c r="G56"/>
  <c r="F56"/>
  <c r="E56"/>
  <c r="N55"/>
  <c r="P55"/>
  <c r="O55"/>
  <c r="M55"/>
  <c r="L55"/>
  <c r="J55"/>
  <c r="I55"/>
  <c r="H55"/>
  <c r="G55"/>
  <c r="F55"/>
  <c r="E55"/>
  <c r="P54"/>
  <c r="O54"/>
  <c r="N54"/>
  <c r="M54"/>
  <c r="L54"/>
  <c r="J54"/>
  <c r="I54"/>
  <c r="H54"/>
  <c r="G54"/>
  <c r="F54"/>
  <c r="E54"/>
  <c r="P53"/>
  <c r="O53"/>
  <c r="N53"/>
  <c r="M53"/>
  <c r="L53"/>
  <c r="J53"/>
  <c r="I53"/>
  <c r="H53"/>
  <c r="G53"/>
  <c r="F53"/>
  <c r="E53"/>
  <c r="G52"/>
  <c r="P52"/>
  <c r="O52"/>
  <c r="N52"/>
  <c r="M52"/>
  <c r="L52"/>
  <c r="J52"/>
  <c r="I52"/>
  <c r="H52"/>
  <c r="F52"/>
  <c r="E52"/>
  <c r="N51"/>
  <c r="F51"/>
  <c r="P51"/>
  <c r="O51"/>
  <c r="M51"/>
  <c r="L51"/>
  <c r="J51"/>
  <c r="I51"/>
  <c r="H51"/>
  <c r="G51"/>
  <c r="E51"/>
  <c r="F50"/>
  <c r="E50"/>
  <c r="P50"/>
  <c r="O50"/>
  <c r="N50"/>
  <c r="M50"/>
  <c r="L50"/>
  <c r="J50"/>
  <c r="I50"/>
  <c r="H50"/>
  <c r="G50"/>
  <c r="P49"/>
  <c r="O49"/>
  <c r="N49"/>
  <c r="M49"/>
  <c r="L49"/>
  <c r="J49"/>
  <c r="I49"/>
  <c r="H49"/>
  <c r="G49"/>
  <c r="F49"/>
  <c r="E49"/>
  <c r="P48"/>
  <c r="O48"/>
  <c r="N48"/>
  <c r="M48"/>
  <c r="L48"/>
  <c r="J48"/>
  <c r="I48"/>
  <c r="H48"/>
  <c r="G48"/>
  <c r="F48"/>
  <c r="E48"/>
  <c r="P47"/>
  <c r="O47"/>
  <c r="N47"/>
  <c r="M47"/>
  <c r="L47"/>
  <c r="J47"/>
  <c r="I47"/>
  <c r="H47"/>
  <c r="G47"/>
  <c r="F47"/>
  <c r="E47"/>
  <c r="F46"/>
  <c r="P46"/>
  <c r="O46"/>
  <c r="N46"/>
  <c r="M46"/>
  <c r="L46"/>
  <c r="J46"/>
  <c r="I46"/>
  <c r="H46"/>
  <c r="G46"/>
  <c r="E46"/>
  <c r="P45"/>
  <c r="O45"/>
  <c r="N45"/>
  <c r="M45"/>
  <c r="L45"/>
  <c r="J45"/>
  <c r="I45"/>
  <c r="H45"/>
  <c r="G45"/>
  <c r="F45"/>
  <c r="E45"/>
  <c r="P44"/>
  <c r="O44"/>
  <c r="N44"/>
  <c r="M44"/>
  <c r="L44"/>
  <c r="J44"/>
  <c r="I44"/>
  <c r="H44"/>
  <c r="G44"/>
  <c r="F44"/>
  <c r="E44"/>
  <c r="P43"/>
  <c r="O43"/>
  <c r="N43"/>
  <c r="M43"/>
  <c r="L43"/>
  <c r="J43"/>
  <c r="I43"/>
  <c r="H43"/>
  <c r="G43"/>
  <c r="F43"/>
  <c r="E43"/>
  <c r="P42"/>
  <c r="O42"/>
  <c r="N42"/>
  <c r="M42"/>
  <c r="L42"/>
  <c r="J42"/>
  <c r="I42"/>
  <c r="H42"/>
  <c r="G42"/>
  <c r="F42"/>
  <c r="E42"/>
  <c r="P41"/>
  <c r="O41"/>
  <c r="N41"/>
  <c r="M41"/>
  <c r="L41"/>
  <c r="J41"/>
  <c r="I41"/>
  <c r="H41"/>
  <c r="G41"/>
  <c r="F41"/>
  <c r="E41"/>
  <c r="P40"/>
  <c r="O40"/>
  <c r="N40"/>
  <c r="M40"/>
  <c r="L40"/>
  <c r="J40"/>
  <c r="I40"/>
  <c r="H40"/>
  <c r="G40"/>
  <c r="F40"/>
  <c r="E40"/>
  <c r="P39"/>
  <c r="O39"/>
  <c r="N39"/>
  <c r="M39"/>
  <c r="L39"/>
  <c r="J39"/>
  <c r="I39"/>
  <c r="H39"/>
  <c r="G39"/>
  <c r="F39"/>
  <c r="E39"/>
  <c r="P38"/>
  <c r="O38"/>
  <c r="N38"/>
  <c r="M38"/>
  <c r="L38"/>
  <c r="J38"/>
  <c r="I38"/>
  <c r="H38"/>
  <c r="G38"/>
  <c r="F38"/>
  <c r="E38"/>
  <c r="P37"/>
  <c r="O37"/>
  <c r="N37"/>
  <c r="M37"/>
  <c r="L37"/>
  <c r="J37"/>
  <c r="I37"/>
  <c r="H37"/>
  <c r="G37"/>
  <c r="F37"/>
  <c r="E37"/>
  <c r="P36"/>
  <c r="O36"/>
  <c r="N36"/>
  <c r="M36"/>
  <c r="L36"/>
  <c r="J36"/>
  <c r="I36"/>
  <c r="H36"/>
  <c r="G36"/>
  <c r="F36"/>
  <c r="E36"/>
  <c r="P35"/>
  <c r="O35"/>
  <c r="N35"/>
  <c r="M35"/>
  <c r="L35"/>
  <c r="J35"/>
  <c r="I35"/>
  <c r="H35"/>
  <c r="G35"/>
  <c r="F35"/>
  <c r="E35"/>
  <c r="E34"/>
  <c r="P34"/>
  <c r="O34"/>
  <c r="N34"/>
  <c r="M34"/>
  <c r="L34"/>
  <c r="J34"/>
  <c r="I34"/>
  <c r="H34"/>
  <c r="G34"/>
  <c r="F34"/>
  <c r="I33"/>
  <c r="P33"/>
  <c r="O33"/>
  <c r="N33"/>
  <c r="M33"/>
  <c r="L33"/>
  <c r="J33"/>
  <c r="H33"/>
  <c r="G33"/>
  <c r="F33"/>
  <c r="E33"/>
  <c r="P32"/>
  <c r="O32"/>
  <c r="N32"/>
  <c r="M32"/>
  <c r="L32"/>
  <c r="J32"/>
  <c r="I32"/>
  <c r="H32"/>
  <c r="G32"/>
  <c r="F32"/>
  <c r="E32"/>
  <c r="P31"/>
  <c r="O31"/>
  <c r="N31"/>
  <c r="M31"/>
  <c r="L31"/>
  <c r="J31"/>
  <c r="I31"/>
  <c r="H31"/>
  <c r="G31"/>
  <c r="F31"/>
  <c r="E31"/>
  <c r="P30"/>
  <c r="O30"/>
  <c r="N30"/>
  <c r="M30"/>
  <c r="L30"/>
  <c r="J30"/>
  <c r="I30"/>
  <c r="H30"/>
  <c r="G30"/>
  <c r="F30"/>
  <c r="E30"/>
  <c r="E29"/>
  <c r="P29"/>
  <c r="O29"/>
  <c r="N29"/>
  <c r="M29"/>
  <c r="L29"/>
  <c r="J29"/>
  <c r="I29"/>
  <c r="H29"/>
  <c r="G29"/>
  <c r="F29"/>
  <c r="G28"/>
  <c r="P28"/>
  <c r="O28"/>
  <c r="N28"/>
  <c r="M28"/>
  <c r="L28"/>
  <c r="J28"/>
  <c r="I28"/>
  <c r="H28"/>
  <c r="F28"/>
  <c r="E28"/>
  <c r="F27"/>
  <c r="P27"/>
  <c r="O27"/>
  <c r="N27"/>
  <c r="M27"/>
  <c r="L27"/>
  <c r="J27"/>
  <c r="I27"/>
  <c r="H27"/>
  <c r="G27"/>
  <c r="E27"/>
  <c r="G26"/>
  <c r="P26"/>
  <c r="O26"/>
  <c r="N26"/>
  <c r="M26"/>
  <c r="L26"/>
  <c r="J26"/>
  <c r="I26"/>
  <c r="H26"/>
  <c r="F26"/>
  <c r="E26"/>
  <c r="H25"/>
  <c r="E25"/>
  <c r="P25"/>
  <c r="O25"/>
  <c r="N25"/>
  <c r="M25"/>
  <c r="L25"/>
  <c r="J25"/>
  <c r="I25"/>
  <c r="G25"/>
  <c r="F25"/>
  <c r="P24"/>
  <c r="O24"/>
  <c r="N24"/>
  <c r="M24"/>
  <c r="L24"/>
  <c r="J24"/>
  <c r="I24"/>
  <c r="H24"/>
  <c r="G24"/>
  <c r="F24"/>
  <c r="E24"/>
  <c r="P23"/>
  <c r="O23"/>
  <c r="N23"/>
  <c r="M23"/>
  <c r="L23"/>
  <c r="J23"/>
  <c r="I23"/>
  <c r="H23"/>
  <c r="G23"/>
  <c r="F23"/>
  <c r="E23"/>
  <c r="F22"/>
  <c r="P22"/>
  <c r="O22"/>
  <c r="N22"/>
  <c r="M22"/>
  <c r="L22"/>
  <c r="J22"/>
  <c r="I22"/>
  <c r="H22"/>
  <c r="G22"/>
  <c r="E22"/>
  <c r="P21"/>
  <c r="O21"/>
  <c r="N21"/>
  <c r="M21"/>
  <c r="L21"/>
  <c r="J21"/>
  <c r="I21"/>
  <c r="H21"/>
  <c r="G21"/>
  <c r="F21"/>
  <c r="E21"/>
  <c r="P20"/>
  <c r="O20"/>
  <c r="N20"/>
  <c r="M20"/>
  <c r="L20"/>
  <c r="J20"/>
  <c r="I20"/>
  <c r="H20"/>
  <c r="G20"/>
  <c r="F20"/>
  <c r="E20"/>
  <c r="O19"/>
  <c r="P19"/>
  <c r="N19"/>
  <c r="M19"/>
  <c r="L19"/>
  <c r="J19"/>
  <c r="I19"/>
  <c r="H19"/>
  <c r="G19"/>
  <c r="F19"/>
  <c r="E19"/>
  <c r="E18"/>
  <c r="P18"/>
  <c r="O18"/>
  <c r="N18"/>
  <c r="M18"/>
  <c r="L18"/>
  <c r="J18"/>
  <c r="I18"/>
  <c r="H18"/>
  <c r="G18"/>
  <c r="F18"/>
  <c r="L17"/>
  <c r="E17"/>
  <c r="P17"/>
  <c r="O17"/>
  <c r="N17"/>
  <c r="M17"/>
  <c r="J17"/>
  <c r="I17"/>
  <c r="H17"/>
  <c r="G17"/>
  <c r="F17"/>
  <c r="P16"/>
  <c r="O16"/>
  <c r="N16"/>
  <c r="M16"/>
  <c r="L16"/>
  <c r="J16"/>
  <c r="I16"/>
  <c r="H16"/>
  <c r="G16"/>
  <c r="F16"/>
  <c r="E16"/>
  <c r="P15"/>
  <c r="O15"/>
  <c r="N15"/>
  <c r="M15"/>
  <c r="L15"/>
  <c r="J15"/>
  <c r="I15"/>
  <c r="H15"/>
  <c r="G15"/>
  <c r="F15"/>
  <c r="E15"/>
  <c r="P14"/>
  <c r="O14"/>
  <c r="N14"/>
  <c r="M14"/>
  <c r="L14"/>
  <c r="J14"/>
  <c r="I14"/>
  <c r="H14"/>
  <c r="G14"/>
  <c r="F14"/>
  <c r="E14"/>
  <c r="P13"/>
  <c r="O13"/>
  <c r="N13"/>
  <c r="M13"/>
  <c r="L13"/>
  <c r="J13"/>
  <c r="I13"/>
  <c r="H13"/>
  <c r="G13"/>
  <c r="F13"/>
  <c r="E13"/>
  <c r="P12"/>
  <c r="O12"/>
  <c r="N12"/>
  <c r="M12"/>
  <c r="L12"/>
  <c r="J12"/>
  <c r="I12"/>
  <c r="H12"/>
  <c r="G12"/>
  <c r="F12"/>
  <c r="E12"/>
  <c r="H11"/>
  <c r="P11"/>
  <c r="O11"/>
  <c r="N11"/>
  <c r="M11"/>
  <c r="L11"/>
  <c r="J11"/>
  <c r="I11"/>
  <c r="G11"/>
  <c r="F11"/>
  <c r="E11"/>
  <c r="I10"/>
  <c r="P10"/>
  <c r="O10"/>
  <c r="N10"/>
  <c r="M10"/>
  <c r="L10"/>
  <c r="J10"/>
  <c r="H10"/>
  <c r="G10"/>
  <c r="F10"/>
  <c r="E10"/>
  <c r="P9"/>
  <c r="O9"/>
  <c r="N9"/>
  <c r="M9"/>
  <c r="L9"/>
  <c r="J9"/>
  <c r="I9"/>
  <c r="H9"/>
  <c r="G9"/>
  <c r="F9"/>
  <c r="E9"/>
  <c r="P8"/>
  <c r="O8"/>
  <c r="N8"/>
  <c r="M8"/>
  <c r="L8"/>
  <c r="J8"/>
  <c r="I8"/>
  <c r="H8"/>
  <c r="G8"/>
  <c r="F8"/>
  <c r="E8"/>
  <c r="P7"/>
  <c r="O7"/>
  <c r="N7"/>
  <c r="M7"/>
  <c r="L7"/>
  <c r="J7"/>
  <c r="I7"/>
  <c r="H7"/>
  <c r="G7"/>
  <c r="F7"/>
  <c r="E7"/>
  <c r="G6"/>
  <c r="P6"/>
  <c r="O6"/>
  <c r="N6"/>
  <c r="M6"/>
  <c r="L6"/>
  <c r="J6"/>
  <c r="I6"/>
  <c r="H6"/>
  <c r="F6"/>
  <c r="E6"/>
  <c r="P5"/>
  <c r="O5"/>
  <c r="N5"/>
  <c r="M5"/>
  <c r="L5"/>
  <c r="J5"/>
  <c r="I5"/>
  <c r="H5"/>
  <c r="G5"/>
  <c r="F5"/>
  <c r="E5"/>
  <c r="P4"/>
  <c r="O4"/>
  <c r="N4"/>
  <c r="M4"/>
  <c r="L4"/>
  <c r="J4"/>
  <c r="I4"/>
  <c r="H4"/>
  <c r="G4"/>
  <c r="F4"/>
  <c r="E4"/>
  <c r="F69" i="100"/>
  <c r="P69"/>
  <c r="O69"/>
  <c r="N69"/>
  <c r="M69"/>
  <c r="L69"/>
  <c r="K69"/>
  <c r="J69"/>
  <c r="H69"/>
  <c r="G69"/>
  <c r="E69"/>
  <c r="P68"/>
  <c r="O68"/>
  <c r="N68"/>
  <c r="M68"/>
  <c r="L68"/>
  <c r="K68"/>
  <c r="J68"/>
  <c r="H68"/>
  <c r="G68"/>
  <c r="F68"/>
  <c r="E68"/>
  <c r="E67"/>
  <c r="P67"/>
  <c r="O67"/>
  <c r="N67"/>
  <c r="M67"/>
  <c r="L67"/>
  <c r="K67"/>
  <c r="J67"/>
  <c r="H67"/>
  <c r="G67"/>
  <c r="F67"/>
  <c r="P66"/>
  <c r="O66"/>
  <c r="N66"/>
  <c r="M66"/>
  <c r="L66"/>
  <c r="K66"/>
  <c r="J66"/>
  <c r="H66"/>
  <c r="G66"/>
  <c r="F66"/>
  <c r="E66"/>
  <c r="P65"/>
  <c r="O65"/>
  <c r="N65"/>
  <c r="M65"/>
  <c r="L65"/>
  <c r="K65"/>
  <c r="J65"/>
  <c r="H65"/>
  <c r="G65"/>
  <c r="F65"/>
  <c r="E65"/>
  <c r="P64"/>
  <c r="O64"/>
  <c r="N64"/>
  <c r="M64"/>
  <c r="L64"/>
  <c r="K64"/>
  <c r="J64"/>
  <c r="H64"/>
  <c r="G64"/>
  <c r="F64"/>
  <c r="E64"/>
  <c r="P63"/>
  <c r="O63"/>
  <c r="N63"/>
  <c r="M63"/>
  <c r="L63"/>
  <c r="K63"/>
  <c r="J63"/>
  <c r="H63"/>
  <c r="G63"/>
  <c r="F63"/>
  <c r="E63"/>
  <c r="P62"/>
  <c r="O62"/>
  <c r="N62"/>
  <c r="M62"/>
  <c r="L62"/>
  <c r="K62"/>
  <c r="J62"/>
  <c r="H62"/>
  <c r="G62"/>
  <c r="F62"/>
  <c r="E62"/>
  <c r="N61"/>
  <c r="F61"/>
  <c r="E61"/>
  <c r="P61"/>
  <c r="O61"/>
  <c r="M61"/>
  <c r="L61"/>
  <c r="K61"/>
  <c r="J61"/>
  <c r="H61"/>
  <c r="G61"/>
  <c r="F60"/>
  <c r="P60"/>
  <c r="O60"/>
  <c r="N60"/>
  <c r="M60"/>
  <c r="L60"/>
  <c r="K60"/>
  <c r="J60"/>
  <c r="H60"/>
  <c r="G60"/>
  <c r="E60"/>
  <c r="P59"/>
  <c r="O59"/>
  <c r="N59"/>
  <c r="M59"/>
  <c r="L59"/>
  <c r="K59"/>
  <c r="J59"/>
  <c r="H59"/>
  <c r="G59"/>
  <c r="F59"/>
  <c r="E59"/>
  <c r="P58"/>
  <c r="O58"/>
  <c r="N58"/>
  <c r="M58"/>
  <c r="L58"/>
  <c r="K58"/>
  <c r="J58"/>
  <c r="H58"/>
  <c r="G58"/>
  <c r="F58"/>
  <c r="E58"/>
  <c r="P57"/>
  <c r="O57"/>
  <c r="N57"/>
  <c r="M57"/>
  <c r="L57"/>
  <c r="K57"/>
  <c r="J57"/>
  <c r="H57"/>
  <c r="G57"/>
  <c r="F57"/>
  <c r="E57"/>
  <c r="P56"/>
  <c r="O56"/>
  <c r="N56"/>
  <c r="M56"/>
  <c r="L56"/>
  <c r="K56"/>
  <c r="J56"/>
  <c r="H56"/>
  <c r="G56"/>
  <c r="F56"/>
  <c r="E56"/>
  <c r="P55"/>
  <c r="O55"/>
  <c r="N55"/>
  <c r="M55"/>
  <c r="L55"/>
  <c r="K55"/>
  <c r="J55"/>
  <c r="H55"/>
  <c r="G55"/>
  <c r="F55"/>
  <c r="E55"/>
  <c r="P54"/>
  <c r="O54"/>
  <c r="N54"/>
  <c r="M54"/>
  <c r="L54"/>
  <c r="K54"/>
  <c r="J54"/>
  <c r="H54"/>
  <c r="G54"/>
  <c r="F54"/>
  <c r="E54"/>
  <c r="F53"/>
  <c r="P53"/>
  <c r="O53"/>
  <c r="N53"/>
  <c r="M53"/>
  <c r="L53"/>
  <c r="K53"/>
  <c r="J53"/>
  <c r="H53"/>
  <c r="G53"/>
  <c r="E53"/>
  <c r="P52"/>
  <c r="O52"/>
  <c r="N52"/>
  <c r="M52"/>
  <c r="L52"/>
  <c r="K52"/>
  <c r="J52"/>
  <c r="H52"/>
  <c r="G52"/>
  <c r="F52"/>
  <c r="E52"/>
  <c r="P51"/>
  <c r="O51"/>
  <c r="N51"/>
  <c r="M51"/>
  <c r="L51"/>
  <c r="K51"/>
  <c r="J51"/>
  <c r="H51"/>
  <c r="G51"/>
  <c r="F51"/>
  <c r="E51"/>
  <c r="F50"/>
  <c r="P50"/>
  <c r="O50"/>
  <c r="N50"/>
  <c r="M50"/>
  <c r="L50"/>
  <c r="K50"/>
  <c r="J50"/>
  <c r="H50"/>
  <c r="G50"/>
  <c r="E50"/>
  <c r="P49"/>
  <c r="O49"/>
  <c r="N49"/>
  <c r="M49"/>
  <c r="L49"/>
  <c r="K49"/>
  <c r="J49"/>
  <c r="H49"/>
  <c r="G49"/>
  <c r="F49"/>
  <c r="E49"/>
  <c r="P48"/>
  <c r="O48"/>
  <c r="N48"/>
  <c r="M48"/>
  <c r="L48"/>
  <c r="K48"/>
  <c r="J48"/>
  <c r="H48"/>
  <c r="G48"/>
  <c r="F48"/>
  <c r="E48"/>
  <c r="P47"/>
  <c r="O47"/>
  <c r="N47"/>
  <c r="M47"/>
  <c r="L47"/>
  <c r="K47"/>
  <c r="J47"/>
  <c r="H47"/>
  <c r="G47"/>
  <c r="F47"/>
  <c r="E47"/>
  <c r="F46"/>
  <c r="P46"/>
  <c r="O46"/>
  <c r="N46"/>
  <c r="M46"/>
  <c r="L46"/>
  <c r="K46"/>
  <c r="J46"/>
  <c r="H46"/>
  <c r="G46"/>
  <c r="E46"/>
  <c r="P45"/>
  <c r="O45"/>
  <c r="N45"/>
  <c r="M45"/>
  <c r="L45"/>
  <c r="K45"/>
  <c r="J45"/>
  <c r="H45"/>
  <c r="G45"/>
  <c r="F45"/>
  <c r="E45"/>
  <c r="P44"/>
  <c r="O44"/>
  <c r="N44"/>
  <c r="M44"/>
  <c r="L44"/>
  <c r="K44"/>
  <c r="J44"/>
  <c r="H44"/>
  <c r="G44"/>
  <c r="F44"/>
  <c r="E44"/>
  <c r="G43"/>
  <c r="P43"/>
  <c r="O43"/>
  <c r="N43"/>
  <c r="M43"/>
  <c r="L43"/>
  <c r="K43"/>
  <c r="J43"/>
  <c r="H43"/>
  <c r="F43"/>
  <c r="E43"/>
  <c r="P42"/>
  <c r="O42"/>
  <c r="N42"/>
  <c r="M42"/>
  <c r="L42"/>
  <c r="K42"/>
  <c r="J42"/>
  <c r="H42"/>
  <c r="G42"/>
  <c r="F42"/>
  <c r="E42"/>
  <c r="P41"/>
  <c r="O41"/>
  <c r="N41"/>
  <c r="M41"/>
  <c r="L41"/>
  <c r="K41"/>
  <c r="J41"/>
  <c r="H41"/>
  <c r="G41"/>
  <c r="F41"/>
  <c r="E41"/>
  <c r="K40"/>
  <c r="P40"/>
  <c r="O40"/>
  <c r="N40"/>
  <c r="M40"/>
  <c r="L40"/>
  <c r="J40"/>
  <c r="H40"/>
  <c r="G40"/>
  <c r="F40"/>
  <c r="E40"/>
  <c r="P39"/>
  <c r="O39"/>
  <c r="N39"/>
  <c r="M39"/>
  <c r="L39"/>
  <c r="K39"/>
  <c r="J39"/>
  <c r="H39"/>
  <c r="G39"/>
  <c r="F39"/>
  <c r="E39"/>
  <c r="K38"/>
  <c r="P38"/>
  <c r="O38"/>
  <c r="N38"/>
  <c r="M38"/>
  <c r="L38"/>
  <c r="J38"/>
  <c r="H38"/>
  <c r="G38"/>
  <c r="F38"/>
  <c r="E38"/>
  <c r="P37"/>
  <c r="O37"/>
  <c r="N37"/>
  <c r="M37"/>
  <c r="L37"/>
  <c r="K37"/>
  <c r="J37"/>
  <c r="H37"/>
  <c r="G37"/>
  <c r="F37"/>
  <c r="E37"/>
  <c r="M36"/>
  <c r="H36"/>
  <c r="P36"/>
  <c r="O36"/>
  <c r="N36"/>
  <c r="L36"/>
  <c r="K36"/>
  <c r="J36"/>
  <c r="G36"/>
  <c r="F36"/>
  <c r="E36"/>
  <c r="P35"/>
  <c r="O35"/>
  <c r="N35"/>
  <c r="M35"/>
  <c r="L35"/>
  <c r="K35"/>
  <c r="J35"/>
  <c r="H35"/>
  <c r="G35"/>
  <c r="F35"/>
  <c r="E35"/>
  <c r="P34"/>
  <c r="O34"/>
  <c r="N34"/>
  <c r="M34"/>
  <c r="L34"/>
  <c r="K34"/>
  <c r="J34"/>
  <c r="H34"/>
  <c r="G34"/>
  <c r="F34"/>
  <c r="E34"/>
  <c r="K33"/>
  <c r="P33"/>
  <c r="O33"/>
  <c r="N33"/>
  <c r="M33"/>
  <c r="L33"/>
  <c r="J33"/>
  <c r="H33"/>
  <c r="G33"/>
  <c r="F33"/>
  <c r="E33"/>
  <c r="P32"/>
  <c r="O32"/>
  <c r="N32"/>
  <c r="M32"/>
  <c r="L32"/>
  <c r="K32"/>
  <c r="J32"/>
  <c r="H32"/>
  <c r="G32"/>
  <c r="F32"/>
  <c r="E32"/>
  <c r="P31"/>
  <c r="O31"/>
  <c r="N31"/>
  <c r="M31"/>
  <c r="L31"/>
  <c r="K31"/>
  <c r="J31"/>
  <c r="H31"/>
  <c r="G31"/>
  <c r="F31"/>
  <c r="E31"/>
  <c r="P30"/>
  <c r="O30"/>
  <c r="N30"/>
  <c r="M30"/>
  <c r="L30"/>
  <c r="K30"/>
  <c r="J30"/>
  <c r="H30"/>
  <c r="G30"/>
  <c r="F30"/>
  <c r="E30"/>
  <c r="P29"/>
  <c r="O29"/>
  <c r="N29"/>
  <c r="M29"/>
  <c r="L29"/>
  <c r="K29"/>
  <c r="J29"/>
  <c r="H29"/>
  <c r="G29"/>
  <c r="F29"/>
  <c r="E29"/>
  <c r="P28"/>
  <c r="O28"/>
  <c r="N28"/>
  <c r="M28"/>
  <c r="L28"/>
  <c r="K28"/>
  <c r="J28"/>
  <c r="H28"/>
  <c r="G28"/>
  <c r="F28"/>
  <c r="E28"/>
  <c r="P27"/>
  <c r="O27"/>
  <c r="N27"/>
  <c r="M27"/>
  <c r="L27"/>
  <c r="K27"/>
  <c r="J27"/>
  <c r="H27"/>
  <c r="G27"/>
  <c r="F27"/>
  <c r="E27"/>
  <c r="P26"/>
  <c r="O26"/>
  <c r="N26"/>
  <c r="M26"/>
  <c r="L26"/>
  <c r="K26"/>
  <c r="J26"/>
  <c r="H26"/>
  <c r="G26"/>
  <c r="F26"/>
  <c r="E26"/>
  <c r="P25"/>
  <c r="O25"/>
  <c r="N25"/>
  <c r="M25"/>
  <c r="L25"/>
  <c r="K25"/>
  <c r="J25"/>
  <c r="H25"/>
  <c r="G25"/>
  <c r="F25"/>
  <c r="E25"/>
  <c r="H24"/>
  <c r="E24"/>
  <c r="P24"/>
  <c r="O24"/>
  <c r="N24"/>
  <c r="M24"/>
  <c r="L24"/>
  <c r="K24"/>
  <c r="J24"/>
  <c r="G24"/>
  <c r="F24"/>
  <c r="P23"/>
  <c r="O23"/>
  <c r="N23"/>
  <c r="M23"/>
  <c r="L23"/>
  <c r="K23"/>
  <c r="J23"/>
  <c r="H23"/>
  <c r="G23"/>
  <c r="F23"/>
  <c r="E23"/>
  <c r="P22"/>
  <c r="O22"/>
  <c r="N22"/>
  <c r="M22"/>
  <c r="L22"/>
  <c r="K22"/>
  <c r="J22"/>
  <c r="H22"/>
  <c r="G22"/>
  <c r="F22"/>
  <c r="E22"/>
  <c r="P21"/>
  <c r="O21"/>
  <c r="N21"/>
  <c r="M21"/>
  <c r="L21"/>
  <c r="K21"/>
  <c r="J21"/>
  <c r="H21"/>
  <c r="G21"/>
  <c r="F21"/>
  <c r="E21"/>
  <c r="P20"/>
  <c r="O20"/>
  <c r="N20"/>
  <c r="M20"/>
  <c r="L20"/>
  <c r="K20"/>
  <c r="J20"/>
  <c r="H20"/>
  <c r="G20"/>
  <c r="F20"/>
  <c r="E20"/>
  <c r="P19"/>
  <c r="O19"/>
  <c r="N19"/>
  <c r="M19"/>
  <c r="L19"/>
  <c r="K19"/>
  <c r="J19"/>
  <c r="H19"/>
  <c r="G19"/>
  <c r="F19"/>
  <c r="E19"/>
  <c r="P18"/>
  <c r="O18"/>
  <c r="N18"/>
  <c r="M18"/>
  <c r="L18"/>
  <c r="K18"/>
  <c r="J18"/>
  <c r="H18"/>
  <c r="G18"/>
  <c r="F18"/>
  <c r="E18"/>
  <c r="M17"/>
  <c r="E17"/>
  <c r="P17"/>
  <c r="O17"/>
  <c r="N17"/>
  <c r="L17"/>
  <c r="K17"/>
  <c r="J17"/>
  <c r="H17"/>
  <c r="G17"/>
  <c r="F17"/>
  <c r="P16"/>
  <c r="O16"/>
  <c r="N16"/>
  <c r="M16"/>
  <c r="L16"/>
  <c r="K16"/>
  <c r="J16"/>
  <c r="H16"/>
  <c r="G16"/>
  <c r="F16"/>
  <c r="E16"/>
  <c r="P15"/>
  <c r="O15"/>
  <c r="N15"/>
  <c r="M15"/>
  <c r="L15"/>
  <c r="K15"/>
  <c r="J15"/>
  <c r="H15"/>
  <c r="G15"/>
  <c r="F15"/>
  <c r="E15"/>
  <c r="P14"/>
  <c r="O14"/>
  <c r="N14"/>
  <c r="M14"/>
  <c r="L14"/>
  <c r="K14"/>
  <c r="J14"/>
  <c r="H14"/>
  <c r="G14"/>
  <c r="F14"/>
  <c r="E14"/>
  <c r="P13"/>
  <c r="O13"/>
  <c r="N13"/>
  <c r="M13"/>
  <c r="L13"/>
  <c r="K13"/>
  <c r="J13"/>
  <c r="H13"/>
  <c r="G13"/>
  <c r="F13"/>
  <c r="E13"/>
  <c r="P12"/>
  <c r="O12"/>
  <c r="N12"/>
  <c r="M12"/>
  <c r="L12"/>
  <c r="K12"/>
  <c r="J12"/>
  <c r="H12"/>
  <c r="G12"/>
  <c r="F12"/>
  <c r="E12"/>
  <c r="P11"/>
  <c r="O11"/>
  <c r="N11"/>
  <c r="M11"/>
  <c r="L11"/>
  <c r="K11"/>
  <c r="J11"/>
  <c r="H11"/>
  <c r="G11"/>
  <c r="F11"/>
  <c r="E11"/>
  <c r="F10"/>
  <c r="P10"/>
  <c r="O10"/>
  <c r="N10"/>
  <c r="M10"/>
  <c r="L10"/>
  <c r="K10"/>
  <c r="J10"/>
  <c r="H10"/>
  <c r="G10"/>
  <c r="E10"/>
  <c r="P9"/>
  <c r="O9"/>
  <c r="N9"/>
  <c r="M9"/>
  <c r="L9"/>
  <c r="K9"/>
  <c r="J9"/>
  <c r="H9"/>
  <c r="G9"/>
  <c r="F9"/>
  <c r="E9"/>
  <c r="H8"/>
  <c r="E8"/>
  <c r="P8"/>
  <c r="O8"/>
  <c r="N8"/>
  <c r="M8"/>
  <c r="L8"/>
  <c r="K8"/>
  <c r="J8"/>
  <c r="G8"/>
  <c r="F8"/>
  <c r="P7"/>
  <c r="O7"/>
  <c r="N7"/>
  <c r="M7"/>
  <c r="L7"/>
  <c r="K7"/>
  <c r="J7"/>
  <c r="H7"/>
  <c r="G7"/>
  <c r="F7"/>
  <c r="E7"/>
  <c r="F6"/>
  <c r="P6"/>
  <c r="O6"/>
  <c r="N6"/>
  <c r="M6"/>
  <c r="L6"/>
  <c r="K6"/>
  <c r="J6"/>
  <c r="H6"/>
  <c r="G6"/>
  <c r="E6"/>
  <c r="F5"/>
  <c r="P5"/>
  <c r="O5"/>
  <c r="N5"/>
  <c r="M5"/>
  <c r="L5"/>
  <c r="K5"/>
  <c r="J5"/>
  <c r="H5"/>
  <c r="G5"/>
  <c r="E5"/>
  <c r="M4"/>
  <c r="P4"/>
  <c r="O4"/>
  <c r="N4"/>
  <c r="L4"/>
  <c r="K4"/>
  <c r="J4"/>
  <c r="H4"/>
  <c r="G4"/>
  <c r="F4"/>
  <c r="E4"/>
  <c r="P45" i="99"/>
  <c r="O45"/>
  <c r="N45"/>
  <c r="M45"/>
  <c r="L45"/>
  <c r="K45"/>
  <c r="J45"/>
  <c r="I45"/>
  <c r="H45"/>
  <c r="F45"/>
  <c r="E45"/>
  <c r="P44"/>
  <c r="O44"/>
  <c r="N44"/>
  <c r="M44"/>
  <c r="L44"/>
  <c r="K44"/>
  <c r="J44"/>
  <c r="I44"/>
  <c r="H44"/>
  <c r="F44"/>
  <c r="E44"/>
  <c r="P43"/>
  <c r="O43"/>
  <c r="N43"/>
  <c r="M43"/>
  <c r="L43"/>
  <c r="K43"/>
  <c r="J43"/>
  <c r="I43"/>
  <c r="H43"/>
  <c r="F43"/>
  <c r="E43"/>
  <c r="P42"/>
  <c r="O42"/>
  <c r="N42"/>
  <c r="M42"/>
  <c r="L42"/>
  <c r="K42"/>
  <c r="J42"/>
  <c r="I42"/>
  <c r="H42"/>
  <c r="F42"/>
  <c r="E42"/>
  <c r="P41"/>
  <c r="O41"/>
  <c r="N41"/>
  <c r="M41"/>
  <c r="L41"/>
  <c r="K41"/>
  <c r="J41"/>
  <c r="I41"/>
  <c r="H41"/>
  <c r="F41"/>
  <c r="E41"/>
  <c r="P40"/>
  <c r="O40"/>
  <c r="N40"/>
  <c r="M40"/>
  <c r="L40"/>
  <c r="K40"/>
  <c r="J40"/>
  <c r="I40"/>
  <c r="H40"/>
  <c r="F40"/>
  <c r="E40"/>
  <c r="P39"/>
  <c r="O39"/>
  <c r="N39"/>
  <c r="M39"/>
  <c r="L39"/>
  <c r="K39"/>
  <c r="J39"/>
  <c r="I39"/>
  <c r="H39"/>
  <c r="F39"/>
  <c r="E39"/>
  <c r="P38"/>
  <c r="O38"/>
  <c r="N38"/>
  <c r="M38"/>
  <c r="L38"/>
  <c r="K38"/>
  <c r="J38"/>
  <c r="I38"/>
  <c r="H38"/>
  <c r="F38"/>
  <c r="E38"/>
  <c r="P37"/>
  <c r="O37"/>
  <c r="N37"/>
  <c r="M37"/>
  <c r="L37"/>
  <c r="K37"/>
  <c r="J37"/>
  <c r="I37"/>
  <c r="H37"/>
  <c r="F37"/>
  <c r="E37"/>
  <c r="P36"/>
  <c r="O36"/>
  <c r="N36"/>
  <c r="M36"/>
  <c r="L36"/>
  <c r="K36"/>
  <c r="J36"/>
  <c r="I36"/>
  <c r="H36"/>
  <c r="F36"/>
  <c r="E36"/>
  <c r="P35"/>
  <c r="O35"/>
  <c r="N35"/>
  <c r="M35"/>
  <c r="L35"/>
  <c r="K35"/>
  <c r="J35"/>
  <c r="I35"/>
  <c r="H35"/>
  <c r="F35"/>
  <c r="E35"/>
  <c r="P34"/>
  <c r="O34"/>
  <c r="N34"/>
  <c r="M34"/>
  <c r="L34"/>
  <c r="K34"/>
  <c r="J34"/>
  <c r="I34"/>
  <c r="H34"/>
  <c r="F34"/>
  <c r="E34"/>
  <c r="P33"/>
  <c r="O33"/>
  <c r="N33"/>
  <c r="M33"/>
  <c r="L33"/>
  <c r="K33"/>
  <c r="J33"/>
  <c r="I33"/>
  <c r="H33"/>
  <c r="F33"/>
  <c r="E33"/>
  <c r="K32"/>
  <c r="P32"/>
  <c r="O32"/>
  <c r="N32"/>
  <c r="M32"/>
  <c r="L32"/>
  <c r="J32"/>
  <c r="I32"/>
  <c r="H32"/>
  <c r="F32"/>
  <c r="E32"/>
  <c r="P31"/>
  <c r="O31"/>
  <c r="N31"/>
  <c r="M31"/>
  <c r="L31"/>
  <c r="K31"/>
  <c r="J31"/>
  <c r="I31"/>
  <c r="H31"/>
  <c r="F31"/>
  <c r="E31"/>
  <c r="P30"/>
  <c r="O30"/>
  <c r="N30"/>
  <c r="M30"/>
  <c r="L30"/>
  <c r="K30"/>
  <c r="J30"/>
  <c r="I30"/>
  <c r="H30"/>
  <c r="F30"/>
  <c r="E30"/>
  <c r="P29"/>
  <c r="O29"/>
  <c r="N29"/>
  <c r="M29"/>
  <c r="L29"/>
  <c r="K29"/>
  <c r="J29"/>
  <c r="I29"/>
  <c r="H29"/>
  <c r="F29"/>
  <c r="E29"/>
  <c r="P28"/>
  <c r="O28"/>
  <c r="N28"/>
  <c r="M28"/>
  <c r="L28"/>
  <c r="K28"/>
  <c r="J28"/>
  <c r="I28"/>
  <c r="H28"/>
  <c r="F28"/>
  <c r="E28"/>
  <c r="F27"/>
  <c r="P27"/>
  <c r="O27"/>
  <c r="N27"/>
  <c r="M27"/>
  <c r="L27"/>
  <c r="K27"/>
  <c r="J27"/>
  <c r="I27"/>
  <c r="H27"/>
  <c r="E27"/>
  <c r="P26"/>
  <c r="O26"/>
  <c r="N26"/>
  <c r="M26"/>
  <c r="L26"/>
  <c r="K26"/>
  <c r="J26"/>
  <c r="I26"/>
  <c r="H26"/>
  <c r="F26"/>
  <c r="E26"/>
  <c r="P25"/>
  <c r="O25"/>
  <c r="N25"/>
  <c r="M25"/>
  <c r="L25"/>
  <c r="K25"/>
  <c r="J25"/>
  <c r="I25"/>
  <c r="H25"/>
  <c r="F25"/>
  <c r="E25"/>
  <c r="P24"/>
  <c r="O24"/>
  <c r="N24"/>
  <c r="M24"/>
  <c r="L24"/>
  <c r="K24"/>
  <c r="J24"/>
  <c r="I24"/>
  <c r="H24"/>
  <c r="F24"/>
  <c r="E24"/>
  <c r="P23"/>
  <c r="O23"/>
  <c r="N23"/>
  <c r="M23"/>
  <c r="L23"/>
  <c r="K23"/>
  <c r="J23"/>
  <c r="I23"/>
  <c r="H23"/>
  <c r="F23"/>
  <c r="E23"/>
  <c r="P22"/>
  <c r="O22"/>
  <c r="N22"/>
  <c r="M22"/>
  <c r="L22"/>
  <c r="K22"/>
  <c r="J22"/>
  <c r="I22"/>
  <c r="H22"/>
  <c r="F22"/>
  <c r="E22"/>
  <c r="P21"/>
  <c r="O21"/>
  <c r="N21"/>
  <c r="M21"/>
  <c r="L21"/>
  <c r="K21"/>
  <c r="J21"/>
  <c r="I21"/>
  <c r="H21"/>
  <c r="F21"/>
  <c r="E21"/>
  <c r="P20"/>
  <c r="O20"/>
  <c r="N20"/>
  <c r="M20"/>
  <c r="L20"/>
  <c r="K20"/>
  <c r="J20"/>
  <c r="I20"/>
  <c r="H20"/>
  <c r="F20"/>
  <c r="E20"/>
  <c r="P19"/>
  <c r="O19"/>
  <c r="N19"/>
  <c r="M19"/>
  <c r="L19"/>
  <c r="K19"/>
  <c r="J19"/>
  <c r="I19"/>
  <c r="H19"/>
  <c r="F19"/>
  <c r="E19"/>
  <c r="P18"/>
  <c r="O18"/>
  <c r="N18"/>
  <c r="M18"/>
  <c r="L18"/>
  <c r="K18"/>
  <c r="J18"/>
  <c r="I18"/>
  <c r="H18"/>
  <c r="F18"/>
  <c r="E18"/>
  <c r="P17"/>
  <c r="O17"/>
  <c r="N17"/>
  <c r="M17"/>
  <c r="L17"/>
  <c r="K17"/>
  <c r="J17"/>
  <c r="I17"/>
  <c r="H17"/>
  <c r="F17"/>
  <c r="E17"/>
  <c r="P16"/>
  <c r="O16"/>
  <c r="N16"/>
  <c r="M16"/>
  <c r="L16"/>
  <c r="K16"/>
  <c r="J16"/>
  <c r="I16"/>
  <c r="H16"/>
  <c r="F16"/>
  <c r="E16"/>
  <c r="P15"/>
  <c r="O15"/>
  <c r="N15"/>
  <c r="M15"/>
  <c r="L15"/>
  <c r="K15"/>
  <c r="J15"/>
  <c r="I15"/>
  <c r="H15"/>
  <c r="F15"/>
  <c r="E15"/>
  <c r="P14"/>
  <c r="O14"/>
  <c r="N14"/>
  <c r="M14"/>
  <c r="L14"/>
  <c r="K14"/>
  <c r="J14"/>
  <c r="I14"/>
  <c r="H14"/>
  <c r="F14"/>
  <c r="E14"/>
  <c r="P13"/>
  <c r="O13"/>
  <c r="N13"/>
  <c r="M13"/>
  <c r="L13"/>
  <c r="K13"/>
  <c r="J13"/>
  <c r="I13"/>
  <c r="H13"/>
  <c r="F13"/>
  <c r="E13"/>
  <c r="P12"/>
  <c r="O12"/>
  <c r="N12"/>
  <c r="M12"/>
  <c r="L12"/>
  <c r="K12"/>
  <c r="J12"/>
  <c r="I12"/>
  <c r="H12"/>
  <c r="F12"/>
  <c r="E12"/>
  <c r="K11"/>
  <c r="P11"/>
  <c r="O11"/>
  <c r="N11"/>
  <c r="M11"/>
  <c r="L11"/>
  <c r="J11"/>
  <c r="I11"/>
  <c r="H11"/>
  <c r="F11"/>
  <c r="E11"/>
  <c r="P10"/>
  <c r="O10"/>
  <c r="N10"/>
  <c r="M10"/>
  <c r="L10"/>
  <c r="K10"/>
  <c r="J10"/>
  <c r="I10"/>
  <c r="H10"/>
  <c r="F10"/>
  <c r="E10"/>
  <c r="P9"/>
  <c r="O9"/>
  <c r="N9"/>
  <c r="M9"/>
  <c r="L9"/>
  <c r="K9"/>
  <c r="J9"/>
  <c r="I9"/>
  <c r="H9"/>
  <c r="F9"/>
  <c r="E9"/>
  <c r="P8"/>
  <c r="O8"/>
  <c r="N8"/>
  <c r="M8"/>
  <c r="L8"/>
  <c r="K8"/>
  <c r="J8"/>
  <c r="I8"/>
  <c r="H8"/>
  <c r="F8"/>
  <c r="E8"/>
  <c r="P7"/>
  <c r="O7"/>
  <c r="N7"/>
  <c r="M7"/>
  <c r="L7"/>
  <c r="K7"/>
  <c r="J7"/>
  <c r="I7"/>
  <c r="H7"/>
  <c r="F7"/>
  <c r="E7"/>
  <c r="P6"/>
  <c r="O6"/>
  <c r="N6"/>
  <c r="M6"/>
  <c r="L6"/>
  <c r="K6"/>
  <c r="J6"/>
  <c r="I6"/>
  <c r="H6"/>
  <c r="F6"/>
  <c r="E6"/>
  <c r="P5"/>
  <c r="O5"/>
  <c r="N5"/>
  <c r="M5"/>
  <c r="L5"/>
  <c r="K5"/>
  <c r="J5"/>
  <c r="I5"/>
  <c r="H5"/>
  <c r="F5"/>
  <c r="E5"/>
  <c r="P4"/>
  <c r="O4"/>
  <c r="N4"/>
  <c r="M4"/>
  <c r="L4"/>
  <c r="K4"/>
  <c r="J4"/>
  <c r="I4"/>
  <c r="H4"/>
  <c r="F4"/>
  <c r="E4"/>
  <c r="P96" i="98"/>
  <c r="O96"/>
  <c r="N96"/>
  <c r="M96"/>
  <c r="L96"/>
  <c r="K96"/>
  <c r="J96"/>
  <c r="I96"/>
  <c r="H96"/>
  <c r="G96"/>
  <c r="F96"/>
  <c r="P95"/>
  <c r="O95"/>
  <c r="N95"/>
  <c r="M95"/>
  <c r="L95"/>
  <c r="K95"/>
  <c r="J95"/>
  <c r="I95"/>
  <c r="H95"/>
  <c r="G95"/>
  <c r="F95"/>
  <c r="P94"/>
  <c r="O94"/>
  <c r="N94"/>
  <c r="M94"/>
  <c r="L94"/>
  <c r="K94"/>
  <c r="J94"/>
  <c r="I94"/>
  <c r="H94"/>
  <c r="G94"/>
  <c r="F94"/>
  <c r="P93"/>
  <c r="O93"/>
  <c r="N93"/>
  <c r="M93"/>
  <c r="L93"/>
  <c r="K93"/>
  <c r="J93"/>
  <c r="I93"/>
  <c r="H93"/>
  <c r="G93"/>
  <c r="F93"/>
  <c r="P92"/>
  <c r="O92"/>
  <c r="N92"/>
  <c r="M92"/>
  <c r="L92"/>
  <c r="K92"/>
  <c r="J92"/>
  <c r="I92"/>
  <c r="H92"/>
  <c r="G92"/>
  <c r="F92"/>
  <c r="P91"/>
  <c r="O91"/>
  <c r="N91"/>
  <c r="M91"/>
  <c r="L91"/>
  <c r="K91"/>
  <c r="J91"/>
  <c r="I91"/>
  <c r="H91"/>
  <c r="G91"/>
  <c r="F91"/>
  <c r="P90"/>
  <c r="O90"/>
  <c r="N90"/>
  <c r="M90"/>
  <c r="L90"/>
  <c r="K90"/>
  <c r="J90"/>
  <c r="I90"/>
  <c r="H90"/>
  <c r="G90"/>
  <c r="F90"/>
  <c r="P89"/>
  <c r="O89"/>
  <c r="N89"/>
  <c r="M89"/>
  <c r="L89"/>
  <c r="K89"/>
  <c r="J89"/>
  <c r="I89"/>
  <c r="H89"/>
  <c r="G89"/>
  <c r="F89"/>
  <c r="P88"/>
  <c r="O88"/>
  <c r="N88"/>
  <c r="M88"/>
  <c r="L88"/>
  <c r="K88"/>
  <c r="J88"/>
  <c r="I88"/>
  <c r="H88"/>
  <c r="G88"/>
  <c r="F88"/>
  <c r="P87"/>
  <c r="O87"/>
  <c r="N87"/>
  <c r="M87"/>
  <c r="L87"/>
  <c r="K87"/>
  <c r="J87"/>
  <c r="I87"/>
  <c r="H87"/>
  <c r="G87"/>
  <c r="F87"/>
  <c r="P86"/>
  <c r="O86"/>
  <c r="N86"/>
  <c r="M86"/>
  <c r="L86"/>
  <c r="K86"/>
  <c r="J86"/>
  <c r="I86"/>
  <c r="H86"/>
  <c r="G86"/>
  <c r="F86"/>
  <c r="P85"/>
  <c r="O85"/>
  <c r="N85"/>
  <c r="M85"/>
  <c r="L85"/>
  <c r="K85"/>
  <c r="J85"/>
  <c r="I85"/>
  <c r="H85"/>
  <c r="G85"/>
  <c r="F85"/>
  <c r="P84"/>
  <c r="O84"/>
  <c r="N84"/>
  <c r="M84"/>
  <c r="L84"/>
  <c r="K84"/>
  <c r="J84"/>
  <c r="I84"/>
  <c r="H84"/>
  <c r="G84"/>
  <c r="F84"/>
  <c r="P83"/>
  <c r="O83"/>
  <c r="N83"/>
  <c r="M83"/>
  <c r="L83"/>
  <c r="K83"/>
  <c r="J83"/>
  <c r="I83"/>
  <c r="H83"/>
  <c r="G83"/>
  <c r="F83"/>
  <c r="P77"/>
  <c r="O77"/>
  <c r="N77"/>
  <c r="M77"/>
  <c r="L77"/>
  <c r="K77"/>
  <c r="J77"/>
  <c r="I77"/>
  <c r="H77"/>
  <c r="G77"/>
  <c r="F77"/>
  <c r="P76"/>
  <c r="O76"/>
  <c r="N76"/>
  <c r="M76"/>
  <c r="L76"/>
  <c r="K76"/>
  <c r="J76"/>
  <c r="I76"/>
  <c r="H76"/>
  <c r="G76"/>
  <c r="F76"/>
  <c r="P75"/>
  <c r="O75"/>
  <c r="N75"/>
  <c r="M75"/>
  <c r="L75"/>
  <c r="K75"/>
  <c r="J75"/>
  <c r="I75"/>
  <c r="H75"/>
  <c r="G75"/>
  <c r="F75"/>
  <c r="P74"/>
  <c r="O74"/>
  <c r="N74"/>
  <c r="M74"/>
  <c r="L74"/>
  <c r="K74"/>
  <c r="J74"/>
  <c r="I74"/>
  <c r="H74"/>
  <c r="G74"/>
  <c r="F74"/>
  <c r="P73"/>
  <c r="O73"/>
  <c r="N73"/>
  <c r="M73"/>
  <c r="L73"/>
  <c r="K73"/>
  <c r="J73"/>
  <c r="I73"/>
  <c r="H73"/>
  <c r="G73"/>
  <c r="F73"/>
  <c r="P72"/>
  <c r="O72"/>
  <c r="N72"/>
  <c r="M72"/>
  <c r="L72"/>
  <c r="K72"/>
  <c r="J72"/>
  <c r="I72"/>
  <c r="H72"/>
  <c r="G72"/>
  <c r="F72"/>
  <c r="P71"/>
  <c r="O71"/>
  <c r="N71"/>
  <c r="M71"/>
  <c r="L71"/>
  <c r="K71"/>
  <c r="J71"/>
  <c r="I71"/>
  <c r="H71"/>
  <c r="G71"/>
  <c r="F71"/>
  <c r="P70"/>
  <c r="O70"/>
  <c r="N70"/>
  <c r="M70"/>
  <c r="L70"/>
  <c r="K70"/>
  <c r="J70"/>
  <c r="I70"/>
  <c r="H70"/>
  <c r="G70"/>
  <c r="F70"/>
  <c r="P69"/>
  <c r="O69"/>
  <c r="N69"/>
  <c r="M69"/>
  <c r="L69"/>
  <c r="K69"/>
  <c r="J69"/>
  <c r="I69"/>
  <c r="H69"/>
  <c r="G69"/>
  <c r="F69"/>
  <c r="P68"/>
  <c r="O68"/>
  <c r="N68"/>
  <c r="M68"/>
  <c r="L68"/>
  <c r="K68"/>
  <c r="J68"/>
  <c r="I68"/>
  <c r="H68"/>
  <c r="G68"/>
  <c r="F68"/>
  <c r="P67"/>
  <c r="O67"/>
  <c r="N67"/>
  <c r="M67"/>
  <c r="L67"/>
  <c r="K67"/>
  <c r="J67"/>
  <c r="I67"/>
  <c r="H67"/>
  <c r="G67"/>
  <c r="F67"/>
  <c r="P66"/>
  <c r="O66"/>
  <c r="N66"/>
  <c r="M66"/>
  <c r="L66"/>
  <c r="K66"/>
  <c r="J66"/>
  <c r="I66"/>
  <c r="H66"/>
  <c r="G66"/>
  <c r="F66"/>
  <c r="P65"/>
  <c r="O65"/>
  <c r="N65"/>
  <c r="M65"/>
  <c r="L65"/>
  <c r="K65"/>
  <c r="J65"/>
  <c r="I65"/>
  <c r="H65"/>
  <c r="G65"/>
  <c r="F65"/>
  <c r="P64"/>
  <c r="O64"/>
  <c r="N64"/>
  <c r="M64"/>
  <c r="L64"/>
  <c r="K64"/>
  <c r="J64"/>
  <c r="I64"/>
  <c r="H64"/>
  <c r="G64"/>
  <c r="F64"/>
  <c r="P63"/>
  <c r="O63"/>
  <c r="N63"/>
  <c r="M63"/>
  <c r="L63"/>
  <c r="K63"/>
  <c r="J63"/>
  <c r="I63"/>
  <c r="H63"/>
  <c r="G63"/>
  <c r="F63"/>
  <c r="P62"/>
  <c r="O62"/>
  <c r="N62"/>
  <c r="M62"/>
  <c r="L62"/>
  <c r="K62"/>
  <c r="J62"/>
  <c r="I62"/>
  <c r="H62"/>
  <c r="G62"/>
  <c r="F62"/>
  <c r="P61"/>
  <c r="O61"/>
  <c r="N61"/>
  <c r="M61"/>
  <c r="L61"/>
  <c r="K61"/>
  <c r="J61"/>
  <c r="I61"/>
  <c r="H61"/>
  <c r="G61"/>
  <c r="F61"/>
  <c r="P60"/>
  <c r="O60"/>
  <c r="N60"/>
  <c r="M60"/>
  <c r="L60"/>
  <c r="K60"/>
  <c r="J60"/>
  <c r="I60"/>
  <c r="H60"/>
  <c r="G60"/>
  <c r="F60"/>
  <c r="P59"/>
  <c r="O59"/>
  <c r="N59"/>
  <c r="M59"/>
  <c r="L59"/>
  <c r="K59"/>
  <c r="J59"/>
  <c r="I59"/>
  <c r="H59"/>
  <c r="G59"/>
  <c r="F59"/>
  <c r="P58"/>
  <c r="O58"/>
  <c r="N58"/>
  <c r="M58"/>
  <c r="L58"/>
  <c r="K58"/>
  <c r="J58"/>
  <c r="I58"/>
  <c r="H58"/>
  <c r="G58"/>
  <c r="F58"/>
  <c r="P57"/>
  <c r="O57"/>
  <c r="N57"/>
  <c r="M57"/>
  <c r="L57"/>
  <c r="K57"/>
  <c r="J57"/>
  <c r="I57"/>
  <c r="H57"/>
  <c r="G57"/>
  <c r="F57"/>
  <c r="P56"/>
  <c r="O56"/>
  <c r="N56"/>
  <c r="M56"/>
  <c r="L56"/>
  <c r="K56"/>
  <c r="J56"/>
  <c r="I56"/>
  <c r="H56"/>
  <c r="G56"/>
  <c r="F56"/>
  <c r="P55"/>
  <c r="O55"/>
  <c r="N55"/>
  <c r="M55"/>
  <c r="L55"/>
  <c r="K55"/>
  <c r="J55"/>
  <c r="I55"/>
  <c r="H55"/>
  <c r="G55"/>
  <c r="F55"/>
  <c r="P54"/>
  <c r="O54"/>
  <c r="N54"/>
  <c r="M54"/>
  <c r="L54"/>
  <c r="K54"/>
  <c r="J54"/>
  <c r="I54"/>
  <c r="H54"/>
  <c r="G54"/>
  <c r="F54"/>
  <c r="P53"/>
  <c r="O53"/>
  <c r="N53"/>
  <c r="M53"/>
  <c r="L53"/>
  <c r="K53"/>
  <c r="J53"/>
  <c r="I53"/>
  <c r="H53"/>
  <c r="G53"/>
  <c r="F53"/>
  <c r="P52"/>
  <c r="O52"/>
  <c r="N52"/>
  <c r="M52"/>
  <c r="L52"/>
  <c r="K52"/>
  <c r="J52"/>
  <c r="I52"/>
  <c r="H52"/>
  <c r="G52"/>
  <c r="F52"/>
  <c r="P51"/>
  <c r="O51"/>
  <c r="N51"/>
  <c r="M51"/>
  <c r="L51"/>
  <c r="K51"/>
  <c r="J51"/>
  <c r="I51"/>
  <c r="H51"/>
  <c r="G51"/>
  <c r="F51"/>
  <c r="P50"/>
  <c r="O50"/>
  <c r="N50"/>
  <c r="M50"/>
  <c r="L50"/>
  <c r="K50"/>
  <c r="J50"/>
  <c r="I50"/>
  <c r="H50"/>
  <c r="G50"/>
  <c r="F50"/>
  <c r="P49"/>
  <c r="O49"/>
  <c r="N49"/>
  <c r="M49"/>
  <c r="L49"/>
  <c r="K49"/>
  <c r="J49"/>
  <c r="I49"/>
  <c r="H49"/>
  <c r="G49"/>
  <c r="F49"/>
  <c r="P48"/>
  <c r="O48"/>
  <c r="N48"/>
  <c r="M48"/>
  <c r="L48"/>
  <c r="K48"/>
  <c r="J48"/>
  <c r="I48"/>
  <c r="H48"/>
  <c r="G48"/>
  <c r="F48"/>
  <c r="P47"/>
  <c r="O47"/>
  <c r="N47"/>
  <c r="M47"/>
  <c r="L47"/>
  <c r="K47"/>
  <c r="J47"/>
  <c r="I47"/>
  <c r="H47"/>
  <c r="G47"/>
  <c r="F47"/>
  <c r="P46"/>
  <c r="O46"/>
  <c r="N46"/>
  <c r="M46"/>
  <c r="L46"/>
  <c r="K46"/>
  <c r="J46"/>
  <c r="I46"/>
  <c r="H46"/>
  <c r="G46"/>
  <c r="F46"/>
  <c r="P45"/>
  <c r="O45"/>
  <c r="N45"/>
  <c r="M45"/>
  <c r="L45"/>
  <c r="K45"/>
  <c r="J45"/>
  <c r="I45"/>
  <c r="H45"/>
  <c r="G45"/>
  <c r="F45"/>
  <c r="P44"/>
  <c r="O44"/>
  <c r="N44"/>
  <c r="M44"/>
  <c r="L44"/>
  <c r="K44"/>
  <c r="J44"/>
  <c r="I44"/>
  <c r="H44"/>
  <c r="G44"/>
  <c r="F44"/>
  <c r="P43"/>
  <c r="O43"/>
  <c r="N43"/>
  <c r="M43"/>
  <c r="L43"/>
  <c r="K43"/>
  <c r="J43"/>
  <c r="I43"/>
  <c r="H43"/>
  <c r="G43"/>
  <c r="F43"/>
  <c r="P42"/>
  <c r="O42"/>
  <c r="N42"/>
  <c r="M42"/>
  <c r="L42"/>
  <c r="K42"/>
  <c r="J42"/>
  <c r="I42"/>
  <c r="H42"/>
  <c r="G42"/>
  <c r="F42"/>
  <c r="P38"/>
  <c r="O38"/>
  <c r="N38"/>
  <c r="M38"/>
  <c r="L38"/>
  <c r="K38"/>
  <c r="J38"/>
  <c r="I38"/>
  <c r="H38"/>
  <c r="G38"/>
  <c r="F38"/>
  <c r="P37"/>
  <c r="O37"/>
  <c r="N37"/>
  <c r="M37"/>
  <c r="L37"/>
  <c r="K37"/>
  <c r="J37"/>
  <c r="I37"/>
  <c r="H37"/>
  <c r="G37"/>
  <c r="F37"/>
  <c r="P36"/>
  <c r="O36"/>
  <c r="N36"/>
  <c r="M36"/>
  <c r="L36"/>
  <c r="K36"/>
  <c r="J36"/>
  <c r="I36"/>
  <c r="H36"/>
  <c r="G36"/>
  <c r="F36"/>
  <c r="P35"/>
  <c r="O35"/>
  <c r="N35"/>
  <c r="M35"/>
  <c r="L35"/>
  <c r="K35"/>
  <c r="J35"/>
  <c r="I35"/>
  <c r="H35"/>
  <c r="G35"/>
  <c r="F35"/>
  <c r="P34"/>
  <c r="O34"/>
  <c r="N34"/>
  <c r="M34"/>
  <c r="L34"/>
  <c r="K34"/>
  <c r="J34"/>
  <c r="I34"/>
  <c r="H34"/>
  <c r="G34"/>
  <c r="F34"/>
  <c r="P33"/>
  <c r="O33"/>
  <c r="N33"/>
  <c r="M33"/>
  <c r="L33"/>
  <c r="K33"/>
  <c r="J33"/>
  <c r="I33"/>
  <c r="H33"/>
  <c r="G33"/>
  <c r="F33"/>
  <c r="P32"/>
  <c r="O32"/>
  <c r="N32"/>
  <c r="M32"/>
  <c r="L32"/>
  <c r="K32"/>
  <c r="J32"/>
  <c r="I32"/>
  <c r="H32"/>
  <c r="G32"/>
  <c r="F32"/>
  <c r="P31"/>
  <c r="O31"/>
  <c r="N31"/>
  <c r="M31"/>
  <c r="L31"/>
  <c r="K31"/>
  <c r="J31"/>
  <c r="I31"/>
  <c r="H31"/>
  <c r="G31"/>
  <c r="F31"/>
  <c r="P30"/>
  <c r="O30"/>
  <c r="N30"/>
  <c r="M30"/>
  <c r="L30"/>
  <c r="K30"/>
  <c r="J30"/>
  <c r="I30"/>
  <c r="H30"/>
  <c r="G30"/>
  <c r="F30"/>
  <c r="P29"/>
  <c r="O29"/>
  <c r="N29"/>
  <c r="M29"/>
  <c r="L29"/>
  <c r="K29"/>
  <c r="J29"/>
  <c r="I29"/>
  <c r="H29"/>
  <c r="G29"/>
  <c r="F29"/>
  <c r="P28"/>
  <c r="O28"/>
  <c r="N28"/>
  <c r="M28"/>
  <c r="L28"/>
  <c r="K28"/>
  <c r="J28"/>
  <c r="I28"/>
  <c r="H28"/>
  <c r="G28"/>
  <c r="F28"/>
  <c r="P27"/>
  <c r="O27"/>
  <c r="N27"/>
  <c r="M27"/>
  <c r="L27"/>
  <c r="K27"/>
  <c r="J27"/>
  <c r="I27"/>
  <c r="H27"/>
  <c r="G27"/>
  <c r="F27"/>
  <c r="P26"/>
  <c r="O26"/>
  <c r="N26"/>
  <c r="M26"/>
  <c r="L26"/>
  <c r="K26"/>
  <c r="J26"/>
  <c r="I26"/>
  <c r="H26"/>
  <c r="G26"/>
  <c r="F26"/>
  <c r="K25"/>
  <c r="F25"/>
  <c r="P25"/>
  <c r="O25"/>
  <c r="N25"/>
  <c r="M25"/>
  <c r="L25"/>
  <c r="J25"/>
  <c r="I25"/>
  <c r="H25"/>
  <c r="G25"/>
  <c r="P24"/>
  <c r="O24"/>
  <c r="N24"/>
  <c r="M24"/>
  <c r="L24"/>
  <c r="K24"/>
  <c r="J24"/>
  <c r="I24"/>
  <c r="H24"/>
  <c r="G24"/>
  <c r="F24"/>
  <c r="P23"/>
  <c r="O23"/>
  <c r="N23"/>
  <c r="M23"/>
  <c r="L23"/>
  <c r="K23"/>
  <c r="J23"/>
  <c r="I23"/>
  <c r="H23"/>
  <c r="G23"/>
  <c r="F23"/>
  <c r="P22"/>
  <c r="O22"/>
  <c r="N22"/>
  <c r="M22"/>
  <c r="L22"/>
  <c r="K22"/>
  <c r="J22"/>
  <c r="I22"/>
  <c r="H22"/>
  <c r="G22"/>
  <c r="F22"/>
  <c r="P21"/>
  <c r="O21"/>
  <c r="N21"/>
  <c r="M21"/>
  <c r="L21"/>
  <c r="K21"/>
  <c r="J21"/>
  <c r="I21"/>
  <c r="H21"/>
  <c r="G21"/>
  <c r="F21"/>
  <c r="P20"/>
  <c r="O20"/>
  <c r="N20"/>
  <c r="M20"/>
  <c r="L20"/>
  <c r="K20"/>
  <c r="J20"/>
  <c r="I20"/>
  <c r="H20"/>
  <c r="G20"/>
  <c r="F20"/>
  <c r="P19"/>
  <c r="O19"/>
  <c r="N19"/>
  <c r="M19"/>
  <c r="L19"/>
  <c r="K19"/>
  <c r="J19"/>
  <c r="I19"/>
  <c r="H19"/>
  <c r="G19"/>
  <c r="F19"/>
  <c r="P18"/>
  <c r="O18"/>
  <c r="N18"/>
  <c r="M18"/>
  <c r="L18"/>
  <c r="K18"/>
  <c r="J18"/>
  <c r="I18"/>
  <c r="H18"/>
  <c r="G18"/>
  <c r="F18"/>
  <c r="P17"/>
  <c r="O17"/>
  <c r="N17"/>
  <c r="M17"/>
  <c r="L17"/>
  <c r="K17"/>
  <c r="J17"/>
  <c r="I17"/>
  <c r="H17"/>
  <c r="G17"/>
  <c r="F17"/>
  <c r="P16"/>
  <c r="O16"/>
  <c r="N16"/>
  <c r="M16"/>
  <c r="L16"/>
  <c r="K16"/>
  <c r="J16"/>
  <c r="I16"/>
  <c r="H16"/>
  <c r="G16"/>
  <c r="F16"/>
  <c r="P15"/>
  <c r="O15"/>
  <c r="N15"/>
  <c r="M15"/>
  <c r="L15"/>
  <c r="K15"/>
  <c r="J15"/>
  <c r="I15"/>
  <c r="H15"/>
  <c r="G15"/>
  <c r="F15"/>
  <c r="P14"/>
  <c r="O14"/>
  <c r="N14"/>
  <c r="M14"/>
  <c r="L14"/>
  <c r="K14"/>
  <c r="J14"/>
  <c r="I14"/>
  <c r="H14"/>
  <c r="G14"/>
  <c r="F14"/>
  <c r="P13"/>
  <c r="O13"/>
  <c r="N13"/>
  <c r="M13"/>
  <c r="L13"/>
  <c r="K13"/>
  <c r="J13"/>
  <c r="I13"/>
  <c r="H13"/>
  <c r="G13"/>
  <c r="F13"/>
  <c r="P12"/>
  <c r="O12"/>
  <c r="N12"/>
  <c r="M12"/>
  <c r="L12"/>
  <c r="K12"/>
  <c r="J12"/>
  <c r="I12"/>
  <c r="H12"/>
  <c r="G12"/>
  <c r="F12"/>
  <c r="P11"/>
  <c r="O11"/>
  <c r="N11"/>
  <c r="M11"/>
  <c r="L11"/>
  <c r="K11"/>
  <c r="J11"/>
  <c r="I11"/>
  <c r="H11"/>
  <c r="G11"/>
  <c r="F11"/>
  <c r="P10"/>
  <c r="O10"/>
  <c r="N10"/>
  <c r="M10"/>
  <c r="L10"/>
  <c r="K10"/>
  <c r="J10"/>
  <c r="I10"/>
  <c r="H10"/>
  <c r="G10"/>
  <c r="F10"/>
  <c r="P9"/>
  <c r="O9"/>
  <c r="N9"/>
  <c r="M9"/>
  <c r="L9"/>
  <c r="K9"/>
  <c r="J9"/>
  <c r="I9"/>
  <c r="H9"/>
  <c r="G9"/>
  <c r="F9"/>
  <c r="P8"/>
  <c r="O8"/>
  <c r="N8"/>
  <c r="M8"/>
  <c r="L8"/>
  <c r="K8"/>
  <c r="J8"/>
  <c r="I8"/>
  <c r="H8"/>
  <c r="G8"/>
  <c r="F8"/>
  <c r="P7"/>
  <c r="O7"/>
  <c r="N7"/>
  <c r="M7"/>
  <c r="L7"/>
  <c r="K7"/>
  <c r="J7"/>
  <c r="I7"/>
  <c r="H7"/>
  <c r="G7"/>
  <c r="F7"/>
  <c r="P6"/>
  <c r="O6"/>
  <c r="N6"/>
  <c r="M6"/>
  <c r="L6"/>
  <c r="K6"/>
  <c r="J6"/>
  <c r="I6"/>
  <c r="H6"/>
  <c r="G6"/>
  <c r="F6"/>
  <c r="P5"/>
  <c r="O5"/>
  <c r="N5"/>
  <c r="M5"/>
  <c r="L5"/>
  <c r="K5"/>
  <c r="J5"/>
  <c r="I5"/>
  <c r="H5"/>
  <c r="G5"/>
  <c r="F5"/>
  <c r="P4"/>
  <c r="O4"/>
  <c r="N4"/>
  <c r="M4"/>
  <c r="L4"/>
  <c r="K4"/>
  <c r="J4"/>
  <c r="I4"/>
  <c r="H4"/>
  <c r="G4"/>
  <c r="F4"/>
  <c r="AK41" i="88"/>
  <c r="AL41" s="1"/>
  <c r="AM41" s="1"/>
  <c r="AE41"/>
  <c r="AF41" s="1"/>
  <c r="AG41" s="1"/>
  <c r="Y41"/>
  <c r="S41"/>
  <c r="T41" s="1"/>
  <c r="U41" s="1"/>
  <c r="AK41" i="77"/>
  <c r="AL41" s="1"/>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M69" i="95"/>
  <c r="O66"/>
  <c r="O67"/>
  <c r="O65"/>
  <c r="M66"/>
  <c r="M67"/>
  <c r="M65"/>
  <c r="K66"/>
  <c r="K67"/>
  <c r="K65"/>
  <c r="I66"/>
  <c r="I67"/>
  <c r="I65"/>
  <c r="M54"/>
  <c r="I54"/>
  <c r="O30"/>
  <c r="O31"/>
  <c r="O29"/>
  <c r="M30"/>
  <c r="M31"/>
  <c r="M29"/>
  <c r="K30"/>
  <c r="K31"/>
  <c r="K29"/>
  <c r="I30"/>
  <c r="I31"/>
  <c r="I29"/>
  <c r="M18"/>
  <c r="I18"/>
  <c r="D5" i="94"/>
  <c r="D6"/>
  <c r="D7"/>
  <c r="D8"/>
  <c r="D4"/>
  <c r="C6"/>
  <c r="C7" s="1"/>
  <c r="C8" s="1"/>
  <c r="C4"/>
  <c r="C5" s="1"/>
  <c r="C3"/>
  <c r="AL9" i="24"/>
  <c r="AM9" s="1"/>
  <c r="C7" i="104" s="1"/>
  <c r="AF9" i="24"/>
  <c r="Z9"/>
  <c r="T9"/>
  <c r="N9"/>
  <c r="AL8"/>
  <c r="AM8" s="1"/>
  <c r="C6" i="104" s="1"/>
  <c r="AF8" i="24"/>
  <c r="Z8"/>
  <c r="T8"/>
  <c r="N8"/>
  <c r="AL7"/>
  <c r="AM7" s="1"/>
  <c r="C5" i="104" s="1"/>
  <c r="AF7" i="24"/>
  <c r="AG7" s="1"/>
  <c r="Z7"/>
  <c r="AA7" s="1"/>
  <c r="T7"/>
  <c r="U7" s="1"/>
  <c r="C5" i="100" s="1"/>
  <c r="N7" i="24"/>
  <c r="O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O55"/>
  <c r="Q55"/>
  <c r="AG55" s="1"/>
  <c r="AS55" s="1"/>
  <c r="R55"/>
  <c r="T55"/>
  <c r="AI55" s="1"/>
  <c r="AU55" s="1"/>
  <c r="U55"/>
  <c r="W55"/>
  <c r="AK55" s="1"/>
  <c r="AW55" s="1"/>
  <c r="X55"/>
  <c r="I56"/>
  <c r="L56"/>
  <c r="O56"/>
  <c r="R56"/>
  <c r="U56"/>
  <c r="X56"/>
  <c r="I57"/>
  <c r="L57"/>
  <c r="O57"/>
  <c r="R57"/>
  <c r="U57"/>
  <c r="X57"/>
  <c r="I58"/>
  <c r="L58"/>
  <c r="O58"/>
  <c r="R58"/>
  <c r="U58"/>
  <c r="X58"/>
  <c r="I59"/>
  <c r="L59"/>
  <c r="O59"/>
  <c r="R59"/>
  <c r="U59"/>
  <c r="X59"/>
  <c r="H60"/>
  <c r="AA60" s="1"/>
  <c r="AM60" s="1"/>
  <c r="I60"/>
  <c r="K60"/>
  <c r="AC60" s="1"/>
  <c r="AO60" s="1"/>
  <c r="L60"/>
  <c r="N60"/>
  <c r="AE60" s="1"/>
  <c r="AQ60" s="1"/>
  <c r="O60"/>
  <c r="Q60"/>
  <c r="AG60" s="1"/>
  <c r="AS60" s="1"/>
  <c r="R60"/>
  <c r="T60"/>
  <c r="AI60" s="1"/>
  <c r="AU60" s="1"/>
  <c r="U60"/>
  <c r="W60"/>
  <c r="AK60" s="1"/>
  <c r="AW60" s="1"/>
  <c r="X60"/>
  <c r="I61"/>
  <c r="L61"/>
  <c r="O61"/>
  <c r="R61"/>
  <c r="U61"/>
  <c r="X61"/>
  <c r="H62"/>
  <c r="AA62" s="1"/>
  <c r="AM62" s="1"/>
  <c r="I62"/>
  <c r="K62"/>
  <c r="AC62" s="1"/>
  <c r="AO62" s="1"/>
  <c r="L62"/>
  <c r="N62"/>
  <c r="AE62" s="1"/>
  <c r="AQ62" s="1"/>
  <c r="O62"/>
  <c r="Q62"/>
  <c r="AG62" s="1"/>
  <c r="AS62" s="1"/>
  <c r="R62"/>
  <c r="T62"/>
  <c r="AI62" s="1"/>
  <c r="AU62" s="1"/>
  <c r="U62"/>
  <c r="W62"/>
  <c r="AK62" s="1"/>
  <c r="AW62" s="1"/>
  <c r="X62"/>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M73"/>
  <c r="AD73" s="1"/>
  <c r="AP73" s="1"/>
  <c r="N73"/>
  <c r="AE73" s="1"/>
  <c r="AQ73" s="1"/>
  <c r="O73"/>
  <c r="P73"/>
  <c r="AF73" s="1"/>
  <c r="AR73" s="1"/>
  <c r="Q73"/>
  <c r="AG73" s="1"/>
  <c r="AS73" s="1"/>
  <c r="R73"/>
  <c r="S73"/>
  <c r="AH73" s="1"/>
  <c r="AT73" s="1"/>
  <c r="T73"/>
  <c r="AI73" s="1"/>
  <c r="AU73" s="1"/>
  <c r="U73"/>
  <c r="V73"/>
  <c r="AJ73" s="1"/>
  <c r="AV73" s="1"/>
  <c r="W73"/>
  <c r="AK73" s="1"/>
  <c r="AW73" s="1"/>
  <c r="X73"/>
  <c r="I74"/>
  <c r="L74"/>
  <c r="M74"/>
  <c r="AD74" s="1"/>
  <c r="AP74" s="1"/>
  <c r="N74"/>
  <c r="AE74" s="1"/>
  <c r="AQ74" s="1"/>
  <c r="O74"/>
  <c r="P74"/>
  <c r="AF74" s="1"/>
  <c r="AR74" s="1"/>
  <c r="Q74"/>
  <c r="AG74" s="1"/>
  <c r="AS74" s="1"/>
  <c r="R74"/>
  <c r="S74"/>
  <c r="AH74" s="1"/>
  <c r="AT74" s="1"/>
  <c r="T74"/>
  <c r="AI74" s="1"/>
  <c r="AU74" s="1"/>
  <c r="U74"/>
  <c r="V74"/>
  <c r="AJ74" s="1"/>
  <c r="AV74" s="1"/>
  <c r="W74"/>
  <c r="AK74" s="1"/>
  <c r="AW74" s="1"/>
  <c r="X74"/>
  <c r="I75"/>
  <c r="L75"/>
  <c r="M75"/>
  <c r="AD75" s="1"/>
  <c r="AP75" s="1"/>
  <c r="N75"/>
  <c r="AE75" s="1"/>
  <c r="AQ75" s="1"/>
  <c r="O75"/>
  <c r="P75"/>
  <c r="AF75" s="1"/>
  <c r="AR75" s="1"/>
  <c r="Q75"/>
  <c r="AG75" s="1"/>
  <c r="AS75" s="1"/>
  <c r="R75"/>
  <c r="S75"/>
  <c r="AH75" s="1"/>
  <c r="AT75" s="1"/>
  <c r="T75"/>
  <c r="AI75" s="1"/>
  <c r="AU75" s="1"/>
  <c r="U75"/>
  <c r="V75"/>
  <c r="AJ75" s="1"/>
  <c r="AV75" s="1"/>
  <c r="W75"/>
  <c r="AK75" s="1"/>
  <c r="AW75" s="1"/>
  <c r="X75"/>
  <c r="I76"/>
  <c r="L76"/>
  <c r="M76"/>
  <c r="AD76" s="1"/>
  <c r="AP76" s="1"/>
  <c r="N76"/>
  <c r="AE76" s="1"/>
  <c r="AQ76" s="1"/>
  <c r="O76"/>
  <c r="P76"/>
  <c r="AF76" s="1"/>
  <c r="AR76" s="1"/>
  <c r="Q76"/>
  <c r="AG76" s="1"/>
  <c r="AS76" s="1"/>
  <c r="R76"/>
  <c r="S76"/>
  <c r="AH76" s="1"/>
  <c r="AT76" s="1"/>
  <c r="T76"/>
  <c r="AI76" s="1"/>
  <c r="AU76" s="1"/>
  <c r="U76"/>
  <c r="V76"/>
  <c r="AJ76" s="1"/>
  <c r="AV76" s="1"/>
  <c r="W76"/>
  <c r="AK76" s="1"/>
  <c r="AW76" s="1"/>
  <c r="X76"/>
  <c r="I77"/>
  <c r="L77"/>
  <c r="M77"/>
  <c r="AD77" s="1"/>
  <c r="AP77" s="1"/>
  <c r="N77"/>
  <c r="AE77" s="1"/>
  <c r="AQ77" s="1"/>
  <c r="O77"/>
  <c r="P77"/>
  <c r="AF77" s="1"/>
  <c r="AR77" s="1"/>
  <c r="Q77"/>
  <c r="AG77" s="1"/>
  <c r="AS77" s="1"/>
  <c r="R77"/>
  <c r="S77"/>
  <c r="AH77" s="1"/>
  <c r="AT77" s="1"/>
  <c r="T77"/>
  <c r="AI77" s="1"/>
  <c r="AU77" s="1"/>
  <c r="U77"/>
  <c r="V77"/>
  <c r="AJ77" s="1"/>
  <c r="AV77" s="1"/>
  <c r="W77"/>
  <c r="AK77" s="1"/>
  <c r="AW77" s="1"/>
  <c r="X77"/>
  <c r="I78"/>
  <c r="L78"/>
  <c r="M78"/>
  <c r="AD78" s="1"/>
  <c r="AP78" s="1"/>
  <c r="N78"/>
  <c r="AE78" s="1"/>
  <c r="AQ78" s="1"/>
  <c r="O78"/>
  <c r="P78"/>
  <c r="AF78" s="1"/>
  <c r="AR78" s="1"/>
  <c r="Q78"/>
  <c r="AG78" s="1"/>
  <c r="AS78" s="1"/>
  <c r="R78"/>
  <c r="S78"/>
  <c r="AH78" s="1"/>
  <c r="AT78" s="1"/>
  <c r="T78"/>
  <c r="AI78" s="1"/>
  <c r="AU78" s="1"/>
  <c r="U78"/>
  <c r="V78"/>
  <c r="AJ78" s="1"/>
  <c r="AV78" s="1"/>
  <c r="W78"/>
  <c r="AK78" s="1"/>
  <c r="AW78" s="1"/>
  <c r="X78"/>
  <c r="I79"/>
  <c r="L79"/>
  <c r="M79"/>
  <c r="AD79" s="1"/>
  <c r="AP79" s="1"/>
  <c r="N79"/>
  <c r="AE79" s="1"/>
  <c r="AQ79" s="1"/>
  <c r="O79"/>
  <c r="P79"/>
  <c r="AF79" s="1"/>
  <c r="AR79" s="1"/>
  <c r="Q79"/>
  <c r="AG79" s="1"/>
  <c r="AS79" s="1"/>
  <c r="R79"/>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O81"/>
  <c r="P81"/>
  <c r="AF81" s="1"/>
  <c r="AR81" s="1"/>
  <c r="Q81"/>
  <c r="AG81" s="1"/>
  <c r="AS81" s="1"/>
  <c r="R8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O84"/>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O85"/>
  <c r="P85"/>
  <c r="AF85" s="1"/>
  <c r="AR85" s="1"/>
  <c r="Q85"/>
  <c r="AG85" s="1"/>
  <c r="AS85" s="1"/>
  <c r="R85"/>
  <c r="S85"/>
  <c r="AH85" s="1"/>
  <c r="AT85" s="1"/>
  <c r="T85"/>
  <c r="AI85" s="1"/>
  <c r="AU85" s="1"/>
  <c r="U85"/>
  <c r="V85"/>
  <c r="AJ85" s="1"/>
  <c r="AV85" s="1"/>
  <c r="W85"/>
  <c r="AK85" s="1"/>
  <c r="AW85" s="1"/>
  <c r="X85"/>
  <c r="I86"/>
  <c r="L86"/>
  <c r="M86"/>
  <c r="AD86" s="1"/>
  <c r="AP86" s="1"/>
  <c r="N86"/>
  <c r="AE86" s="1"/>
  <c r="AQ86" s="1"/>
  <c r="O86"/>
  <c r="P86"/>
  <c r="AF86" s="1"/>
  <c r="AR86" s="1"/>
  <c r="Q86"/>
  <c r="AG86" s="1"/>
  <c r="AS86" s="1"/>
  <c r="R86"/>
  <c r="S86"/>
  <c r="AH86" s="1"/>
  <c r="AT86" s="1"/>
  <c r="T86"/>
  <c r="AI86" s="1"/>
  <c r="AU86" s="1"/>
  <c r="U86"/>
  <c r="V86"/>
  <c r="AJ86" s="1"/>
  <c r="AV86" s="1"/>
  <c r="W86"/>
  <c r="AK86" s="1"/>
  <c r="AW86" s="1"/>
  <c r="X86"/>
  <c r="I87"/>
  <c r="L87"/>
  <c r="M87"/>
  <c r="AD87" s="1"/>
  <c r="AP87" s="1"/>
  <c r="N87"/>
  <c r="AE87" s="1"/>
  <c r="AQ87" s="1"/>
  <c r="O87"/>
  <c r="P87"/>
  <c r="AF87" s="1"/>
  <c r="AR87" s="1"/>
  <c r="Q87"/>
  <c r="AG87" s="1"/>
  <c r="AS87" s="1"/>
  <c r="R87"/>
  <c r="S87"/>
  <c r="AH87" s="1"/>
  <c r="AT87" s="1"/>
  <c r="T87"/>
  <c r="AI87" s="1"/>
  <c r="AU87" s="1"/>
  <c r="U87"/>
  <c r="V87"/>
  <c r="AJ87" s="1"/>
  <c r="AV87" s="1"/>
  <c r="W87"/>
  <c r="AK87" s="1"/>
  <c r="AW87" s="1"/>
  <c r="X87"/>
  <c r="I88"/>
  <c r="L88"/>
  <c r="M88"/>
  <c r="AD88" s="1"/>
  <c r="AP88" s="1"/>
  <c r="N88"/>
  <c r="AE88" s="1"/>
  <c r="AQ88" s="1"/>
  <c r="O88"/>
  <c r="P88"/>
  <c r="AF88" s="1"/>
  <c r="AR88" s="1"/>
  <c r="Q88"/>
  <c r="AG88" s="1"/>
  <c r="AS88" s="1"/>
  <c r="R88"/>
  <c r="S88"/>
  <c r="AH88" s="1"/>
  <c r="AT88" s="1"/>
  <c r="T88"/>
  <c r="AI88" s="1"/>
  <c r="AU88" s="1"/>
  <c r="U88"/>
  <c r="V88"/>
  <c r="AJ88" s="1"/>
  <c r="AV88" s="1"/>
  <c r="W88"/>
  <c r="AK88" s="1"/>
  <c r="AW88" s="1"/>
  <c r="X88"/>
  <c r="I89"/>
  <c r="L89"/>
  <c r="M89"/>
  <c r="AD89" s="1"/>
  <c r="AP89" s="1"/>
  <c r="N89"/>
  <c r="AE89" s="1"/>
  <c r="AQ89" s="1"/>
  <c r="O89"/>
  <c r="P89"/>
  <c r="AF89" s="1"/>
  <c r="AR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O90"/>
  <c r="P90"/>
  <c r="AF90" s="1"/>
  <c r="AR90" s="1"/>
  <c r="Q90"/>
  <c r="AG90" s="1"/>
  <c r="AS90" s="1"/>
  <c r="R90"/>
  <c r="S90"/>
  <c r="AH90" s="1"/>
  <c r="AT90" s="1"/>
  <c r="T90"/>
  <c r="AI90" s="1"/>
  <c r="AU90" s="1"/>
  <c r="U90"/>
  <c r="V90"/>
  <c r="AJ90" s="1"/>
  <c r="AV90" s="1"/>
  <c r="W90"/>
  <c r="AK90" s="1"/>
  <c r="AW90" s="1"/>
  <c r="X90"/>
  <c r="I91"/>
  <c r="L91"/>
  <c r="M91"/>
  <c r="AD91" s="1"/>
  <c r="AP91" s="1"/>
  <c r="N91"/>
  <c r="AE91" s="1"/>
  <c r="AQ91" s="1"/>
  <c r="O91"/>
  <c r="P91"/>
  <c r="AF91" s="1"/>
  <c r="AR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O92"/>
  <c r="P92"/>
  <c r="AF92" s="1"/>
  <c r="AR92" s="1"/>
  <c r="Q92"/>
  <c r="AG92" s="1"/>
  <c r="AS92" s="1"/>
  <c r="R92"/>
  <c r="S92"/>
  <c r="AH92" s="1"/>
  <c r="AT92" s="1"/>
  <c r="T92"/>
  <c r="AI92" s="1"/>
  <c r="AU92" s="1"/>
  <c r="U92"/>
  <c r="V92"/>
  <c r="AJ92" s="1"/>
  <c r="AV92" s="1"/>
  <c r="W92"/>
  <c r="AK92" s="1"/>
  <c r="AW92" s="1"/>
  <c r="X92"/>
  <c r="I93"/>
  <c r="L93"/>
  <c r="M93"/>
  <c r="AD93" s="1"/>
  <c r="AP93" s="1"/>
  <c r="N93"/>
  <c r="AE93" s="1"/>
  <c r="AQ93" s="1"/>
  <c r="O93"/>
  <c r="P93"/>
  <c r="AF93" s="1"/>
  <c r="AR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O94"/>
  <c r="P94"/>
  <c r="AF94" s="1"/>
  <c r="AR94" s="1"/>
  <c r="Q94"/>
  <c r="AG94" s="1"/>
  <c r="AS94" s="1"/>
  <c r="R94"/>
  <c r="S94"/>
  <c r="AH94" s="1"/>
  <c r="AT94" s="1"/>
  <c r="T94"/>
  <c r="AI94" s="1"/>
  <c r="AU94" s="1"/>
  <c r="U94"/>
  <c r="V94"/>
  <c r="AJ94" s="1"/>
  <c r="AV94" s="1"/>
  <c r="W94"/>
  <c r="AK94" s="1"/>
  <c r="AW94" s="1"/>
  <c r="X94"/>
  <c r="I95"/>
  <c r="L95"/>
  <c r="M95"/>
  <c r="AD95" s="1"/>
  <c r="AP95" s="1"/>
  <c r="N95"/>
  <c r="AE95" s="1"/>
  <c r="AQ95" s="1"/>
  <c r="O95"/>
  <c r="P95"/>
  <c r="AF95" s="1"/>
  <c r="AR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O11" i="92"/>
  <c r="AB11" s="1"/>
  <c r="AN11" s="1"/>
  <c r="O19"/>
  <c r="AB19" s="1"/>
  <c r="AN19" s="1"/>
  <c r="O27"/>
  <c r="AB27" s="1"/>
  <c r="AN27" s="1"/>
  <c r="F51"/>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D30"/>
  <c r="C30"/>
  <c r="F29"/>
  <c r="E29"/>
  <c r="D29"/>
  <c r="C29"/>
  <c r="F28"/>
  <c r="E28"/>
  <c r="D28"/>
  <c r="C28"/>
  <c r="Q27"/>
  <c r="AD27" s="1"/>
  <c r="AP27" s="1"/>
  <c r="M27"/>
  <c r="Z27" s="1"/>
  <c r="AL27" s="1"/>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Q19"/>
  <c r="AD19" s="1"/>
  <c r="AP19" s="1"/>
  <c r="M19"/>
  <c r="Z19" s="1"/>
  <c r="AL19" s="1"/>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Q11"/>
  <c r="AD11" s="1"/>
  <c r="AP11" s="1"/>
  <c r="M11"/>
  <c r="Z11" s="1"/>
  <c r="AL11" s="1"/>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H7" i="24" l="1"/>
  <c r="C5" i="102"/>
  <c r="M5" s="1"/>
  <c r="Q5" s="1"/>
  <c r="P7" i="24"/>
  <c r="C5" i="99"/>
  <c r="G5" s="1"/>
  <c r="Q5" s="1"/>
  <c r="AB7" i="24"/>
  <c r="C5" i="101"/>
  <c r="K5" s="1"/>
  <c r="Q5" s="1"/>
  <c r="C63" i="100"/>
  <c r="I63" s="1"/>
  <c r="Q63" s="1"/>
  <c r="N41" i="77"/>
  <c r="O41" s="1"/>
  <c r="Q41" s="1"/>
  <c r="U70" i="89"/>
  <c r="Z41" i="88"/>
  <c r="AA41" s="1"/>
  <c r="U91" i="89"/>
  <c r="C63" i="104"/>
  <c r="O63" s="1"/>
  <c r="Q63" s="1"/>
  <c r="C63" i="101"/>
  <c r="K63" s="1"/>
  <c r="Q63" s="1"/>
  <c r="A71" i="100"/>
  <c r="A75"/>
  <c r="A79"/>
  <c r="A83"/>
  <c r="A73"/>
  <c r="A81"/>
  <c r="A82"/>
  <c r="A72"/>
  <c r="A76"/>
  <c r="A80"/>
  <c r="A77"/>
  <c r="A70"/>
  <c r="A74"/>
  <c r="A78"/>
  <c r="O7" i="104"/>
  <c r="Q7" s="1"/>
  <c r="U28" i="89"/>
  <c r="C22" i="109"/>
  <c r="O22" s="1"/>
  <c r="Q22" s="1"/>
  <c r="V7" i="24"/>
  <c r="O6" i="104"/>
  <c r="Q6" s="1"/>
  <c r="O5"/>
  <c r="Q5" s="1"/>
  <c r="C22" i="108"/>
  <c r="I22" s="1"/>
  <c r="Q22" s="1"/>
  <c r="A4" i="99"/>
  <c r="A6" i="100"/>
  <c r="A10"/>
  <c r="A14"/>
  <c r="A18"/>
  <c r="A22"/>
  <c r="A26"/>
  <c r="A30"/>
  <c r="A34"/>
  <c r="A38"/>
  <c r="A42"/>
  <c r="A46"/>
  <c r="A50"/>
  <c r="A54"/>
  <c r="A58"/>
  <c r="A62"/>
  <c r="A66"/>
  <c r="A11"/>
  <c r="A16"/>
  <c r="A21"/>
  <c r="A27"/>
  <c r="A32"/>
  <c r="A37"/>
  <c r="A43"/>
  <c r="A48"/>
  <c r="A53"/>
  <c r="A59"/>
  <c r="A64"/>
  <c r="A69"/>
  <c r="A13"/>
  <c r="A7"/>
  <c r="A17"/>
  <c r="A23"/>
  <c r="A33"/>
  <c r="A49"/>
  <c r="A60"/>
  <c r="A65"/>
  <c r="A9"/>
  <c r="A15"/>
  <c r="A20"/>
  <c r="A25"/>
  <c r="A31"/>
  <c r="A36"/>
  <c r="A41"/>
  <c r="A47"/>
  <c r="A52"/>
  <c r="A57"/>
  <c r="A63"/>
  <c r="A68"/>
  <c r="A8"/>
  <c r="A19"/>
  <c r="A24"/>
  <c r="A29"/>
  <c r="A35"/>
  <c r="A40"/>
  <c r="A45"/>
  <c r="A51"/>
  <c r="A56"/>
  <c r="A61"/>
  <c r="A67"/>
  <c r="A12"/>
  <c r="A28"/>
  <c r="A39"/>
  <c r="A44"/>
  <c r="A55"/>
  <c r="I5"/>
  <c r="Q5" s="1"/>
  <c r="X91" i="89"/>
  <c r="X49"/>
  <c r="U49"/>
  <c r="X28"/>
  <c r="U112"/>
  <c r="X70"/>
  <c r="U8" i="24"/>
  <c r="C6" i="100" s="1"/>
  <c r="AG8" i="24"/>
  <c r="C6" i="102" s="1"/>
  <c r="O9" i="24"/>
  <c r="C7" i="99" s="1"/>
  <c r="AA9" i="24"/>
  <c r="C7" i="101" s="1"/>
  <c r="O8" i="24"/>
  <c r="C6" i="99" s="1"/>
  <c r="AA8" i="24"/>
  <c r="C6" i="101" s="1"/>
  <c r="U9" i="24"/>
  <c r="C7" i="100" s="1"/>
  <c r="AG9" i="24"/>
  <c r="C7" i="102" s="1"/>
  <c r="A4" i="101" l="1"/>
  <c r="A4" i="108"/>
  <c r="A28" i="99"/>
  <c r="A33"/>
  <c r="A26"/>
  <c r="A9"/>
  <c r="A5"/>
  <c r="A39"/>
  <c r="A41"/>
  <c r="A18"/>
  <c r="A44"/>
  <c r="A11"/>
  <c r="A12"/>
  <c r="A10"/>
  <c r="A14"/>
  <c r="A45"/>
  <c r="A19"/>
  <c r="A37"/>
  <c r="A15"/>
  <c r="A43"/>
  <c r="A22"/>
  <c r="A25"/>
  <c r="A29"/>
  <c r="A7"/>
  <c r="A36"/>
  <c r="A20"/>
  <c r="A31"/>
  <c r="A38"/>
  <c r="A17"/>
  <c r="A23"/>
  <c r="A32"/>
  <c r="A16"/>
  <c r="A30"/>
  <c r="A42"/>
  <c r="A21"/>
  <c r="A27"/>
  <c r="A6"/>
  <c r="A35"/>
  <c r="A34"/>
  <c r="A13"/>
  <c r="A40"/>
  <c r="A24"/>
  <c r="A8"/>
  <c r="P8" i="24"/>
  <c r="G6" i="99"/>
  <c r="Q6" s="1"/>
  <c r="V8" i="24"/>
  <c r="I6" i="100"/>
  <c r="Q6" s="1"/>
  <c r="AH9" i="24"/>
  <c r="M7" i="102"/>
  <c r="Q7" s="1"/>
  <c r="AB9" i="24"/>
  <c r="K7" i="101"/>
  <c r="Q7" s="1"/>
  <c r="AB8" i="24"/>
  <c r="K6" i="101"/>
  <c r="Q6" s="1"/>
  <c r="AH8" i="24"/>
  <c r="M6" i="102"/>
  <c r="Q6" s="1"/>
  <c r="V9" i="24"/>
  <c r="I7" i="100"/>
  <c r="Q7" s="1"/>
  <c r="P9" i="24"/>
  <c r="G7" i="99"/>
  <c r="Q7" s="1"/>
  <c r="X112" i="89"/>
  <c r="H9" i="83"/>
  <c r="C104" i="91" s="1"/>
  <c r="C72" i="98"/>
  <c r="E72" s="1"/>
  <c r="Q72" s="1"/>
  <c r="O3" i="96"/>
  <c r="O3" i="95"/>
  <c r="P1" i="78"/>
  <c r="N3"/>
  <c r="P3" i="86" s="1"/>
  <c r="G75" i="74"/>
  <c r="Z75" s="1"/>
  <c r="AL75" s="1"/>
  <c r="AR3" i="77"/>
  <c r="A2" i="88"/>
  <c r="A2" i="10"/>
  <c r="C110" s="1"/>
  <c r="A2" i="24"/>
  <c r="G3" i="46"/>
  <c r="C47" i="74"/>
  <c r="D47"/>
  <c r="E47"/>
  <c r="F47"/>
  <c r="I47"/>
  <c r="L47"/>
  <c r="O47"/>
  <c r="R47"/>
  <c r="U47"/>
  <c r="X47"/>
  <c r="C48"/>
  <c r="D48"/>
  <c r="E48"/>
  <c r="F48"/>
  <c r="I48"/>
  <c r="L48"/>
  <c r="O48"/>
  <c r="R48"/>
  <c r="U48"/>
  <c r="X48"/>
  <c r="C49"/>
  <c r="D49"/>
  <c r="E49"/>
  <c r="F49"/>
  <c r="I49"/>
  <c r="L49"/>
  <c r="O49"/>
  <c r="R49"/>
  <c r="U49"/>
  <c r="X49"/>
  <c r="C50"/>
  <c r="D50"/>
  <c r="E50"/>
  <c r="F50"/>
  <c r="I50"/>
  <c r="K50"/>
  <c r="AC50" s="1"/>
  <c r="AO50" s="1"/>
  <c r="L50"/>
  <c r="N50"/>
  <c r="AE50" s="1"/>
  <c r="AQ50" s="1"/>
  <c r="O50"/>
  <c r="Q50"/>
  <c r="AG50" s="1"/>
  <c r="AS50" s="1"/>
  <c r="R50"/>
  <c r="T50"/>
  <c r="AI50" s="1"/>
  <c r="AU50" s="1"/>
  <c r="U50"/>
  <c r="W50"/>
  <c r="AK50" s="1"/>
  <c r="AW50" s="1"/>
  <c r="X50"/>
  <c r="C51"/>
  <c r="D51"/>
  <c r="E51"/>
  <c r="F51"/>
  <c r="I51"/>
  <c r="L51"/>
  <c r="O51"/>
  <c r="R51"/>
  <c r="U51"/>
  <c r="X51"/>
  <c r="C52"/>
  <c r="D52"/>
  <c r="E52"/>
  <c r="F52"/>
  <c r="I52"/>
  <c r="L52"/>
  <c r="O52"/>
  <c r="R52"/>
  <c r="U52"/>
  <c r="X52"/>
  <c r="C53"/>
  <c r="D53"/>
  <c r="E53"/>
  <c r="F53"/>
  <c r="H53"/>
  <c r="AA53" s="1"/>
  <c r="AM53" s="1"/>
  <c r="I53"/>
  <c r="K53"/>
  <c r="AC53" s="1"/>
  <c r="AO53" s="1"/>
  <c r="L53"/>
  <c r="N53"/>
  <c r="AE53" s="1"/>
  <c r="AQ53" s="1"/>
  <c r="O53"/>
  <c r="Q53"/>
  <c r="AG53" s="1"/>
  <c r="AS53" s="1"/>
  <c r="R53"/>
  <c r="T53"/>
  <c r="AI53" s="1"/>
  <c r="AU53" s="1"/>
  <c r="U53"/>
  <c r="W53"/>
  <c r="AK53" s="1"/>
  <c r="AW53" s="1"/>
  <c r="X53"/>
  <c r="C54"/>
  <c r="D54"/>
  <c r="E54"/>
  <c r="F54"/>
  <c r="I54"/>
  <c r="L54"/>
  <c r="O54"/>
  <c r="R54"/>
  <c r="U54"/>
  <c r="X54"/>
  <c r="C55"/>
  <c r="D55"/>
  <c r="E55"/>
  <c r="F55"/>
  <c r="C56"/>
  <c r="D56"/>
  <c r="E56"/>
  <c r="F56"/>
  <c r="C57"/>
  <c r="D57"/>
  <c r="E57"/>
  <c r="F57"/>
  <c r="C58"/>
  <c r="D58"/>
  <c r="E58"/>
  <c r="F58"/>
  <c r="C59"/>
  <c r="D59"/>
  <c r="E59"/>
  <c r="F59"/>
  <c r="C60"/>
  <c r="D60"/>
  <c r="E60"/>
  <c r="F60"/>
  <c r="C61"/>
  <c r="D61"/>
  <c r="E61"/>
  <c r="F61"/>
  <c r="C62"/>
  <c r="D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X46"/>
  <c r="U46"/>
  <c r="R46"/>
  <c r="O46"/>
  <c r="L46"/>
  <c r="I46"/>
  <c r="F46"/>
  <c r="E46"/>
  <c r="C46"/>
  <c r="D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C96" i="98" s="1"/>
  <c r="E96" s="1"/>
  <c r="Q96" s="1"/>
  <c r="N101" i="88"/>
  <c r="H101"/>
  <c r="C95" i="98" s="1"/>
  <c r="E95" s="1"/>
  <c r="Q95" s="1"/>
  <c r="N100" i="88"/>
  <c r="H100"/>
  <c r="C94" i="98" s="1"/>
  <c r="E94" s="1"/>
  <c r="Q94" s="1"/>
  <c r="N99" i="88"/>
  <c r="H99"/>
  <c r="C93" i="98" s="1"/>
  <c r="E93" s="1"/>
  <c r="Q93" s="1"/>
  <c r="M98" i="88"/>
  <c r="N98" s="1"/>
  <c r="G98"/>
  <c r="H98" s="1"/>
  <c r="C92" i="98" s="1"/>
  <c r="E92" s="1"/>
  <c r="Q92" s="1"/>
  <c r="M97" i="88"/>
  <c r="C184" i="91"/>
  <c r="G97" i="88"/>
  <c r="M96"/>
  <c r="N96" s="1"/>
  <c r="G96"/>
  <c r="M95"/>
  <c r="G95"/>
  <c r="M94"/>
  <c r="N94" s="1"/>
  <c r="G94"/>
  <c r="M93"/>
  <c r="G93"/>
  <c r="M92"/>
  <c r="N92" s="1"/>
  <c r="G92"/>
  <c r="M91"/>
  <c r="N91" s="1"/>
  <c r="G91"/>
  <c r="H91" s="1"/>
  <c r="E9" i="87" s="1"/>
  <c r="M90" i="88"/>
  <c r="N90" s="1"/>
  <c r="G90"/>
  <c r="H90" s="1"/>
  <c r="M89"/>
  <c r="N89" s="1"/>
  <c r="G89"/>
  <c r="H89" s="1"/>
  <c r="C83" i="98" s="1"/>
  <c r="E83" s="1"/>
  <c r="Q83" s="1"/>
  <c r="N84" i="88"/>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M71"/>
  <c r="N66"/>
  <c r="L16" i="83" s="1"/>
  <c r="H66" i="88"/>
  <c r="S65"/>
  <c r="N65"/>
  <c r="M65"/>
  <c r="H65"/>
  <c r="G65"/>
  <c r="N64"/>
  <c r="M64"/>
  <c r="H64"/>
  <c r="G64"/>
  <c r="S63"/>
  <c r="N63"/>
  <c r="M63"/>
  <c r="H63"/>
  <c r="G63"/>
  <c r="S62"/>
  <c r="M62"/>
  <c r="N62" s="1"/>
  <c r="G62"/>
  <c r="H62" s="1"/>
  <c r="S61"/>
  <c r="M61"/>
  <c r="N61" s="1"/>
  <c r="G61"/>
  <c r="S60"/>
  <c r="M60"/>
  <c r="N60" s="1"/>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M46" s="1"/>
  <c r="AE46"/>
  <c r="AF46" s="1"/>
  <c r="AG46" s="1"/>
  <c r="Y46"/>
  <c r="S46"/>
  <c r="T46" s="1"/>
  <c r="U46" s="1"/>
  <c r="M46"/>
  <c r="G46"/>
  <c r="V70" i="74"/>
  <c r="AJ70" s="1"/>
  <c r="AV70" s="1"/>
  <c r="V68"/>
  <c r="AJ68" s="1"/>
  <c r="AV68" s="1"/>
  <c r="J12" i="86"/>
  <c r="E67" i="91" s="1"/>
  <c r="AK45" i="88"/>
  <c r="AL45" s="1"/>
  <c r="AE45"/>
  <c r="Y45"/>
  <c r="S45"/>
  <c r="T45" s="1"/>
  <c r="M45"/>
  <c r="G45"/>
  <c r="AK44"/>
  <c r="AE44"/>
  <c r="Y44"/>
  <c r="S44"/>
  <c r="M44"/>
  <c r="G44"/>
  <c r="AK43"/>
  <c r="AL43" s="1"/>
  <c r="AE43"/>
  <c r="Y43"/>
  <c r="Z43" s="1"/>
  <c r="S43"/>
  <c r="T43" s="1"/>
  <c r="M43"/>
  <c r="G43"/>
  <c r="AK42"/>
  <c r="AL42" s="1"/>
  <c r="AM42" s="1"/>
  <c r="AE42"/>
  <c r="Y42"/>
  <c r="S42"/>
  <c r="T42" s="1"/>
  <c r="U42" s="1"/>
  <c r="X50" i="89" s="1"/>
  <c r="M42" i="88"/>
  <c r="G42"/>
  <c r="T63" i="74"/>
  <c r="AI63" s="1"/>
  <c r="AU63" s="1"/>
  <c r="P63"/>
  <c r="AF63" s="1"/>
  <c r="AR63" s="1"/>
  <c r="J63"/>
  <c r="AB63" s="1"/>
  <c r="AN63" s="1"/>
  <c r="G41" i="88"/>
  <c r="H41" s="1"/>
  <c r="I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AI34"/>
  <c r="AF34"/>
  <c r="AC34"/>
  <c r="Z34"/>
  <c r="E33" i="85" s="1"/>
  <c r="W34" i="88"/>
  <c r="T34"/>
  <c r="Q34"/>
  <c r="N34"/>
  <c r="K34"/>
  <c r="H34"/>
  <c r="AK31"/>
  <c r="AL31" s="1"/>
  <c r="AE31"/>
  <c r="Y31"/>
  <c r="Z31" s="1"/>
  <c r="S31"/>
  <c r="M31"/>
  <c r="G31"/>
  <c r="AK30"/>
  <c r="AL30" s="1"/>
  <c r="AM30" s="1"/>
  <c r="AE30"/>
  <c r="Y30"/>
  <c r="Z30" s="1"/>
  <c r="AA30" s="1"/>
  <c r="S30"/>
  <c r="M30"/>
  <c r="G30"/>
  <c r="AK29"/>
  <c r="AL29" s="1"/>
  <c r="AE29"/>
  <c r="Y29"/>
  <c r="Z29" s="1"/>
  <c r="S29"/>
  <c r="M29"/>
  <c r="G29"/>
  <c r="H29" s="1"/>
  <c r="AK28"/>
  <c r="AE28"/>
  <c r="Y28"/>
  <c r="S28"/>
  <c r="M28"/>
  <c r="G28"/>
  <c r="AK27"/>
  <c r="AL27" s="1"/>
  <c r="AE27"/>
  <c r="Y27"/>
  <c r="Z27" s="1"/>
  <c r="S27"/>
  <c r="M27"/>
  <c r="G27"/>
  <c r="H27" s="1"/>
  <c r="AK26"/>
  <c r="AL26" s="1"/>
  <c r="AM26" s="1"/>
  <c r="AE26"/>
  <c r="AF26" s="1"/>
  <c r="AG26" s="1"/>
  <c r="Y26"/>
  <c r="Z26" s="1"/>
  <c r="AA26" s="1"/>
  <c r="S26"/>
  <c r="M26"/>
  <c r="G26"/>
  <c r="H26" s="1"/>
  <c r="AK25"/>
  <c r="AL25" s="1"/>
  <c r="AM25" s="1"/>
  <c r="AE25"/>
  <c r="AF25" s="1"/>
  <c r="AG25" s="1"/>
  <c r="Y25"/>
  <c r="Z25" s="1"/>
  <c r="AA25" s="1"/>
  <c r="S25"/>
  <c r="M25"/>
  <c r="G25"/>
  <c r="H25" s="1"/>
  <c r="AO20"/>
  <c r="AL20"/>
  <c r="Q30" i="92" s="1"/>
  <c r="AD30" s="1"/>
  <c r="AP30" s="1"/>
  <c r="AI20" i="88"/>
  <c r="AF20"/>
  <c r="J43" i="84" s="1"/>
  <c r="H19" i="91" s="1"/>
  <c r="AC20" i="88"/>
  <c r="Z20"/>
  <c r="M30" i="92" s="1"/>
  <c r="Z30" s="1"/>
  <c r="AL30" s="1"/>
  <c r="W20" i="88"/>
  <c r="T20"/>
  <c r="Q20"/>
  <c r="N20"/>
  <c r="K20"/>
  <c r="H20"/>
  <c r="AO19"/>
  <c r="AL19"/>
  <c r="AI19"/>
  <c r="AF19"/>
  <c r="O29" i="92" s="1"/>
  <c r="AB29" s="1"/>
  <c r="AN29" s="1"/>
  <c r="AC19" i="88"/>
  <c r="Z19"/>
  <c r="W19"/>
  <c r="T19"/>
  <c r="N20" i="84" s="1"/>
  <c r="F18" i="91" s="1"/>
  <c r="Q19" i="88"/>
  <c r="N19"/>
  <c r="K19"/>
  <c r="H19"/>
  <c r="AO18"/>
  <c r="AL18"/>
  <c r="Q28" i="92" s="1"/>
  <c r="AD28" s="1"/>
  <c r="AP28" s="1"/>
  <c r="AI18" i="88"/>
  <c r="AF18"/>
  <c r="J41" i="84" s="1"/>
  <c r="H17" i="91" s="1"/>
  <c r="AC18" i="88"/>
  <c r="Z18"/>
  <c r="W18"/>
  <c r="T18"/>
  <c r="Q18"/>
  <c r="N18"/>
  <c r="K18"/>
  <c r="H18"/>
  <c r="AK15"/>
  <c r="AL15" s="1"/>
  <c r="AE15"/>
  <c r="AF15" s="1"/>
  <c r="C55" i="104" s="1"/>
  <c r="Y15" i="88"/>
  <c r="Z15" s="1"/>
  <c r="C55" i="101" s="1"/>
  <c r="K55" s="1"/>
  <c r="Q55" s="1"/>
  <c r="S15" i="88"/>
  <c r="T15" s="1"/>
  <c r="M15"/>
  <c r="N15" s="1"/>
  <c r="C55" i="100" s="1"/>
  <c r="G15" i="88"/>
  <c r="H15" s="1"/>
  <c r="AK14"/>
  <c r="AL14" s="1"/>
  <c r="AE14"/>
  <c r="AF14" s="1"/>
  <c r="Y14"/>
  <c r="Z14" s="1"/>
  <c r="S14"/>
  <c r="T14" s="1"/>
  <c r="C13" i="108" s="1"/>
  <c r="I13" s="1"/>
  <c r="Q13" s="1"/>
  <c r="M14" i="88"/>
  <c r="N14" s="1"/>
  <c r="C54" i="100" s="1"/>
  <c r="G14" i="88"/>
  <c r="AK13"/>
  <c r="AL13" s="1"/>
  <c r="AE13"/>
  <c r="AF13" s="1"/>
  <c r="C53" i="104" s="1"/>
  <c r="Y13" i="88"/>
  <c r="Z13" s="1"/>
  <c r="C53" i="101" s="1"/>
  <c r="K53" s="1"/>
  <c r="Q53" s="1"/>
  <c r="S13" i="88"/>
  <c r="T13" s="1"/>
  <c r="C12" i="108" s="1"/>
  <c r="I12" s="1"/>
  <c r="Q12" s="1"/>
  <c r="M13" i="88"/>
  <c r="N13" s="1"/>
  <c r="C53" i="100" s="1"/>
  <c r="G13" i="88"/>
  <c r="AK12"/>
  <c r="AE12"/>
  <c r="Y12"/>
  <c r="S12"/>
  <c r="M12"/>
  <c r="G12"/>
  <c r="AK11"/>
  <c r="AL11" s="1"/>
  <c r="AE11"/>
  <c r="AF11" s="1"/>
  <c r="C51" i="104" s="1"/>
  <c r="Y11" i="88"/>
  <c r="Z11" s="1"/>
  <c r="S11"/>
  <c r="T11" s="1"/>
  <c r="C10" i="108" s="1"/>
  <c r="I10" s="1"/>
  <c r="Q10" s="1"/>
  <c r="M11" i="88"/>
  <c r="N11" s="1"/>
  <c r="C51" i="100" s="1"/>
  <c r="G11" i="88"/>
  <c r="H11" s="1"/>
  <c r="C11"/>
  <c r="AK10"/>
  <c r="AL10" s="1"/>
  <c r="AE10"/>
  <c r="AF10" s="1"/>
  <c r="C50" i="104" s="1"/>
  <c r="Y10" i="88"/>
  <c r="Z10" s="1"/>
  <c r="S10"/>
  <c r="T10" s="1"/>
  <c r="C9" i="108" s="1"/>
  <c r="I9" s="1"/>
  <c r="Q9" s="1"/>
  <c r="M10" i="88"/>
  <c r="N10" s="1"/>
  <c r="C50" i="100" s="1"/>
  <c r="G10" i="88"/>
  <c r="AK9"/>
  <c r="AE9"/>
  <c r="Y9"/>
  <c r="S9"/>
  <c r="M9"/>
  <c r="G9"/>
  <c r="AK8"/>
  <c r="AL8" s="1"/>
  <c r="AE8"/>
  <c r="AF8" s="1"/>
  <c r="C48" i="104" s="1"/>
  <c r="Y8" i="88"/>
  <c r="Z8" s="1"/>
  <c r="C48" i="101" s="1"/>
  <c r="K48" s="1"/>
  <c r="Q48" s="1"/>
  <c r="S8" i="88"/>
  <c r="T8" s="1"/>
  <c r="C7" i="108" s="1"/>
  <c r="I7" s="1"/>
  <c r="Q7" s="1"/>
  <c r="M8" i="88"/>
  <c r="N8" s="1"/>
  <c r="C48" i="100" s="1"/>
  <c r="G8" i="88"/>
  <c r="H8" s="1"/>
  <c r="C48" i="98" s="1"/>
  <c r="E48" s="1"/>
  <c r="Q48" s="1"/>
  <c r="C8" i="88"/>
  <c r="AK7"/>
  <c r="AL7" s="1"/>
  <c r="AE7"/>
  <c r="AF7" s="1"/>
  <c r="C47" i="104" s="1"/>
  <c r="Y7" i="88"/>
  <c r="Z7" s="1"/>
  <c r="S7"/>
  <c r="T7" s="1"/>
  <c r="C6" i="108" s="1"/>
  <c r="I6" s="1"/>
  <c r="Q6" s="1"/>
  <c r="M7" i="88"/>
  <c r="N7" s="1"/>
  <c r="C47" i="100" s="1"/>
  <c r="G7" i="88"/>
  <c r="H7" s="1"/>
  <c r="AK6"/>
  <c r="AL6" s="1"/>
  <c r="AE6"/>
  <c r="AF6" s="1"/>
  <c r="C46" i="104" s="1"/>
  <c r="Y6" i="88"/>
  <c r="Z6" s="1"/>
  <c r="S6"/>
  <c r="T6" s="1"/>
  <c r="C5" i="108" s="1"/>
  <c r="I5" s="1"/>
  <c r="Q5" s="1"/>
  <c r="M6" i="88"/>
  <c r="N6" s="1"/>
  <c r="G6"/>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K33" i="82"/>
  <c r="D172" i="90" s="1"/>
  <c r="I33" i="82"/>
  <c r="G33"/>
  <c r="C172" i="90" s="1"/>
  <c r="E33" i="82"/>
  <c r="K32"/>
  <c r="I32"/>
  <c r="G32"/>
  <c r="E32"/>
  <c r="K31"/>
  <c r="I31"/>
  <c r="G31"/>
  <c r="E31"/>
  <c r="K30"/>
  <c r="I30"/>
  <c r="G30"/>
  <c r="E30"/>
  <c r="K29"/>
  <c r="I29"/>
  <c r="G29"/>
  <c r="E29"/>
  <c r="K28"/>
  <c r="I28"/>
  <c r="G28"/>
  <c r="E28"/>
  <c r="K27"/>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M31" i="78"/>
  <c r="D121" i="90" s="1"/>
  <c r="L31" i="78"/>
  <c r="I31"/>
  <c r="C121" i="90" s="1"/>
  <c r="H31" i="78"/>
  <c r="M30"/>
  <c r="L30"/>
  <c r="I30"/>
  <c r="H30"/>
  <c r="M29"/>
  <c r="L29"/>
  <c r="D120" i="90" s="1"/>
  <c r="I29" i="78"/>
  <c r="H29"/>
  <c r="C120" i="90" s="1"/>
  <c r="M28" i="78"/>
  <c r="L28"/>
  <c r="D119" i="90" s="1"/>
  <c r="I28" i="78"/>
  <c r="H28"/>
  <c r="C119" i="90" s="1"/>
  <c r="M27" i="78"/>
  <c r="L27"/>
  <c r="D118" i="90" s="1"/>
  <c r="I27" i="78"/>
  <c r="H27"/>
  <c r="C118" i="90" s="1"/>
  <c r="M26" i="78"/>
  <c r="L26"/>
  <c r="D117" i="90" s="1"/>
  <c r="I26" i="78"/>
  <c r="H26"/>
  <c r="C117" i="90" s="1"/>
  <c r="M25" i="78"/>
  <c r="L25"/>
  <c r="D116" i="90" s="1"/>
  <c r="I25" i="78"/>
  <c r="H25"/>
  <c r="C116" i="90" s="1"/>
  <c r="M98" i="77"/>
  <c r="N98" s="1"/>
  <c r="G98"/>
  <c r="H98" s="1"/>
  <c r="Q97"/>
  <c r="M97"/>
  <c r="K97"/>
  <c r="C183" i="90" s="1"/>
  <c r="G97" i="77"/>
  <c r="M96"/>
  <c r="N96" s="1"/>
  <c r="I14" i="82" s="1"/>
  <c r="G96" i="77"/>
  <c r="Q95"/>
  <c r="M95"/>
  <c r="K95"/>
  <c r="C181" i="90" s="1"/>
  <c r="G95" i="77"/>
  <c r="M94"/>
  <c r="G94"/>
  <c r="H94" s="1"/>
  <c r="Q93"/>
  <c r="M93"/>
  <c r="K93"/>
  <c r="C179" i="90" s="1"/>
  <c r="G93" i="77"/>
  <c r="M92"/>
  <c r="N92" s="1"/>
  <c r="I10" i="82" s="1"/>
  <c r="G92" i="77"/>
  <c r="M91"/>
  <c r="N91" s="1"/>
  <c r="G91"/>
  <c r="H91" s="1"/>
  <c r="M90"/>
  <c r="N90" s="1"/>
  <c r="I8" i="82" s="1"/>
  <c r="G90" i="77"/>
  <c r="H90" s="1"/>
  <c r="M89"/>
  <c r="N89" s="1"/>
  <c r="I7" i="82" s="1"/>
  <c r="G89" i="77"/>
  <c r="H89" s="1"/>
  <c r="M72"/>
  <c r="M71"/>
  <c r="N66"/>
  <c r="L16" i="78" s="1"/>
  <c r="H66" i="77"/>
  <c r="H16" i="78" s="1"/>
  <c r="S65" i="77"/>
  <c r="N65"/>
  <c r="M65"/>
  <c r="H65"/>
  <c r="H15" i="78" s="1"/>
  <c r="C109" i="90" s="1"/>
  <c r="G65" i="77"/>
  <c r="S64"/>
  <c r="N64"/>
  <c r="M64"/>
  <c r="H64"/>
  <c r="H14" i="78" s="1"/>
  <c r="C108" i="90" s="1"/>
  <c r="G64" i="77"/>
  <c r="S63"/>
  <c r="M63"/>
  <c r="N63" s="1"/>
  <c r="G63"/>
  <c r="H63" s="1"/>
  <c r="I63" s="1"/>
  <c r="K63" s="1"/>
  <c r="J13" i="78" s="1"/>
  <c r="C133" i="90" s="1"/>
  <c r="S62" i="77"/>
  <c r="M62"/>
  <c r="N62" s="1"/>
  <c r="W62" s="1"/>
  <c r="G62"/>
  <c r="H62" s="1"/>
  <c r="I62" s="1"/>
  <c r="K62" s="1"/>
  <c r="J12" i="78" s="1"/>
  <c r="C132" i="90" s="1"/>
  <c r="S61" i="77"/>
  <c r="M61"/>
  <c r="N61" s="1"/>
  <c r="G61"/>
  <c r="H61" s="1"/>
  <c r="I61" s="1"/>
  <c r="K61" s="1"/>
  <c r="J11" i="78" s="1"/>
  <c r="C131" i="90" s="1"/>
  <c r="S60" i="77"/>
  <c r="M60"/>
  <c r="N60" s="1"/>
  <c r="G60"/>
  <c r="H60" s="1"/>
  <c r="I60" s="1"/>
  <c r="K60" s="1"/>
  <c r="J10" i="78" s="1"/>
  <c r="C130" i="90" s="1"/>
  <c r="S59" i="77"/>
  <c r="M59"/>
  <c r="N59" s="1"/>
  <c r="G59"/>
  <c r="S58"/>
  <c r="M58"/>
  <c r="N58" s="1"/>
  <c r="G58"/>
  <c r="S57"/>
  <c r="M57"/>
  <c r="N57" s="1"/>
  <c r="G5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L43" s="1"/>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F18" s="1"/>
  <c r="L10"/>
  <c r="E10"/>
  <c r="L9"/>
  <c r="M9" s="1"/>
  <c r="M11" s="1"/>
  <c r="N11" s="1"/>
  <c r="L20" s="1"/>
  <c r="E9"/>
  <c r="F9" s="1"/>
  <c r="F11" s="1"/>
  <c r="L17" s="1"/>
  <c r="L5"/>
  <c r="E5"/>
  <c r="L4"/>
  <c r="M4" s="1"/>
  <c r="M6" s="1"/>
  <c r="L19" s="1"/>
  <c r="E4"/>
  <c r="F4" s="1"/>
  <c r="F6" s="1"/>
  <c r="K24" i="60"/>
  <c r="K25" i="95" s="1"/>
  <c r="L54" i="24"/>
  <c r="H13" i="92" s="1"/>
  <c r="U13" s="1"/>
  <c r="AG13" s="1"/>
  <c r="L55" i="24"/>
  <c r="L56"/>
  <c r="H15" i="92" s="1"/>
  <c r="U15" s="1"/>
  <c r="AG15" s="1"/>
  <c r="L57" i="24"/>
  <c r="H16" i="92" s="1"/>
  <c r="U16" s="1"/>
  <c r="AG16" s="1"/>
  <c r="L58" i="24"/>
  <c r="H17" i="92" s="1"/>
  <c r="U17" s="1"/>
  <c r="AG17" s="1"/>
  <c r="L59" i="24"/>
  <c r="H18" i="92" s="1"/>
  <c r="U18" s="1"/>
  <c r="AG18" s="1"/>
  <c r="H19"/>
  <c r="U19" s="1"/>
  <c r="AG19" s="1"/>
  <c r="L53" i="24"/>
  <c r="O53"/>
  <c r="R53"/>
  <c r="U53"/>
  <c r="K12" i="92" s="1"/>
  <c r="X12" s="1"/>
  <c r="AJ12" s="1"/>
  <c r="X53" i="24"/>
  <c r="AA53"/>
  <c r="AD53"/>
  <c r="AG53"/>
  <c r="AJ53"/>
  <c r="AM53"/>
  <c r="AP53"/>
  <c r="O54"/>
  <c r="I13" i="92" s="1"/>
  <c r="V13" s="1"/>
  <c r="AH13" s="1"/>
  <c r="R54" i="24"/>
  <c r="U54"/>
  <c r="K13" i="92" s="1"/>
  <c r="X13" s="1"/>
  <c r="AJ13" s="1"/>
  <c r="X54" i="24"/>
  <c r="AA54"/>
  <c r="M13" i="92" s="1"/>
  <c r="Z13" s="1"/>
  <c r="AL13" s="1"/>
  <c r="AD54" i="24"/>
  <c r="AG54"/>
  <c r="O13" i="92" s="1"/>
  <c r="AB13" s="1"/>
  <c r="AN13" s="1"/>
  <c r="AJ54" i="24"/>
  <c r="AM54"/>
  <c r="Q13" i="92" s="1"/>
  <c r="AD13" s="1"/>
  <c r="AP13" s="1"/>
  <c r="AP54" i="24"/>
  <c r="O55"/>
  <c r="I14" i="92" s="1"/>
  <c r="V14" s="1"/>
  <c r="AH14" s="1"/>
  <c r="R55" i="24"/>
  <c r="U55"/>
  <c r="K14" i="92" s="1"/>
  <c r="X14" s="1"/>
  <c r="AJ14" s="1"/>
  <c r="X55" i="24"/>
  <c r="L14" i="92" s="1"/>
  <c r="Y14" s="1"/>
  <c r="AK14" s="1"/>
  <c r="AA55" i="24"/>
  <c r="M14" i="92" s="1"/>
  <c r="Z14" s="1"/>
  <c r="AL14" s="1"/>
  <c r="AD55" i="24"/>
  <c r="AG55"/>
  <c r="O14" i="92" s="1"/>
  <c r="AB14" s="1"/>
  <c r="AN14" s="1"/>
  <c r="AJ55" i="24"/>
  <c r="P14" i="92" s="1"/>
  <c r="AC14" s="1"/>
  <c r="AO14" s="1"/>
  <c r="AM55" i="24"/>
  <c r="Q14" i="92" s="1"/>
  <c r="AD14" s="1"/>
  <c r="AP14" s="1"/>
  <c r="AP55" i="24"/>
  <c r="O56"/>
  <c r="I15" i="92" s="1"/>
  <c r="V15" s="1"/>
  <c r="AH15" s="1"/>
  <c r="R56" i="24"/>
  <c r="J15" i="92" s="1"/>
  <c r="W15" s="1"/>
  <c r="AI15" s="1"/>
  <c r="U56" i="24"/>
  <c r="K15" i="92" s="1"/>
  <c r="X15" s="1"/>
  <c r="AJ15" s="1"/>
  <c r="X56" i="24"/>
  <c r="L15" i="92" s="1"/>
  <c r="Y15" s="1"/>
  <c r="AK15" s="1"/>
  <c r="AA56" i="24"/>
  <c r="M15" i="92" s="1"/>
  <c r="Z15" s="1"/>
  <c r="AL15" s="1"/>
  <c r="AD56" i="24"/>
  <c r="AG56"/>
  <c r="O15" i="92" s="1"/>
  <c r="AB15" s="1"/>
  <c r="AN15" s="1"/>
  <c r="AJ56" i="24"/>
  <c r="P15" i="92" s="1"/>
  <c r="AC15" s="1"/>
  <c r="AO15" s="1"/>
  <c r="AM56" i="24"/>
  <c r="Q15" i="92" s="1"/>
  <c r="AD15" s="1"/>
  <c r="AP15" s="1"/>
  <c r="AP56" i="24"/>
  <c r="R15" i="92" s="1"/>
  <c r="AE15" s="1"/>
  <c r="AQ15" s="1"/>
  <c r="O57" i="24"/>
  <c r="I16" i="92" s="1"/>
  <c r="V16" s="1"/>
  <c r="AH16" s="1"/>
  <c r="R57" i="24"/>
  <c r="U57"/>
  <c r="K16" i="92" s="1"/>
  <c r="X16" s="1"/>
  <c r="AJ16" s="1"/>
  <c r="X57" i="24"/>
  <c r="L16" i="92" s="1"/>
  <c r="Y16" s="1"/>
  <c r="AK16" s="1"/>
  <c r="AA57" i="24"/>
  <c r="M16" i="92" s="1"/>
  <c r="Z16" s="1"/>
  <c r="AL16" s="1"/>
  <c r="AD57" i="24"/>
  <c r="AG57"/>
  <c r="O16" i="92" s="1"/>
  <c r="AB16" s="1"/>
  <c r="AN16" s="1"/>
  <c r="AJ57" i="24"/>
  <c r="P16" i="92" s="1"/>
  <c r="AC16" s="1"/>
  <c r="AO16" s="1"/>
  <c r="AM57" i="24"/>
  <c r="Q16" i="92" s="1"/>
  <c r="AD16" s="1"/>
  <c r="AP16" s="1"/>
  <c r="AP57" i="24"/>
  <c r="O58"/>
  <c r="I17" i="92" s="1"/>
  <c r="V17" s="1"/>
  <c r="AH17" s="1"/>
  <c r="R58" i="24"/>
  <c r="J17" i="92" s="1"/>
  <c r="W17" s="1"/>
  <c r="AI17" s="1"/>
  <c r="U58" i="24"/>
  <c r="K17" i="92" s="1"/>
  <c r="X17" s="1"/>
  <c r="AJ17" s="1"/>
  <c r="X58" i="24"/>
  <c r="AA58"/>
  <c r="AD58"/>
  <c r="AG58"/>
  <c r="O17" i="92" s="1"/>
  <c r="AB17" s="1"/>
  <c r="AN17" s="1"/>
  <c r="AJ58" i="24"/>
  <c r="AM58"/>
  <c r="Q17" i="92" s="1"/>
  <c r="AD17" s="1"/>
  <c r="AP17" s="1"/>
  <c r="AP58" i="24"/>
  <c r="O59"/>
  <c r="I18" i="92" s="1"/>
  <c r="V18" s="1"/>
  <c r="AH18" s="1"/>
  <c r="R59" i="24"/>
  <c r="U59"/>
  <c r="K18" i="92" s="1"/>
  <c r="X18" s="1"/>
  <c r="AJ18" s="1"/>
  <c r="X59" i="24"/>
  <c r="L18" i="92" s="1"/>
  <c r="Y18" s="1"/>
  <c r="AK18" s="1"/>
  <c r="AA59" i="24"/>
  <c r="M18" i="92" s="1"/>
  <c r="Z18" s="1"/>
  <c r="AL18" s="1"/>
  <c r="AD59" i="24"/>
  <c r="AG59"/>
  <c r="O18" i="92" s="1"/>
  <c r="AB18" s="1"/>
  <c r="AN18" s="1"/>
  <c r="AJ59" i="24"/>
  <c r="P18" i="92" s="1"/>
  <c r="AC18" s="1"/>
  <c r="AO18" s="1"/>
  <c r="AM59" i="24"/>
  <c r="Q18" i="92" s="1"/>
  <c r="AD18" s="1"/>
  <c r="AP18" s="1"/>
  <c r="AP59" i="24"/>
  <c r="R60"/>
  <c r="J19" i="92" s="1"/>
  <c r="W19" s="1"/>
  <c r="AI19" s="1"/>
  <c r="X60" i="24"/>
  <c r="AD60"/>
  <c r="N19" i="92" s="1"/>
  <c r="AA19" s="1"/>
  <c r="AM19" s="1"/>
  <c r="AJ60" i="24"/>
  <c r="P19" i="92" s="1"/>
  <c r="AC19" s="1"/>
  <c r="AO19" s="1"/>
  <c r="AP60" i="24"/>
  <c r="R19" i="92" s="1"/>
  <c r="AE19" s="1"/>
  <c r="AQ19" s="1"/>
  <c r="C4" i="74"/>
  <c r="D4"/>
  <c r="E4"/>
  <c r="F4"/>
  <c r="C5"/>
  <c r="D5"/>
  <c r="E5"/>
  <c r="F5"/>
  <c r="L5"/>
  <c r="O5"/>
  <c r="R5"/>
  <c r="U5"/>
  <c r="C6"/>
  <c r="D6"/>
  <c r="E6"/>
  <c r="F6"/>
  <c r="L6"/>
  <c r="O6"/>
  <c r="R6"/>
  <c r="U6"/>
  <c r="C7"/>
  <c r="D7"/>
  <c r="E7"/>
  <c r="F7"/>
  <c r="L7"/>
  <c r="O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N16"/>
  <c r="AE16" s="1"/>
  <c r="AQ16" s="1"/>
  <c r="O16"/>
  <c r="Q16"/>
  <c r="AG16" s="1"/>
  <c r="AS16" s="1"/>
  <c r="R16"/>
  <c r="T16"/>
  <c r="AI16" s="1"/>
  <c r="AU16" s="1"/>
  <c r="U16"/>
  <c r="W16"/>
  <c r="AK16" s="1"/>
  <c r="AW16" s="1"/>
  <c r="X16"/>
  <c r="C17"/>
  <c r="D17"/>
  <c r="E17"/>
  <c r="F17"/>
  <c r="H17"/>
  <c r="AA17" s="1"/>
  <c r="AM17" s="1"/>
  <c r="I17"/>
  <c r="K17"/>
  <c r="AC17" s="1"/>
  <c r="AO17" s="1"/>
  <c r="L17"/>
  <c r="N17"/>
  <c r="AE17" s="1"/>
  <c r="AQ17" s="1"/>
  <c r="O17"/>
  <c r="Q17"/>
  <c r="AG17" s="1"/>
  <c r="AS17" s="1"/>
  <c r="R17"/>
  <c r="T17"/>
  <c r="AI17" s="1"/>
  <c r="AU17" s="1"/>
  <c r="U17"/>
  <c r="W17"/>
  <c r="AK17" s="1"/>
  <c r="AW17" s="1"/>
  <c r="X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N30"/>
  <c r="AE30" s="1"/>
  <c r="AQ30" s="1"/>
  <c r="O30"/>
  <c r="Q30"/>
  <c r="AG30" s="1"/>
  <c r="AS30" s="1"/>
  <c r="R30"/>
  <c r="T30"/>
  <c r="AI30" s="1"/>
  <c r="AU30" s="1"/>
  <c r="U30"/>
  <c r="W30"/>
  <c r="AK30" s="1"/>
  <c r="AW30" s="1"/>
  <c r="X30"/>
  <c r="C31"/>
  <c r="D31"/>
  <c r="E31"/>
  <c r="F31"/>
  <c r="H31"/>
  <c r="AA31" s="1"/>
  <c r="AM31" s="1"/>
  <c r="I31"/>
  <c r="K31"/>
  <c r="AC31" s="1"/>
  <c r="AO31" s="1"/>
  <c r="L31"/>
  <c r="N31"/>
  <c r="AE31" s="1"/>
  <c r="AQ31" s="1"/>
  <c r="O31"/>
  <c r="Q31"/>
  <c r="AG31" s="1"/>
  <c r="AS31" s="1"/>
  <c r="R31"/>
  <c r="T31"/>
  <c r="AI31" s="1"/>
  <c r="AU31" s="1"/>
  <c r="U31"/>
  <c r="W31"/>
  <c r="AK31" s="1"/>
  <c r="AW31" s="1"/>
  <c r="X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N44"/>
  <c r="AE44" s="1"/>
  <c r="AQ44" s="1"/>
  <c r="O44"/>
  <c r="Q44"/>
  <c r="AG44" s="1"/>
  <c r="AS44" s="1"/>
  <c r="U44"/>
  <c r="W44"/>
  <c r="AK44" s="1"/>
  <c r="AW44" s="1"/>
  <c r="X44"/>
  <c r="C45"/>
  <c r="D45"/>
  <c r="E45"/>
  <c r="F45"/>
  <c r="H45"/>
  <c r="AA45" s="1"/>
  <c r="AM45" s="1"/>
  <c r="I45"/>
  <c r="K45"/>
  <c r="AC45" s="1"/>
  <c r="AO45" s="1"/>
  <c r="L45"/>
  <c r="N45"/>
  <c r="AE45" s="1"/>
  <c r="AQ45" s="1"/>
  <c r="O45"/>
  <c r="R45"/>
  <c r="T45"/>
  <c r="AI45" s="1"/>
  <c r="AU45" s="1"/>
  <c r="U45"/>
  <c r="W45"/>
  <c r="AK45" s="1"/>
  <c r="AW45" s="1"/>
  <c r="X45"/>
  <c r="AA63" i="60"/>
  <c r="O62" i="95" s="1"/>
  <c r="AA64" i="60"/>
  <c r="O63" i="95" s="1"/>
  <c r="AA65" i="60"/>
  <c r="O64" i="95" s="1"/>
  <c r="AA66" i="60"/>
  <c r="AA68"/>
  <c r="O68" i="95" s="1"/>
  <c r="AA69" i="60"/>
  <c r="O69" i="95" s="1"/>
  <c r="S63" i="60"/>
  <c r="S64"/>
  <c r="S65"/>
  <c r="S66"/>
  <c r="S68"/>
  <c r="S69"/>
  <c r="K63"/>
  <c r="K62" i="95" s="1"/>
  <c r="K64" i="60"/>
  <c r="K63" i="95" s="1"/>
  <c r="K65" i="60"/>
  <c r="K64" i="95" s="1"/>
  <c r="K66" i="60"/>
  <c r="K68"/>
  <c r="K68" i="95" s="1"/>
  <c r="K69" i="60"/>
  <c r="K69" i="95" s="1"/>
  <c r="AA62" i="60"/>
  <c r="O61" i="95" s="1"/>
  <c r="S62" i="60"/>
  <c r="K62"/>
  <c r="K61" i="95" s="1"/>
  <c r="AA25" i="60"/>
  <c r="O26" i="95" s="1"/>
  <c r="AA26" i="60"/>
  <c r="O27" i="95" s="1"/>
  <c r="AA27" i="60"/>
  <c r="O28" i="95" s="1"/>
  <c r="AA28" i="60"/>
  <c r="AA30"/>
  <c r="O32" i="95" s="1"/>
  <c r="AA31" i="60"/>
  <c r="O33" i="95" s="1"/>
  <c r="S25" i="60"/>
  <c r="S26"/>
  <c r="S27"/>
  <c r="S28"/>
  <c r="S30"/>
  <c r="S31"/>
  <c r="K25"/>
  <c r="K26" i="95" s="1"/>
  <c r="K26" i="60"/>
  <c r="K27" i="95" s="1"/>
  <c r="K27" i="60"/>
  <c r="K28" i="95" s="1"/>
  <c r="K28" i="60"/>
  <c r="K30"/>
  <c r="K32" i="95" s="1"/>
  <c r="K31" i="60"/>
  <c r="K33" i="95" s="1"/>
  <c r="AA24" i="60"/>
  <c r="O25" i="95" s="1"/>
  <c r="S24" i="60"/>
  <c r="AA61" i="58"/>
  <c r="AA62"/>
  <c r="AA63"/>
  <c r="AA64"/>
  <c r="AA65"/>
  <c r="AA66"/>
  <c r="AA67"/>
  <c r="S61"/>
  <c r="S62"/>
  <c r="S63"/>
  <c r="S64"/>
  <c r="S65"/>
  <c r="S66"/>
  <c r="S67"/>
  <c r="K61"/>
  <c r="K62"/>
  <c r="K63"/>
  <c r="K64"/>
  <c r="K65"/>
  <c r="K66"/>
  <c r="K67"/>
  <c r="AA60"/>
  <c r="S60"/>
  <c r="K60"/>
  <c r="AA25"/>
  <c r="AA26"/>
  <c r="AA27"/>
  <c r="AA28"/>
  <c r="AA29"/>
  <c r="AA30"/>
  <c r="AA31"/>
  <c r="S25"/>
  <c r="S26"/>
  <c r="S27"/>
  <c r="S28"/>
  <c r="S29"/>
  <c r="S30"/>
  <c r="S31"/>
  <c r="K25"/>
  <c r="K26"/>
  <c r="K27"/>
  <c r="K28"/>
  <c r="K29"/>
  <c r="K30"/>
  <c r="AA24"/>
  <c r="S24"/>
  <c r="K24"/>
  <c r="AA65" i="46"/>
  <c r="AA66"/>
  <c r="AA67"/>
  <c r="AA68"/>
  <c r="AA69"/>
  <c r="AA70"/>
  <c r="AA71"/>
  <c r="S65"/>
  <c r="S66"/>
  <c r="S67"/>
  <c r="S68"/>
  <c r="S69"/>
  <c r="S70"/>
  <c r="S71"/>
  <c r="K65"/>
  <c r="K66"/>
  <c r="K67"/>
  <c r="K68"/>
  <c r="K69"/>
  <c r="K70"/>
  <c r="K71"/>
  <c r="AA64"/>
  <c r="S64"/>
  <c r="K64"/>
  <c r="AA27"/>
  <c r="AA28"/>
  <c r="AA29"/>
  <c r="AA30"/>
  <c r="AA31"/>
  <c r="AA32"/>
  <c r="AA33"/>
  <c r="AA26"/>
  <c r="S27"/>
  <c r="S28"/>
  <c r="S29"/>
  <c r="S30"/>
  <c r="S31"/>
  <c r="S32"/>
  <c r="S33"/>
  <c r="S26"/>
  <c r="K27"/>
  <c r="K28"/>
  <c r="K29"/>
  <c r="K30"/>
  <c r="K31"/>
  <c r="K32"/>
  <c r="K26"/>
  <c r="I92" i="24"/>
  <c r="L92"/>
  <c r="O92"/>
  <c r="I21" i="92" s="1"/>
  <c r="V21" s="1"/>
  <c r="AH21" s="1"/>
  <c r="R92" i="24"/>
  <c r="U92"/>
  <c r="X92"/>
  <c r="AA92"/>
  <c r="I29" i="115" s="1"/>
  <c r="I60" i="96" s="1"/>
  <c r="AD92" i="24"/>
  <c r="K29" i="115" s="1"/>
  <c r="K60" i="96" s="1"/>
  <c r="AG92" i="24"/>
  <c r="AJ92"/>
  <c r="O29" i="115" s="1"/>
  <c r="AM92" i="24"/>
  <c r="Q29" i="115" s="1"/>
  <c r="M60" i="96" s="1"/>
  <c r="AP92" i="24"/>
  <c r="S29" i="115" s="1"/>
  <c r="O60" i="96" s="1"/>
  <c r="L93" i="24"/>
  <c r="O93"/>
  <c r="I22" i="92" s="1"/>
  <c r="V22" s="1"/>
  <c r="AH22" s="1"/>
  <c r="R93" i="24"/>
  <c r="U93"/>
  <c r="X93"/>
  <c r="AA93"/>
  <c r="I30" i="115" s="1"/>
  <c r="I61" i="96" s="1"/>
  <c r="AD93" i="24"/>
  <c r="K30" i="115" s="1"/>
  <c r="K61" i="96" s="1"/>
  <c r="AG93" i="24"/>
  <c r="AJ93"/>
  <c r="O30" i="115" s="1"/>
  <c r="AM93" i="24"/>
  <c r="Q30" i="115" s="1"/>
  <c r="M61" i="96" s="1"/>
  <c r="AP93" i="24"/>
  <c r="S30" i="115" s="1"/>
  <c r="O61" i="96" s="1"/>
  <c r="I94" i="24"/>
  <c r="L94"/>
  <c r="O94"/>
  <c r="I23" i="92" s="1"/>
  <c r="V23" s="1"/>
  <c r="AH23" s="1"/>
  <c r="R94" i="24"/>
  <c r="U94"/>
  <c r="X94"/>
  <c r="AA94"/>
  <c r="I31" i="115" s="1"/>
  <c r="I62" i="96" s="1"/>
  <c r="AD94" i="24"/>
  <c r="K31" i="115" s="1"/>
  <c r="K62" i="96" s="1"/>
  <c r="AG94" i="24"/>
  <c r="AJ94"/>
  <c r="O31" i="115" s="1"/>
  <c r="AM94" i="24"/>
  <c r="Q31" i="115" s="1"/>
  <c r="M62" i="96" s="1"/>
  <c r="AP94" i="24"/>
  <c r="S31" i="115" s="1"/>
  <c r="O62" i="96" s="1"/>
  <c r="G24" i="92"/>
  <c r="T24" s="1"/>
  <c r="AF24" s="1"/>
  <c r="L95" i="24"/>
  <c r="I24" i="92"/>
  <c r="V24" s="1"/>
  <c r="AH24" s="1"/>
  <c r="R95" i="24"/>
  <c r="U95"/>
  <c r="K24" i="92" s="1"/>
  <c r="X24" s="1"/>
  <c r="AJ24" s="1"/>
  <c r="X95" i="24"/>
  <c r="AA95"/>
  <c r="AD95"/>
  <c r="K32" i="115" s="1"/>
  <c r="AG95" i="24"/>
  <c r="AJ95"/>
  <c r="O32" i="115" s="1"/>
  <c r="AM95" i="24"/>
  <c r="AP95"/>
  <c r="S32" i="115" s="1"/>
  <c r="G25" i="92"/>
  <c r="T25" s="1"/>
  <c r="AF25" s="1"/>
  <c r="L96" i="24"/>
  <c r="O96"/>
  <c r="I25" i="92" s="1"/>
  <c r="V25" s="1"/>
  <c r="AH25" s="1"/>
  <c r="R96" i="24"/>
  <c r="U96"/>
  <c r="K25" i="92" s="1"/>
  <c r="X25" s="1"/>
  <c r="AJ25" s="1"/>
  <c r="X96" i="24"/>
  <c r="AA96"/>
  <c r="AD96"/>
  <c r="K33" i="115" s="1"/>
  <c r="AG96" i="24"/>
  <c r="AJ96"/>
  <c r="O33" i="115" s="1"/>
  <c r="Q25" i="92"/>
  <c r="AD25" s="1"/>
  <c r="AP25" s="1"/>
  <c r="AP96" i="24"/>
  <c r="S33" i="115" s="1"/>
  <c r="I97" i="24"/>
  <c r="L97"/>
  <c r="O97"/>
  <c r="I26" i="92" s="1"/>
  <c r="V26" s="1"/>
  <c r="AH26" s="1"/>
  <c r="R97" i="24"/>
  <c r="U97"/>
  <c r="X97"/>
  <c r="AA97"/>
  <c r="AD97"/>
  <c r="K34" i="115" s="1"/>
  <c r="K66" i="96" s="1"/>
  <c r="AG97" i="24"/>
  <c r="AJ97"/>
  <c r="O34" i="115" s="1"/>
  <c r="AM97" i="24"/>
  <c r="Q34" i="115" s="1"/>
  <c r="M66" i="96" s="1"/>
  <c r="AP97" i="24"/>
  <c r="S34" i="115" s="1"/>
  <c r="O66" i="96" s="1"/>
  <c r="L98" i="24"/>
  <c r="R98"/>
  <c r="X98"/>
  <c r="AD98"/>
  <c r="K35" i="115" s="1"/>
  <c r="K67" i="96" s="1"/>
  <c r="AJ98" i="24"/>
  <c r="O35" i="115" s="1"/>
  <c r="L103" i="24"/>
  <c r="O103"/>
  <c r="R103"/>
  <c r="U103"/>
  <c r="M29" i="96" s="1"/>
  <c r="X103" i="24"/>
  <c r="O29" i="96" s="1"/>
  <c r="AA103" i="24"/>
  <c r="AD103"/>
  <c r="AG103"/>
  <c r="AJ103"/>
  <c r="AM103"/>
  <c r="M63" i="96" s="1"/>
  <c r="AP103" i="24"/>
  <c r="O63" i="96" s="1"/>
  <c r="I104" i="24"/>
  <c r="L104"/>
  <c r="O104"/>
  <c r="R104"/>
  <c r="U104"/>
  <c r="M30" i="96" s="1"/>
  <c r="X104" i="24"/>
  <c r="O30" i="96" s="1"/>
  <c r="AA104" i="24"/>
  <c r="AD104"/>
  <c r="AG104"/>
  <c r="AJ104"/>
  <c r="AM104"/>
  <c r="M64" i="96" s="1"/>
  <c r="AP104" i="24"/>
  <c r="O64" i="96" s="1"/>
  <c r="I105" i="24"/>
  <c r="L105"/>
  <c r="O105"/>
  <c r="R105"/>
  <c r="U105"/>
  <c r="M31" i="96" s="1"/>
  <c r="X105" i="24"/>
  <c r="O31" i="96" s="1"/>
  <c r="AA105" i="24"/>
  <c r="AD105"/>
  <c r="AG105"/>
  <c r="AJ105"/>
  <c r="AM105"/>
  <c r="M65" i="96" s="1"/>
  <c r="AP105" i="24"/>
  <c r="O65" i="96" s="1"/>
  <c r="L91" i="24"/>
  <c r="O91"/>
  <c r="I20" i="92" s="1"/>
  <c r="V20" s="1"/>
  <c r="AH20" s="1"/>
  <c r="R91" i="24"/>
  <c r="U91"/>
  <c r="X91"/>
  <c r="AA91"/>
  <c r="I28" i="115" s="1"/>
  <c r="I59" i="96" s="1"/>
  <c r="AD91" i="24"/>
  <c r="K28" i="115" s="1"/>
  <c r="K59" i="96" s="1"/>
  <c r="AG91" i="24"/>
  <c r="AJ91"/>
  <c r="O28" i="115" s="1"/>
  <c r="AM91" i="24"/>
  <c r="Q28" i="115" s="1"/>
  <c r="M59" i="96" s="1"/>
  <c r="AP91" i="24"/>
  <c r="S28" i="115" s="1"/>
  <c r="O59" i="96" s="1"/>
  <c r="I54" i="24"/>
  <c r="I55"/>
  <c r="G14" i="92" s="1"/>
  <c r="T14" s="1"/>
  <c r="AF14" s="1"/>
  <c r="I56" i="24"/>
  <c r="G15" i="92" s="1"/>
  <c r="T15" s="1"/>
  <c r="AF15" s="1"/>
  <c r="S29" i="54"/>
  <c r="I57" i="24"/>
  <c r="G16" i="92" s="1"/>
  <c r="T16" s="1"/>
  <c r="AF16" s="1"/>
  <c r="G17"/>
  <c r="T17" s="1"/>
  <c r="AF17" s="1"/>
  <c r="I59" i="24"/>
  <c r="G18" i="92" s="1"/>
  <c r="T18" s="1"/>
  <c r="AF18" s="1"/>
  <c r="I53" i="24"/>
  <c r="I26" i="54" s="1"/>
  <c r="L29" i="24"/>
  <c r="R29"/>
  <c r="X29"/>
  <c r="AD29"/>
  <c r="AJ29"/>
  <c r="AP29"/>
  <c r="O23"/>
  <c r="I5" i="92" s="1"/>
  <c r="V5" s="1"/>
  <c r="AH5" s="1"/>
  <c r="R23" i="24"/>
  <c r="U23"/>
  <c r="K5" i="92" s="1"/>
  <c r="X5" s="1"/>
  <c r="AJ5" s="1"/>
  <c r="X23" i="24"/>
  <c r="AA23"/>
  <c r="M5" i="92" s="1"/>
  <c r="Z5" s="1"/>
  <c r="AL5" s="1"/>
  <c r="AD23" i="24"/>
  <c r="AG23"/>
  <c r="O5" i="92" s="1"/>
  <c r="AB5" s="1"/>
  <c r="AN5" s="1"/>
  <c r="AJ23" i="24"/>
  <c r="AM23"/>
  <c r="Q5" i="92" s="1"/>
  <c r="AD5" s="1"/>
  <c r="AP5" s="1"/>
  <c r="AP23" i="24"/>
  <c r="O24"/>
  <c r="I6" i="92" s="1"/>
  <c r="V6" s="1"/>
  <c r="AH6" s="1"/>
  <c r="R24" i="24"/>
  <c r="U24"/>
  <c r="K6" i="92" s="1"/>
  <c r="X6" s="1"/>
  <c r="AJ6" s="1"/>
  <c r="X24" i="24"/>
  <c r="AA24"/>
  <c r="M6" i="92" s="1"/>
  <c r="Z6" s="1"/>
  <c r="AL6" s="1"/>
  <c r="AD24" i="24"/>
  <c r="AG24"/>
  <c r="O6" i="92" s="1"/>
  <c r="AB6" s="1"/>
  <c r="AN6" s="1"/>
  <c r="AJ24" i="24"/>
  <c r="AM24"/>
  <c r="Q6" i="92" s="1"/>
  <c r="AD6" s="1"/>
  <c r="AP6" s="1"/>
  <c r="AP24" i="24"/>
  <c r="O25"/>
  <c r="I7" i="92" s="1"/>
  <c r="V7" s="1"/>
  <c r="AH7" s="1"/>
  <c r="R25" i="24"/>
  <c r="U25"/>
  <c r="K7" i="92" s="1"/>
  <c r="X7" s="1"/>
  <c r="AJ7" s="1"/>
  <c r="X25" i="24"/>
  <c r="AA25"/>
  <c r="M7" i="92" s="1"/>
  <c r="Z7" s="1"/>
  <c r="AL7" s="1"/>
  <c r="AD25" i="24"/>
  <c r="AG25"/>
  <c r="O7" i="92" s="1"/>
  <c r="AB7" s="1"/>
  <c r="AN7" s="1"/>
  <c r="AJ25" i="24"/>
  <c r="AM25"/>
  <c r="Q7" i="92" s="1"/>
  <c r="AD7" s="1"/>
  <c r="AP7" s="1"/>
  <c r="AP25" i="24"/>
  <c r="O26"/>
  <c r="I8" i="92" s="1"/>
  <c r="V8" s="1"/>
  <c r="AH8" s="1"/>
  <c r="R26" i="24"/>
  <c r="U26"/>
  <c r="K8" i="92" s="1"/>
  <c r="X8" s="1"/>
  <c r="AJ8" s="1"/>
  <c r="X26" i="24"/>
  <c r="AA26"/>
  <c r="M8" i="92" s="1"/>
  <c r="Z8" s="1"/>
  <c r="AL8" s="1"/>
  <c r="AD26" i="24"/>
  <c r="AG26"/>
  <c r="O8" i="92" s="1"/>
  <c r="AB8" s="1"/>
  <c r="AN8" s="1"/>
  <c r="AJ26" i="24"/>
  <c r="AM26"/>
  <c r="Q8" i="92" s="1"/>
  <c r="AD8" s="1"/>
  <c r="AP8" s="1"/>
  <c r="AP26" i="24"/>
  <c r="O27"/>
  <c r="I9" i="92" s="1"/>
  <c r="V9" s="1"/>
  <c r="AH9" s="1"/>
  <c r="R27" i="24"/>
  <c r="U27"/>
  <c r="K9" i="92" s="1"/>
  <c r="X9" s="1"/>
  <c r="AJ9" s="1"/>
  <c r="X27" i="24"/>
  <c r="AA27"/>
  <c r="M9" i="92" s="1"/>
  <c r="Z9" s="1"/>
  <c r="AL9" s="1"/>
  <c r="AD27" i="24"/>
  <c r="AG27"/>
  <c r="O9" i="92" s="1"/>
  <c r="AB9" s="1"/>
  <c r="AN9" s="1"/>
  <c r="AJ27" i="24"/>
  <c r="AM27"/>
  <c r="Q9" i="92" s="1"/>
  <c r="AD9" s="1"/>
  <c r="AP9" s="1"/>
  <c r="AP27" i="24"/>
  <c r="O28"/>
  <c r="I10" i="92" s="1"/>
  <c r="V10" s="1"/>
  <c r="AH10" s="1"/>
  <c r="R28" i="24"/>
  <c r="U28"/>
  <c r="K10" i="92" s="1"/>
  <c r="X10" s="1"/>
  <c r="AJ10" s="1"/>
  <c r="X28" i="24"/>
  <c r="AA28"/>
  <c r="M10" i="92" s="1"/>
  <c r="Z10" s="1"/>
  <c r="AL10" s="1"/>
  <c r="AD28" i="24"/>
  <c r="AG28"/>
  <c r="O10" i="92" s="1"/>
  <c r="AB10" s="1"/>
  <c r="AN10" s="1"/>
  <c r="AJ28" i="24"/>
  <c r="AM28"/>
  <c r="Q10" i="92" s="1"/>
  <c r="AD10" s="1"/>
  <c r="AP10" s="1"/>
  <c r="AP28" i="24"/>
  <c r="L22"/>
  <c r="O22"/>
  <c r="I4" i="92" s="1"/>
  <c r="V4" s="1"/>
  <c r="AH4" s="1"/>
  <c r="R22" i="24"/>
  <c r="U22"/>
  <c r="K4" i="92" s="1"/>
  <c r="X4" s="1"/>
  <c r="AJ4" s="1"/>
  <c r="X22" i="24"/>
  <c r="AA22"/>
  <c r="M4" i="92" s="1"/>
  <c r="Z4" s="1"/>
  <c r="AL4" s="1"/>
  <c r="AD22" i="24"/>
  <c r="AG22"/>
  <c r="O4" i="92" s="1"/>
  <c r="AB4" s="1"/>
  <c r="AN4" s="1"/>
  <c r="AJ22" i="24"/>
  <c r="AM22"/>
  <c r="Q4" i="92" s="1"/>
  <c r="AD4" s="1"/>
  <c r="AP4" s="1"/>
  <c r="AP22" i="24"/>
  <c r="L23"/>
  <c r="L24"/>
  <c r="L25"/>
  <c r="L26"/>
  <c r="L27"/>
  <c r="L28"/>
  <c r="I23"/>
  <c r="G5" i="92" s="1"/>
  <c r="T5" s="1"/>
  <c r="AF5" s="1"/>
  <c r="I24" i="24"/>
  <c r="G6" i="92" s="1"/>
  <c r="T6" s="1"/>
  <c r="AF6" s="1"/>
  <c r="I25" i="24"/>
  <c r="G7" i="92" s="1"/>
  <c r="T7" s="1"/>
  <c r="AF7" s="1"/>
  <c r="I26" i="24"/>
  <c r="G8" i="92" s="1"/>
  <c r="T8" s="1"/>
  <c r="AF8" s="1"/>
  <c r="I27" i="24"/>
  <c r="G9" i="92" s="1"/>
  <c r="T9" s="1"/>
  <c r="AF9" s="1"/>
  <c r="I28" i="24"/>
  <c r="G10" i="92" s="1"/>
  <c r="T10" s="1"/>
  <c r="AF10" s="1"/>
  <c r="I22" i="24"/>
  <c r="G4" i="92" s="1"/>
  <c r="T4" s="1"/>
  <c r="AF4" s="1"/>
  <c r="AL16" i="24"/>
  <c r="AM16" s="1"/>
  <c r="AF16"/>
  <c r="AG16" s="1"/>
  <c r="Z16"/>
  <c r="AA16" s="1"/>
  <c r="T16"/>
  <c r="U16" s="1"/>
  <c r="N16"/>
  <c r="AL12"/>
  <c r="AM12" s="1"/>
  <c r="AF12"/>
  <c r="AG12" s="1"/>
  <c r="Z12"/>
  <c r="AA12" s="1"/>
  <c r="T12"/>
  <c r="U12" s="1"/>
  <c r="N12"/>
  <c r="O12" s="1"/>
  <c r="I26" i="88" l="1"/>
  <c r="K26" s="1"/>
  <c r="H57" i="74" s="1"/>
  <c r="AA57" s="1"/>
  <c r="AM57" s="1"/>
  <c r="I25" i="88"/>
  <c r="O7" i="89"/>
  <c r="K25" i="88"/>
  <c r="G3" i="117"/>
  <c r="G3" i="118"/>
  <c r="O25" i="92"/>
  <c r="AB25" s="1"/>
  <c r="AN25" s="1"/>
  <c r="M33" i="115"/>
  <c r="M25" i="92"/>
  <c r="Z25" s="1"/>
  <c r="AL25" s="1"/>
  <c r="I33" i="115"/>
  <c r="Q24" i="92"/>
  <c r="AD24" s="1"/>
  <c r="AP24" s="1"/>
  <c r="Q32" i="115"/>
  <c r="O24" i="92"/>
  <c r="AB24" s="1"/>
  <c r="AN24" s="1"/>
  <c r="M32" i="115"/>
  <c r="M24" i="92"/>
  <c r="Z24" s="1"/>
  <c r="AL24" s="1"/>
  <c r="I32" i="115"/>
  <c r="O23" i="92"/>
  <c r="AB23" s="1"/>
  <c r="AN23" s="1"/>
  <c r="M31" i="115"/>
  <c r="O22" i="92"/>
  <c r="AB22" s="1"/>
  <c r="AN22" s="1"/>
  <c r="M30" i="115"/>
  <c r="O26" i="92"/>
  <c r="AB26" s="1"/>
  <c r="AN26" s="1"/>
  <c r="M34" i="115"/>
  <c r="I34"/>
  <c r="I66" i="96" s="1"/>
  <c r="I68" i="60"/>
  <c r="O20" i="92"/>
  <c r="AB20" s="1"/>
  <c r="AN20" s="1"/>
  <c r="M28" i="115"/>
  <c r="O21" i="92"/>
  <c r="AB21" s="1"/>
  <c r="AN21" s="1"/>
  <c r="M29" i="115"/>
  <c r="F3"/>
  <c r="AB3" s="1"/>
  <c r="G3" i="114"/>
  <c r="AB3" s="1"/>
  <c r="M17" i="92"/>
  <c r="Z17" s="1"/>
  <c r="AL17" s="1"/>
  <c r="AH12" i="24"/>
  <c r="U10" i="74" s="1"/>
  <c r="C10" i="102"/>
  <c r="M10" s="1"/>
  <c r="Q10" s="1"/>
  <c r="AB16" i="24"/>
  <c r="R14" i="74" s="1"/>
  <c r="C14" i="101"/>
  <c r="K14" s="1"/>
  <c r="Q14" s="1"/>
  <c r="AN16" i="24"/>
  <c r="X14" i="74" s="1"/>
  <c r="C14" i="104"/>
  <c r="O14" s="1"/>
  <c r="Q14" s="1"/>
  <c r="P12" i="24"/>
  <c r="L10" i="74" s="1"/>
  <c r="C10" i="99"/>
  <c r="G10" s="1"/>
  <c r="Q10" s="1"/>
  <c r="AB12" i="24"/>
  <c r="R10" i="74" s="1"/>
  <c r="C10" i="101"/>
  <c r="K10" s="1"/>
  <c r="Q10" s="1"/>
  <c r="AN12" i="24"/>
  <c r="X10" i="74" s="1"/>
  <c r="C10" i="104"/>
  <c r="O10" s="1"/>
  <c r="Q10" s="1"/>
  <c r="V16" i="24"/>
  <c r="O14" i="74" s="1"/>
  <c r="C14" i="100"/>
  <c r="I14" s="1"/>
  <c r="Q14" s="1"/>
  <c r="AH16" i="24"/>
  <c r="U14" i="74" s="1"/>
  <c r="C14" i="102"/>
  <c r="M14" s="1"/>
  <c r="Q14" s="1"/>
  <c r="V12" i="24"/>
  <c r="O10" i="74" s="1"/>
  <c r="C10" i="100"/>
  <c r="I10" s="1"/>
  <c r="Q10" s="1"/>
  <c r="G37" i="96"/>
  <c r="G3"/>
  <c r="G39" i="95"/>
  <c r="F3" i="56"/>
  <c r="AB3" s="1"/>
  <c r="I41" i="60"/>
  <c r="I39" i="58"/>
  <c r="I3" i="46"/>
  <c r="I41" s="1"/>
  <c r="I3" i="60"/>
  <c r="I3" i="58"/>
  <c r="E7" i="80"/>
  <c r="D37" i="90" s="1"/>
  <c r="I25" i="77"/>
  <c r="M7" i="80"/>
  <c r="F37" i="90" s="1"/>
  <c r="T25" i="77"/>
  <c r="U25" s="1"/>
  <c r="W25" s="1"/>
  <c r="I24" i="80"/>
  <c r="H37" i="90" s="1"/>
  <c r="AF25" i="77"/>
  <c r="AG25" s="1"/>
  <c r="AI25" s="1"/>
  <c r="E8" i="80"/>
  <c r="D38" i="90" s="1"/>
  <c r="I26" i="77"/>
  <c r="M8" i="80"/>
  <c r="F38" i="90" s="1"/>
  <c r="T26" i="77"/>
  <c r="U26" s="1"/>
  <c r="W26" s="1"/>
  <c r="I25" i="80"/>
  <c r="H38" i="90" s="1"/>
  <c r="AF26" i="77"/>
  <c r="AG26" s="1"/>
  <c r="AI26" s="1"/>
  <c r="K27"/>
  <c r="G9" i="80" s="1"/>
  <c r="D53" i="90" s="1"/>
  <c r="I27" i="77"/>
  <c r="T27"/>
  <c r="AF28"/>
  <c r="AG28" s="1"/>
  <c r="AI28" s="1"/>
  <c r="AG27"/>
  <c r="AI27" s="1"/>
  <c r="M11" i="80"/>
  <c r="F41" i="90" s="1"/>
  <c r="T29" i="77"/>
  <c r="I28" i="80"/>
  <c r="H41" i="90" s="1"/>
  <c r="AF29" i="77"/>
  <c r="E12" i="80"/>
  <c r="D42" i="90" s="1"/>
  <c r="I30" i="77"/>
  <c r="M12" i="80"/>
  <c r="F42" i="90" s="1"/>
  <c r="T30" i="77"/>
  <c r="U30" s="1"/>
  <c r="W30" s="1"/>
  <c r="I29" i="80"/>
  <c r="H42" i="90" s="1"/>
  <c r="AF30" i="77"/>
  <c r="AG30" s="1"/>
  <c r="AI30" s="1"/>
  <c r="M13" i="80"/>
  <c r="F43" i="90" s="1"/>
  <c r="T31" i="77"/>
  <c r="I30" i="80"/>
  <c r="H43" i="90" s="1"/>
  <c r="AF31" i="77"/>
  <c r="F8" i="81"/>
  <c r="D63" i="90" s="1"/>
  <c r="H42" i="77"/>
  <c r="I42" s="1"/>
  <c r="K42" s="1"/>
  <c r="N8" i="81"/>
  <c r="F63" i="90" s="1"/>
  <c r="T42" i="77"/>
  <c r="U42" s="1"/>
  <c r="W42" s="1"/>
  <c r="J29" i="81"/>
  <c r="H63" i="90" s="1"/>
  <c r="AF42" i="77"/>
  <c r="AG42" s="1"/>
  <c r="AI42" s="1"/>
  <c r="H43"/>
  <c r="T43"/>
  <c r="AF43"/>
  <c r="H15" i="81"/>
  <c r="D88" i="90" s="1"/>
  <c r="H46" i="77"/>
  <c r="I46" s="1"/>
  <c r="K46" s="1"/>
  <c r="N15" i="81"/>
  <c r="F70" i="90" s="1"/>
  <c r="T46" i="77"/>
  <c r="U46" s="1"/>
  <c r="W46" s="1"/>
  <c r="J36" i="81"/>
  <c r="H70" i="90" s="1"/>
  <c r="AF46" i="77"/>
  <c r="AG46" s="1"/>
  <c r="AI46" s="1"/>
  <c r="F16" i="81"/>
  <c r="D71" i="90" s="1"/>
  <c r="H47" i="77"/>
  <c r="N16" i="81"/>
  <c r="F71" i="90" s="1"/>
  <c r="T47" i="77"/>
  <c r="J37" i="81"/>
  <c r="H71" i="90" s="1"/>
  <c r="AF47" i="77"/>
  <c r="O58"/>
  <c r="Q58" s="1"/>
  <c r="N8" i="78" s="1"/>
  <c r="D128" i="90" s="1"/>
  <c r="W58" i="77"/>
  <c r="L14" i="78"/>
  <c r="D108" i="90" s="1"/>
  <c r="W64" i="77"/>
  <c r="C56" i="100"/>
  <c r="I56" s="1"/>
  <c r="Q56" s="1"/>
  <c r="N25" i="88"/>
  <c r="O25" s="1"/>
  <c r="C57" i="100"/>
  <c r="I57" s="1"/>
  <c r="Q57" s="1"/>
  <c r="N26" i="88"/>
  <c r="O26" s="1"/>
  <c r="C58" i="100"/>
  <c r="N27" i="88"/>
  <c r="Z28"/>
  <c r="AA28" s="1"/>
  <c r="AA27"/>
  <c r="AL28"/>
  <c r="AM28" s="1"/>
  <c r="AM27"/>
  <c r="C60" i="100"/>
  <c r="N29" i="88"/>
  <c r="C61" i="100"/>
  <c r="N30" i="88"/>
  <c r="O30" s="1"/>
  <c r="C62" i="100"/>
  <c r="I62" s="1"/>
  <c r="Q62" s="1"/>
  <c r="N31" i="88"/>
  <c r="C64" i="100"/>
  <c r="N42" i="88"/>
  <c r="O42" s="1"/>
  <c r="C64" i="101"/>
  <c r="K64" s="1"/>
  <c r="Q64" s="1"/>
  <c r="Z42" i="88"/>
  <c r="AA42" s="1"/>
  <c r="C65" i="100"/>
  <c r="I65" s="1"/>
  <c r="Q65" s="1"/>
  <c r="N43" i="88"/>
  <c r="Z44"/>
  <c r="AA44" s="1"/>
  <c r="AA43"/>
  <c r="AL44"/>
  <c r="AM44" s="1"/>
  <c r="AM43"/>
  <c r="C67" i="100"/>
  <c r="I67" s="1"/>
  <c r="Q67" s="1"/>
  <c r="N45" i="88"/>
  <c r="C67" i="101"/>
  <c r="K67" s="1"/>
  <c r="Q67" s="1"/>
  <c r="Z45" i="88"/>
  <c r="H71" i="74"/>
  <c r="AA71" s="1"/>
  <c r="AM71" s="1"/>
  <c r="H46" i="88"/>
  <c r="I46" s="1"/>
  <c r="F16" i="86"/>
  <c r="D71" i="91" s="1"/>
  <c r="H47" i="88"/>
  <c r="C28" i="108"/>
  <c r="I28" s="1"/>
  <c r="Q28" s="1"/>
  <c r="T47" i="88"/>
  <c r="I7" i="80"/>
  <c r="E37" i="90" s="1"/>
  <c r="N25" i="77"/>
  <c r="O25" s="1"/>
  <c r="Q25" s="1"/>
  <c r="G24" i="80"/>
  <c r="G51" i="90" s="1"/>
  <c r="Z25" i="77"/>
  <c r="AA25" s="1"/>
  <c r="AC25" s="1"/>
  <c r="O24" i="80"/>
  <c r="I51" i="90" s="1"/>
  <c r="AL25" i="77"/>
  <c r="AM25" s="1"/>
  <c r="AO25" s="1"/>
  <c r="I8" i="80"/>
  <c r="E38" i="90" s="1"/>
  <c r="N26" i="77"/>
  <c r="O26" s="1"/>
  <c r="Q26" s="1"/>
  <c r="G25" i="80"/>
  <c r="G52" i="90" s="1"/>
  <c r="Z26" i="77"/>
  <c r="AA26" s="1"/>
  <c r="AC26" s="1"/>
  <c r="O25" i="80"/>
  <c r="I52" i="90" s="1"/>
  <c r="AL26" i="77"/>
  <c r="AM26" s="1"/>
  <c r="AO26" s="1"/>
  <c r="N28"/>
  <c r="O28" s="1"/>
  <c r="Q28" s="1"/>
  <c r="O27"/>
  <c r="Q27" s="1"/>
  <c r="Z28"/>
  <c r="AA28" s="1"/>
  <c r="AC28" s="1"/>
  <c r="AA27"/>
  <c r="AC27" s="1"/>
  <c r="AL28"/>
  <c r="AM28" s="1"/>
  <c r="AO28" s="1"/>
  <c r="AM27"/>
  <c r="AO27" s="1"/>
  <c r="I12" i="80"/>
  <c r="E42" i="90" s="1"/>
  <c r="N30" i="77"/>
  <c r="O30" s="1"/>
  <c r="Q30" s="1"/>
  <c r="G29" i="80"/>
  <c r="G56" i="90" s="1"/>
  <c r="Z30" i="77"/>
  <c r="AA30" s="1"/>
  <c r="AC30" s="1"/>
  <c r="M29" i="80"/>
  <c r="I42" i="90" s="1"/>
  <c r="AL30" i="77"/>
  <c r="AM30" s="1"/>
  <c r="AO30" s="1"/>
  <c r="I13" i="80"/>
  <c r="E43" i="90" s="1"/>
  <c r="N31" i="77"/>
  <c r="E30" i="80"/>
  <c r="G43" i="90" s="1"/>
  <c r="Z31" i="77"/>
  <c r="M30" i="80"/>
  <c r="I43" i="90" s="1"/>
  <c r="AL31" i="77"/>
  <c r="L8" i="81"/>
  <c r="E81" i="90" s="1"/>
  <c r="N42" i="77"/>
  <c r="O42" s="1"/>
  <c r="Q42" s="1"/>
  <c r="F29" i="81"/>
  <c r="G63" i="90" s="1"/>
  <c r="Z42" i="77"/>
  <c r="AA42" s="1"/>
  <c r="AC42" s="1"/>
  <c r="N29" i="81"/>
  <c r="I63" i="90" s="1"/>
  <c r="AL42" i="77"/>
  <c r="AM42" s="1"/>
  <c r="AO42" s="1"/>
  <c r="N44"/>
  <c r="O44" s="1"/>
  <c r="Q44" s="1"/>
  <c r="O43"/>
  <c r="Q43" s="1"/>
  <c r="Z44"/>
  <c r="AA44" s="1"/>
  <c r="AC44" s="1"/>
  <c r="AA43"/>
  <c r="AC43" s="1"/>
  <c r="AL44"/>
  <c r="AM44" s="1"/>
  <c r="AO44" s="1"/>
  <c r="AM43"/>
  <c r="AO43" s="1"/>
  <c r="J11" i="81"/>
  <c r="E66" i="90" s="1"/>
  <c r="N45" i="77"/>
  <c r="F32" i="81"/>
  <c r="G66" i="90" s="1"/>
  <c r="Z45" i="77"/>
  <c r="N32" i="81"/>
  <c r="I66" i="90" s="1"/>
  <c r="AL45" i="77"/>
  <c r="J15" i="81"/>
  <c r="E70" i="90" s="1"/>
  <c r="N46" i="77"/>
  <c r="O46" s="1"/>
  <c r="Q46" s="1"/>
  <c r="F36" i="81"/>
  <c r="G70" i="90" s="1"/>
  <c r="Z46" i="77"/>
  <c r="AA46" s="1"/>
  <c r="AC46" s="1"/>
  <c r="N36" i="81"/>
  <c r="I70" i="90" s="1"/>
  <c r="AL46" i="77"/>
  <c r="AM46" s="1"/>
  <c r="AO46" s="1"/>
  <c r="J16" i="81"/>
  <c r="E71" i="90" s="1"/>
  <c r="N47" i="77"/>
  <c r="F37" i="81"/>
  <c r="G71" i="90" s="1"/>
  <c r="Z47" i="77"/>
  <c r="N37" i="81"/>
  <c r="I71" i="90" s="1"/>
  <c r="AL47" i="77"/>
  <c r="O57"/>
  <c r="Q57" s="1"/>
  <c r="N7" i="78" s="1"/>
  <c r="D127" i="90" s="1"/>
  <c r="W57" i="77"/>
  <c r="O63"/>
  <c r="Q63" s="1"/>
  <c r="N13" i="78" s="1"/>
  <c r="D133" i="90" s="1"/>
  <c r="W63" i="77"/>
  <c r="L15" i="78"/>
  <c r="D109" i="90" s="1"/>
  <c r="W65" i="77"/>
  <c r="C15" i="108"/>
  <c r="I15" s="1"/>
  <c r="Q15" s="1"/>
  <c r="T25" i="88"/>
  <c r="U25" s="1"/>
  <c r="C16" i="108"/>
  <c r="I16" s="1"/>
  <c r="Q16" s="1"/>
  <c r="T26" i="88"/>
  <c r="U26" s="1"/>
  <c r="I27"/>
  <c r="K27" s="1"/>
  <c r="H28"/>
  <c r="T27"/>
  <c r="AF27"/>
  <c r="T29"/>
  <c r="C19" i="108" s="1"/>
  <c r="I19" s="1"/>
  <c r="Q19" s="1"/>
  <c r="AF29" i="88"/>
  <c r="C60" i="104" s="1"/>
  <c r="O60" s="1"/>
  <c r="Q60" s="1"/>
  <c r="H30" i="88"/>
  <c r="T30"/>
  <c r="U30" s="1"/>
  <c r="N61" i="74" s="1"/>
  <c r="AE61" s="1"/>
  <c r="AQ61" s="1"/>
  <c r="AF30" i="88"/>
  <c r="AG30" s="1"/>
  <c r="H31"/>
  <c r="C62" i="98" s="1"/>
  <c r="E62" s="1"/>
  <c r="Q62" s="1"/>
  <c r="T31" i="88"/>
  <c r="C21" i="108" s="1"/>
  <c r="I21" s="1"/>
  <c r="Q21" s="1"/>
  <c r="AF31" i="88"/>
  <c r="C62" i="104" s="1"/>
  <c r="O62" s="1"/>
  <c r="Q62" s="1"/>
  <c r="H42" i="88"/>
  <c r="I42" s="1"/>
  <c r="X8" i="89" s="1"/>
  <c r="AF42" i="88"/>
  <c r="AG42" s="1"/>
  <c r="X93" i="89" s="1"/>
  <c r="H43" i="88"/>
  <c r="T44"/>
  <c r="U44" s="1"/>
  <c r="U43"/>
  <c r="AF43"/>
  <c r="H45"/>
  <c r="C67" i="98" s="1"/>
  <c r="E67" s="1"/>
  <c r="Q67" s="1"/>
  <c r="AF45" i="88"/>
  <c r="C67" i="104" s="1"/>
  <c r="O67" s="1"/>
  <c r="Q67" s="1"/>
  <c r="N46" i="88"/>
  <c r="O46" s="1"/>
  <c r="Z46"/>
  <c r="AA46" s="1"/>
  <c r="N47"/>
  <c r="C69" i="100" s="1"/>
  <c r="I69" s="1"/>
  <c r="Q69" s="1"/>
  <c r="P72" i="74"/>
  <c r="AF72" s="1"/>
  <c r="AR72" s="1"/>
  <c r="Z47" i="88"/>
  <c r="U80" i="89" s="1"/>
  <c r="O61" i="77"/>
  <c r="Q61" s="1"/>
  <c r="N11" i="78" s="1"/>
  <c r="D131" i="90" s="1"/>
  <c r="W61" i="77"/>
  <c r="O59"/>
  <c r="Q59" s="1"/>
  <c r="N9" i="78" s="1"/>
  <c r="D129" i="90" s="1"/>
  <c r="W59" i="77"/>
  <c r="O60"/>
  <c r="Q60" s="1"/>
  <c r="N10" i="78" s="1"/>
  <c r="D130" i="90" s="1"/>
  <c r="W60" i="77"/>
  <c r="K30" i="54"/>
  <c r="L15" i="75"/>
  <c r="H67" i="88" s="1"/>
  <c r="T67" s="1"/>
  <c r="C56" i="104"/>
  <c r="O56" s="1"/>
  <c r="Q56" s="1"/>
  <c r="O91" i="89"/>
  <c r="C57" i="104"/>
  <c r="O57" s="1"/>
  <c r="Q57" s="1"/>
  <c r="O92" i="89"/>
  <c r="G13" i="92"/>
  <c r="T13" s="1"/>
  <c r="AF13" s="1"/>
  <c r="I25" i="58"/>
  <c r="O16" i="24"/>
  <c r="C46" i="100"/>
  <c r="I46" s="1"/>
  <c r="Q46" s="1"/>
  <c r="J38" i="86"/>
  <c r="H71" i="91" s="1"/>
  <c r="C69" i="104"/>
  <c r="O69" s="1"/>
  <c r="Q69" s="1"/>
  <c r="C78" i="98"/>
  <c r="E78" s="1"/>
  <c r="Q78" s="1"/>
  <c r="T65" i="88"/>
  <c r="H16" i="83"/>
  <c r="T66" i="88"/>
  <c r="I29" i="83"/>
  <c r="S71" i="74"/>
  <c r="AH71" s="1"/>
  <c r="AT71" s="1"/>
  <c r="C68" i="104"/>
  <c r="O68" s="1"/>
  <c r="Q68" s="1"/>
  <c r="J37" i="84"/>
  <c r="H13" i="91" s="1"/>
  <c r="C54" i="104"/>
  <c r="O54" s="1"/>
  <c r="Q54" s="1"/>
  <c r="A6" i="101"/>
  <c r="A10"/>
  <c r="A14"/>
  <c r="A18"/>
  <c r="A22"/>
  <c r="A26"/>
  <c r="A30"/>
  <c r="A34"/>
  <c r="A38"/>
  <c r="A42"/>
  <c r="A46"/>
  <c r="A50"/>
  <c r="A54"/>
  <c r="A58"/>
  <c r="A62"/>
  <c r="A66"/>
  <c r="A70"/>
  <c r="A74"/>
  <c r="A78"/>
  <c r="A82"/>
  <c r="A7"/>
  <c r="A11"/>
  <c r="A15"/>
  <c r="A19"/>
  <c r="A23"/>
  <c r="A27"/>
  <c r="A31"/>
  <c r="A35"/>
  <c r="A39"/>
  <c r="A43"/>
  <c r="A47"/>
  <c r="A51"/>
  <c r="A55"/>
  <c r="A59"/>
  <c r="A63"/>
  <c r="A67"/>
  <c r="A71"/>
  <c r="A75"/>
  <c r="A79"/>
  <c r="A83"/>
  <c r="A9"/>
  <c r="A13"/>
  <c r="A17"/>
  <c r="A21"/>
  <c r="A25"/>
  <c r="A29"/>
  <c r="A33"/>
  <c r="A37"/>
  <c r="A41"/>
  <c r="A45"/>
  <c r="A49"/>
  <c r="A53"/>
  <c r="A57"/>
  <c r="A61"/>
  <c r="A65"/>
  <c r="A69"/>
  <c r="A73"/>
  <c r="A77"/>
  <c r="A81"/>
  <c r="A8"/>
  <c r="A12"/>
  <c r="A16"/>
  <c r="A20"/>
  <c r="A24"/>
  <c r="A28"/>
  <c r="A32"/>
  <c r="A36"/>
  <c r="A40"/>
  <c r="A44"/>
  <c r="A48"/>
  <c r="A52"/>
  <c r="A56"/>
  <c r="A60"/>
  <c r="A64"/>
  <c r="A68"/>
  <c r="A72"/>
  <c r="A76"/>
  <c r="A80"/>
  <c r="A5"/>
  <c r="C24" i="108"/>
  <c r="I24" s="1"/>
  <c r="Q24" s="1"/>
  <c r="C26"/>
  <c r="I26" s="1"/>
  <c r="Q26" s="1"/>
  <c r="C27" i="109"/>
  <c r="O27" s="1"/>
  <c r="Q27" s="1"/>
  <c r="W10" i="74"/>
  <c r="AK10" s="1"/>
  <c r="AW10" s="1"/>
  <c r="I114" i="89"/>
  <c r="C6" i="109"/>
  <c r="O6" s="1"/>
  <c r="Q6" s="1"/>
  <c r="O47" i="104"/>
  <c r="Q47" s="1"/>
  <c r="I121" i="89"/>
  <c r="C13" i="109"/>
  <c r="O13" s="1"/>
  <c r="Q13" s="1"/>
  <c r="V56" i="74"/>
  <c r="AJ56" s="1"/>
  <c r="AV56" s="1"/>
  <c r="C15" i="109"/>
  <c r="O15" s="1"/>
  <c r="Q15" s="1"/>
  <c r="V65" i="74"/>
  <c r="AJ65" s="1"/>
  <c r="AV65" s="1"/>
  <c r="C24" i="109"/>
  <c r="O24" s="1"/>
  <c r="Q24" s="1"/>
  <c r="I18" i="87"/>
  <c r="I20"/>
  <c r="I115" i="89"/>
  <c r="O48" i="104"/>
  <c r="Q48" s="1"/>
  <c r="C7" i="109"/>
  <c r="O7" s="1"/>
  <c r="Q7" s="1"/>
  <c r="V50" i="74"/>
  <c r="AJ50" s="1"/>
  <c r="AV50" s="1"/>
  <c r="O50" i="104"/>
  <c r="Q50" s="1"/>
  <c r="C9" i="109"/>
  <c r="O9" s="1"/>
  <c r="Q9" s="1"/>
  <c r="I55" i="100"/>
  <c r="Q55" s="1"/>
  <c r="C14" i="108"/>
  <c r="I14" s="1"/>
  <c r="Q14" s="1"/>
  <c r="I64" i="100"/>
  <c r="Q64" s="1"/>
  <c r="C23" i="108"/>
  <c r="I23" s="1"/>
  <c r="Q23" s="1"/>
  <c r="J72" i="74"/>
  <c r="AB72" s="1"/>
  <c r="AN72" s="1"/>
  <c r="V72"/>
  <c r="AJ72" s="1"/>
  <c r="AV72" s="1"/>
  <c r="C28" i="109"/>
  <c r="O28" s="1"/>
  <c r="Q28" s="1"/>
  <c r="V58" i="74"/>
  <c r="AJ58" s="1"/>
  <c r="AV58" s="1"/>
  <c r="C17" i="109"/>
  <c r="O17" s="1"/>
  <c r="Q17" s="1"/>
  <c r="V60" i="74"/>
  <c r="AJ60" s="1"/>
  <c r="AV60" s="1"/>
  <c r="C19" i="109"/>
  <c r="O19" s="1"/>
  <c r="Q19" s="1"/>
  <c r="V62" i="74"/>
  <c r="AJ62" s="1"/>
  <c r="AV62" s="1"/>
  <c r="C21" i="109"/>
  <c r="O21" s="1"/>
  <c r="Q21" s="1"/>
  <c r="N33" i="86"/>
  <c r="I66" i="91" s="1"/>
  <c r="C26" i="109"/>
  <c r="O26" s="1"/>
  <c r="Q26" s="1"/>
  <c r="V46" i="74"/>
  <c r="AJ46" s="1"/>
  <c r="AV46" s="1"/>
  <c r="O46" i="104"/>
  <c r="Q46" s="1"/>
  <c r="C5" i="109"/>
  <c r="O5" s="1"/>
  <c r="Q5" s="1"/>
  <c r="V51" i="74"/>
  <c r="AJ51" s="1"/>
  <c r="AV51" s="1"/>
  <c r="C10" i="109"/>
  <c r="O10" s="1"/>
  <c r="Q10" s="1"/>
  <c r="O51" i="104"/>
  <c r="Q51" s="1"/>
  <c r="C12" i="109"/>
  <c r="O12" s="1"/>
  <c r="Q12" s="1"/>
  <c r="O53" i="104"/>
  <c r="Q53" s="1"/>
  <c r="V55" i="74"/>
  <c r="AJ55" s="1"/>
  <c r="AV55" s="1"/>
  <c r="O55" i="104"/>
  <c r="Q55" s="1"/>
  <c r="C14" i="109"/>
  <c r="O14" s="1"/>
  <c r="Q14" s="1"/>
  <c r="C16"/>
  <c r="O16" s="1"/>
  <c r="Q16" s="1"/>
  <c r="R121" i="89"/>
  <c r="C20" i="109"/>
  <c r="O20" s="1"/>
  <c r="Q20" s="1"/>
  <c r="C23"/>
  <c r="O23" s="1"/>
  <c r="Q23" s="1"/>
  <c r="N71" i="74"/>
  <c r="AE71" s="1"/>
  <c r="AQ71" s="1"/>
  <c r="C27" i="108"/>
  <c r="I27" s="1"/>
  <c r="Q27" s="1"/>
  <c r="A15"/>
  <c r="A16"/>
  <c r="A29"/>
  <c r="A6"/>
  <c r="A9"/>
  <c r="A24"/>
  <c r="A11"/>
  <c r="A27"/>
  <c r="A10"/>
  <c r="A25"/>
  <c r="A18"/>
  <c r="A32"/>
  <c r="A28"/>
  <c r="A7"/>
  <c r="A23"/>
  <c r="A31"/>
  <c r="A5"/>
  <c r="A26"/>
  <c r="A30"/>
  <c r="A20"/>
  <c r="A33"/>
  <c r="A13"/>
  <c r="A17"/>
  <c r="A19"/>
  <c r="A21"/>
  <c r="A22"/>
  <c r="A14"/>
  <c r="A8"/>
  <c r="A12"/>
  <c r="T10" i="74"/>
  <c r="AI10" s="1"/>
  <c r="AU10" s="1"/>
  <c r="Q14"/>
  <c r="AG14" s="1"/>
  <c r="AS14" s="1"/>
  <c r="J65"/>
  <c r="AB65" s="1"/>
  <c r="AN65" s="1"/>
  <c r="N10"/>
  <c r="AE10" s="1"/>
  <c r="AQ10" s="1"/>
  <c r="W14"/>
  <c r="AK14" s="1"/>
  <c r="AW14" s="1"/>
  <c r="S67"/>
  <c r="AH67" s="1"/>
  <c r="AT67" s="1"/>
  <c r="Q10"/>
  <c r="AG10" s="1"/>
  <c r="AS10" s="1"/>
  <c r="N14"/>
  <c r="AE14" s="1"/>
  <c r="AQ14" s="1"/>
  <c r="K10"/>
  <c r="AC10" s="1"/>
  <c r="AO10" s="1"/>
  <c r="T14"/>
  <c r="AI14" s="1"/>
  <c r="AU14" s="1"/>
  <c r="P65"/>
  <c r="AF65" s="1"/>
  <c r="AR65" s="1"/>
  <c r="C65" i="101"/>
  <c r="K65" s="1"/>
  <c r="Q65" s="1"/>
  <c r="P50" i="74"/>
  <c r="AF50" s="1"/>
  <c r="AR50" s="1"/>
  <c r="C50" i="101"/>
  <c r="K50" s="1"/>
  <c r="Q50" s="1"/>
  <c r="I11" i="88"/>
  <c r="H51" i="74" s="1"/>
  <c r="AA51" s="1"/>
  <c r="AM51" s="1"/>
  <c r="C51" i="98"/>
  <c r="E51" s="1"/>
  <c r="Q51" s="1"/>
  <c r="AG11" i="88"/>
  <c r="T51" i="74" s="1"/>
  <c r="AI51" s="1"/>
  <c r="AU51" s="1"/>
  <c r="G53"/>
  <c r="Z53" s="1"/>
  <c r="AL53" s="1"/>
  <c r="C53" i="98"/>
  <c r="E53" s="1"/>
  <c r="Q53" s="1"/>
  <c r="I99" i="89"/>
  <c r="I58"/>
  <c r="I54" i="100"/>
  <c r="Q54" s="1"/>
  <c r="G55" i="74"/>
  <c r="Z55" s="1"/>
  <c r="AL55" s="1"/>
  <c r="C55" i="98"/>
  <c r="E55" s="1"/>
  <c r="Q55" s="1"/>
  <c r="M62" i="74"/>
  <c r="AD62" s="1"/>
  <c r="AP62" s="1"/>
  <c r="J87"/>
  <c r="AB87" s="1"/>
  <c r="AN87" s="1"/>
  <c r="J89"/>
  <c r="AB89" s="1"/>
  <c r="AN89" s="1"/>
  <c r="J91"/>
  <c r="AB91" s="1"/>
  <c r="AN91" s="1"/>
  <c r="J93"/>
  <c r="AB93" s="1"/>
  <c r="AN93" s="1"/>
  <c r="I71" i="89"/>
  <c r="C46" i="101"/>
  <c r="K46" s="1"/>
  <c r="Q46" s="1"/>
  <c r="J60" i="74"/>
  <c r="AB60" s="1"/>
  <c r="AN60" s="1"/>
  <c r="J98"/>
  <c r="AB98" s="1"/>
  <c r="AN98" s="1"/>
  <c r="N7" i="84"/>
  <c r="F5" i="91" s="1"/>
  <c r="I9" i="89"/>
  <c r="C47" i="98"/>
  <c r="E47" s="1"/>
  <c r="Q47" s="1"/>
  <c r="I93" i="89"/>
  <c r="I31"/>
  <c r="J50" i="74"/>
  <c r="AB50" s="1"/>
  <c r="AN50" s="1"/>
  <c r="M51"/>
  <c r="AD51" s="1"/>
  <c r="AP51" s="1"/>
  <c r="I51" i="100"/>
  <c r="Q51" s="1"/>
  <c r="M53" i="74"/>
  <c r="AD53" s="1"/>
  <c r="AP53" s="1"/>
  <c r="I53" i="100"/>
  <c r="Q53" s="1"/>
  <c r="I16" i="89"/>
  <c r="C54" i="98"/>
  <c r="E54" s="1"/>
  <c r="Q54" s="1"/>
  <c r="I100" i="89"/>
  <c r="G56" i="74"/>
  <c r="Z56" s="1"/>
  <c r="AL56" s="1"/>
  <c r="C56" i="98"/>
  <c r="E56" s="1"/>
  <c r="Q56" s="1"/>
  <c r="K24" i="85"/>
  <c r="H51" i="91" s="1"/>
  <c r="R50" i="89"/>
  <c r="G58" i="74"/>
  <c r="Z58" s="1"/>
  <c r="AL58" s="1"/>
  <c r="C58" i="98"/>
  <c r="E58" s="1"/>
  <c r="Q58" s="1"/>
  <c r="S58" i="74"/>
  <c r="AH58" s="1"/>
  <c r="AT58" s="1"/>
  <c r="G60"/>
  <c r="Z60" s="1"/>
  <c r="AL60" s="1"/>
  <c r="C60" i="98"/>
  <c r="E60" s="1"/>
  <c r="Q60" s="1"/>
  <c r="I61" i="100"/>
  <c r="Q61" s="1"/>
  <c r="H7" i="83"/>
  <c r="C102" i="91" s="1"/>
  <c r="C70" i="98"/>
  <c r="E70" s="1"/>
  <c r="Q70" s="1"/>
  <c r="G77" i="74"/>
  <c r="Z77" s="1"/>
  <c r="AL77" s="1"/>
  <c r="C74" i="98"/>
  <c r="E74" s="1"/>
  <c r="Q74" s="1"/>
  <c r="L12" i="83"/>
  <c r="D107" i="91" s="1"/>
  <c r="G80" i="74"/>
  <c r="Z80" s="1"/>
  <c r="AL80" s="1"/>
  <c r="C77" i="98"/>
  <c r="E77" s="1"/>
  <c r="Q77" s="1"/>
  <c r="H15" i="83"/>
  <c r="C110" i="91" s="1"/>
  <c r="J86" i="74"/>
  <c r="AB86" s="1"/>
  <c r="AN86" s="1"/>
  <c r="J88"/>
  <c r="AB88" s="1"/>
  <c r="AN88" s="1"/>
  <c r="N34" i="84"/>
  <c r="I10" i="91" s="1"/>
  <c r="F7" i="84"/>
  <c r="D5" i="91" s="1"/>
  <c r="C46" i="98"/>
  <c r="E46" s="1"/>
  <c r="Q46" s="1"/>
  <c r="I92" i="89"/>
  <c r="I51"/>
  <c r="I47" i="100"/>
  <c r="Q47" s="1"/>
  <c r="M56" i="74"/>
  <c r="AD56" s="1"/>
  <c r="AP56" s="1"/>
  <c r="E8" i="85"/>
  <c r="D38" i="91" s="1"/>
  <c r="C57" i="98"/>
  <c r="E57" s="1"/>
  <c r="Q57" s="1"/>
  <c r="K25" i="85"/>
  <c r="H52" i="91" s="1"/>
  <c r="I58" i="100"/>
  <c r="Q58" s="1"/>
  <c r="I60"/>
  <c r="Q60" s="1"/>
  <c r="J76" i="74"/>
  <c r="AB76" s="1"/>
  <c r="AN76" s="1"/>
  <c r="J80"/>
  <c r="AB80" s="1"/>
  <c r="AN80" s="1"/>
  <c r="J81"/>
  <c r="AB81" s="1"/>
  <c r="AN81" s="1"/>
  <c r="O7" i="88"/>
  <c r="K47" i="74" s="1"/>
  <c r="AC47" s="1"/>
  <c r="AO47" s="1"/>
  <c r="I52" i="89"/>
  <c r="I48" i="100"/>
  <c r="Q48" s="1"/>
  <c r="U10" i="88"/>
  <c r="I50" i="100"/>
  <c r="Q50" s="1"/>
  <c r="P51" i="74"/>
  <c r="AF51" s="1"/>
  <c r="AR51" s="1"/>
  <c r="C51" i="101"/>
  <c r="K51" s="1"/>
  <c r="Q51" s="1"/>
  <c r="O14" i="88"/>
  <c r="K54" i="74" s="1"/>
  <c r="AC54" s="1"/>
  <c r="AO54" s="1"/>
  <c r="P57"/>
  <c r="AF57" s="1"/>
  <c r="AR57" s="1"/>
  <c r="C57" i="101"/>
  <c r="K57" s="1"/>
  <c r="Q57" s="1"/>
  <c r="J58" i="74"/>
  <c r="AB58" s="1"/>
  <c r="AN58" s="1"/>
  <c r="P61"/>
  <c r="AF61" s="1"/>
  <c r="AR61" s="1"/>
  <c r="C61" i="101"/>
  <c r="K61" s="1"/>
  <c r="Q61" s="1"/>
  <c r="H10" i="83"/>
  <c r="C105" i="91" s="1"/>
  <c r="C73" i="98"/>
  <c r="E73" s="1"/>
  <c r="Q73" s="1"/>
  <c r="L11" i="83"/>
  <c r="D106" i="91" s="1"/>
  <c r="J79" i="74"/>
  <c r="AB79" s="1"/>
  <c r="AN79" s="1"/>
  <c r="I90" i="88"/>
  <c r="H87" i="74" s="1"/>
  <c r="AA87" s="1"/>
  <c r="AM87" s="1"/>
  <c r="C84" i="98"/>
  <c r="E84" s="1"/>
  <c r="Q84" s="1"/>
  <c r="J96" i="74"/>
  <c r="AB96" s="1"/>
  <c r="AN96" s="1"/>
  <c r="J46"/>
  <c r="AB46" s="1"/>
  <c r="AN46" s="1"/>
  <c r="P47"/>
  <c r="AF47" s="1"/>
  <c r="AR47" s="1"/>
  <c r="C47" i="101"/>
  <c r="K47" s="1"/>
  <c r="Q47" s="1"/>
  <c r="I10" i="88"/>
  <c r="C50" i="98"/>
  <c r="E50" s="1"/>
  <c r="Q50" s="1"/>
  <c r="J12" i="84"/>
  <c r="E10" i="91" s="1"/>
  <c r="I79" i="89"/>
  <c r="C54" i="101"/>
  <c r="K54" s="1"/>
  <c r="Q54" s="1"/>
  <c r="P56" i="74"/>
  <c r="AF56" s="1"/>
  <c r="AR56" s="1"/>
  <c r="C56" i="101"/>
  <c r="K56" s="1"/>
  <c r="Q56" s="1"/>
  <c r="J57" i="74"/>
  <c r="AB57" s="1"/>
  <c r="AN57" s="1"/>
  <c r="P58"/>
  <c r="AF58" s="1"/>
  <c r="AR58" s="1"/>
  <c r="C58" i="101"/>
  <c r="K58" s="1"/>
  <c r="Q58" s="1"/>
  <c r="P60" i="74"/>
  <c r="AF60" s="1"/>
  <c r="AR60" s="1"/>
  <c r="C60" i="101"/>
  <c r="K60" s="1"/>
  <c r="Q60" s="1"/>
  <c r="K61" i="74"/>
  <c r="AC61" s="1"/>
  <c r="AO61" s="1"/>
  <c r="P62"/>
  <c r="AF62" s="1"/>
  <c r="AR62" s="1"/>
  <c r="C62" i="101"/>
  <c r="K62" s="1"/>
  <c r="Q62" s="1"/>
  <c r="C71" i="98"/>
  <c r="E71" s="1"/>
  <c r="Q71" s="1"/>
  <c r="H8" i="83"/>
  <c r="C103" i="91" s="1"/>
  <c r="H12" i="83"/>
  <c r="C107" i="91" s="1"/>
  <c r="C75" i="98"/>
  <c r="E75" s="1"/>
  <c r="Q75" s="1"/>
  <c r="G79" i="74"/>
  <c r="Z79" s="1"/>
  <c r="AL79" s="1"/>
  <c r="C76" i="98"/>
  <c r="E76" s="1"/>
  <c r="Q76" s="1"/>
  <c r="I91" i="88"/>
  <c r="H88" i="74" s="1"/>
  <c r="AA88" s="1"/>
  <c r="AM88" s="1"/>
  <c r="C85" i="98"/>
  <c r="E85" s="1"/>
  <c r="Q85" s="1"/>
  <c r="J97" i="74"/>
  <c r="AB97" s="1"/>
  <c r="AN97" s="1"/>
  <c r="J99"/>
  <c r="AB99" s="1"/>
  <c r="AN99" s="1"/>
  <c r="E18" i="87"/>
  <c r="L14" i="83"/>
  <c r="D109" i="91" s="1"/>
  <c r="E20" i="87"/>
  <c r="O65" i="88"/>
  <c r="N12" i="86"/>
  <c r="F67" i="91" s="1"/>
  <c r="G68" i="74"/>
  <c r="Z68" s="1"/>
  <c r="AL68" s="1"/>
  <c r="C68" i="98"/>
  <c r="E68" s="1"/>
  <c r="Q68" s="1"/>
  <c r="G70" i="74"/>
  <c r="Z70" s="1"/>
  <c r="AL70" s="1"/>
  <c r="J36" i="86"/>
  <c r="H69" i="91" s="1"/>
  <c r="P68" i="74"/>
  <c r="AF68" s="1"/>
  <c r="AR68" s="1"/>
  <c r="P70"/>
  <c r="AF70" s="1"/>
  <c r="AR70" s="1"/>
  <c r="J68"/>
  <c r="AB68" s="1"/>
  <c r="AN68" s="1"/>
  <c r="J70"/>
  <c r="AB70" s="1"/>
  <c r="AN70" s="1"/>
  <c r="N64"/>
  <c r="AE64" s="1"/>
  <c r="AQ64" s="1"/>
  <c r="U50" i="89"/>
  <c r="N30" i="86"/>
  <c r="I63" i="91" s="1"/>
  <c r="U113" i="89"/>
  <c r="F30" i="86"/>
  <c r="G63" i="91" s="1"/>
  <c r="U71" i="89"/>
  <c r="J8" i="86"/>
  <c r="E63" i="91" s="1"/>
  <c r="U29" i="89"/>
  <c r="U92"/>
  <c r="G64" i="74"/>
  <c r="Z64" s="1"/>
  <c r="AL64" s="1"/>
  <c r="U8" i="89"/>
  <c r="N14" i="86"/>
  <c r="F69" i="91" s="1"/>
  <c r="C63" i="98"/>
  <c r="E63" s="1"/>
  <c r="Q63" s="1"/>
  <c r="H7" i="81"/>
  <c r="D80" i="90" s="1"/>
  <c r="O63" i="88"/>
  <c r="K79" i="74" s="1"/>
  <c r="AC79" s="1"/>
  <c r="AO79" s="1"/>
  <c r="J74"/>
  <c r="AB74" s="1"/>
  <c r="AN74" s="1"/>
  <c r="H14" i="83"/>
  <c r="C109" i="91" s="1"/>
  <c r="F34" i="86"/>
  <c r="G67" i="91" s="1"/>
  <c r="J73" i="74"/>
  <c r="AB73" s="1"/>
  <c r="AN73" s="1"/>
  <c r="K75"/>
  <c r="AC75" s="1"/>
  <c r="AO75" s="1"/>
  <c r="L13" i="83"/>
  <c r="D108" i="91" s="1"/>
  <c r="N7" i="86"/>
  <c r="F62" i="91" s="1"/>
  <c r="H59" i="77"/>
  <c r="I59" s="1"/>
  <c r="K59" s="1"/>
  <c r="J9" i="78" s="1"/>
  <c r="C129" i="90" s="1"/>
  <c r="H58" i="77"/>
  <c r="I58" s="1"/>
  <c r="K58" s="1"/>
  <c r="J8" i="78" s="1"/>
  <c r="C128" i="90" s="1"/>
  <c r="G74" i="74"/>
  <c r="Z74" s="1"/>
  <c r="AL74" s="1"/>
  <c r="H57" i="77"/>
  <c r="I57" s="1"/>
  <c r="K57" s="1"/>
  <c r="J7" i="78" s="1"/>
  <c r="C127" i="90" s="1"/>
  <c r="G73" i="74"/>
  <c r="Z73" s="1"/>
  <c r="AL73" s="1"/>
  <c r="F15" i="86"/>
  <c r="D70" i="91" s="1"/>
  <c r="I65" i="96"/>
  <c r="I64"/>
  <c r="I63"/>
  <c r="K26" i="92"/>
  <c r="X26" s="1"/>
  <c r="AJ26" s="1"/>
  <c r="K23"/>
  <c r="X23" s="1"/>
  <c r="AJ23" s="1"/>
  <c r="K22"/>
  <c r="X22" s="1"/>
  <c r="AJ22" s="1"/>
  <c r="K21"/>
  <c r="X21" s="1"/>
  <c r="AJ21" s="1"/>
  <c r="H93" i="77"/>
  <c r="C150" i="90" s="1"/>
  <c r="H97" i="77"/>
  <c r="E15" i="82" s="1"/>
  <c r="Q20" i="92"/>
  <c r="AD20" s="1"/>
  <c r="AP20" s="1"/>
  <c r="K31" i="96"/>
  <c r="K30"/>
  <c r="K29"/>
  <c r="I31"/>
  <c r="I30"/>
  <c r="I29"/>
  <c r="Q26" i="92"/>
  <c r="AD26" s="1"/>
  <c r="AP26" s="1"/>
  <c r="Q23"/>
  <c r="AD23" s="1"/>
  <c r="AP23" s="1"/>
  <c r="Q22"/>
  <c r="AD22" s="1"/>
  <c r="AP22" s="1"/>
  <c r="Q21"/>
  <c r="AD21" s="1"/>
  <c r="AP21" s="1"/>
  <c r="K20"/>
  <c r="X20" s="1"/>
  <c r="AJ20" s="1"/>
  <c r="K65" i="96"/>
  <c r="K64"/>
  <c r="K63"/>
  <c r="G3" i="95"/>
  <c r="AF9" i="77"/>
  <c r="J31" i="79" s="1"/>
  <c r="H8" i="90" s="1"/>
  <c r="F19" i="75"/>
  <c r="L16" s="1"/>
  <c r="E25" i="85"/>
  <c r="G38" i="91" s="1"/>
  <c r="AL9" i="77"/>
  <c r="N31" i="79" s="1"/>
  <c r="I8" i="90" s="1"/>
  <c r="J29" i="84"/>
  <c r="H5" i="91" s="1"/>
  <c r="H92" i="77"/>
  <c r="I92" s="1"/>
  <c r="K92" s="1"/>
  <c r="E29" i="85"/>
  <c r="G42" i="91" s="1"/>
  <c r="E35" i="85"/>
  <c r="N38" i="86"/>
  <c r="I71" i="91" s="1"/>
  <c r="O3" i="87"/>
  <c r="K25"/>
  <c r="O11" i="88"/>
  <c r="L34" i="89" s="1"/>
  <c r="AG13" i="88"/>
  <c r="Q61" i="74"/>
  <c r="AG61" s="1"/>
  <c r="AS61" s="1"/>
  <c r="R100" i="89"/>
  <c r="F26" i="75"/>
  <c r="L18" s="1"/>
  <c r="J10" i="81"/>
  <c r="E65" i="90" s="1"/>
  <c r="N95" i="77"/>
  <c r="D152" i="90" s="1"/>
  <c r="AG6" i="88"/>
  <c r="T46" i="74" s="1"/>
  <c r="AI46" s="1"/>
  <c r="AU46" s="1"/>
  <c r="AG14" i="88"/>
  <c r="T54" i="74" s="1"/>
  <c r="AI54" s="1"/>
  <c r="AU54" s="1"/>
  <c r="K68"/>
  <c r="AC68" s="1"/>
  <c r="AO68" s="1"/>
  <c r="Q68"/>
  <c r="AG68" s="1"/>
  <c r="AS68" s="1"/>
  <c r="D160" i="91"/>
  <c r="AM10" i="77"/>
  <c r="H31" i="81"/>
  <c r="G83" i="90" s="1"/>
  <c r="M8" i="85"/>
  <c r="F38" i="91" s="1"/>
  <c r="H12" i="86"/>
  <c r="D85" i="91" s="1"/>
  <c r="T68" i="74"/>
  <c r="AI68" s="1"/>
  <c r="AU68" s="1"/>
  <c r="S53"/>
  <c r="AH53" s="1"/>
  <c r="AT53" s="1"/>
  <c r="H95" i="77"/>
  <c r="E13" i="82" s="1"/>
  <c r="L8" i="78"/>
  <c r="D102" i="90" s="1"/>
  <c r="J11" i="79"/>
  <c r="E9" i="90" s="1"/>
  <c r="P31" i="81"/>
  <c r="I83" i="90" s="1"/>
  <c r="N15" i="84"/>
  <c r="F13" i="91" s="1"/>
  <c r="M35" i="85"/>
  <c r="N34" i="86"/>
  <c r="I67" i="91" s="1"/>
  <c r="R49" i="89"/>
  <c r="Q58" i="74"/>
  <c r="AG58" s="1"/>
  <c r="AS58" s="1"/>
  <c r="J7" i="83"/>
  <c r="C128" i="91" s="1"/>
  <c r="N95" i="88"/>
  <c r="S51" i="74"/>
  <c r="AH51" s="1"/>
  <c r="AT51" s="1"/>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N46" i="74" s="1"/>
  <c r="AE46" s="1"/>
  <c r="AQ46" s="1"/>
  <c r="AA11" i="88"/>
  <c r="L76" i="89" s="1"/>
  <c r="U13" i="88"/>
  <c r="U14"/>
  <c r="N54" i="74" s="1"/>
  <c r="AE54" s="1"/>
  <c r="AQ54" s="1"/>
  <c r="I63" i="88"/>
  <c r="H79" i="74" s="1"/>
  <c r="AA79" s="1"/>
  <c r="AM79" s="1"/>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C25" i="108"/>
  <c r="I25" s="1"/>
  <c r="Q25" s="1"/>
  <c r="N9" i="86"/>
  <c r="F64" i="91" s="1"/>
  <c r="M67" i="74"/>
  <c r="AD67" s="1"/>
  <c r="AP67" s="1"/>
  <c r="N11" i="86"/>
  <c r="F66" i="91" s="1"/>
  <c r="I80" i="89"/>
  <c r="P55" i="74"/>
  <c r="AF55" s="1"/>
  <c r="AR55" s="1"/>
  <c r="L63" i="89"/>
  <c r="L28" i="92"/>
  <c r="Y28" s="1"/>
  <c r="AK28" s="1"/>
  <c r="L105" i="89"/>
  <c r="P28" i="92"/>
  <c r="AC28" s="1"/>
  <c r="AO28" s="1"/>
  <c r="L64" i="89"/>
  <c r="L29" i="92"/>
  <c r="Y29" s="1"/>
  <c r="AK29" s="1"/>
  <c r="L106" i="89"/>
  <c r="P29" i="92"/>
  <c r="AC29" s="1"/>
  <c r="AO29" s="1"/>
  <c r="L65" i="89"/>
  <c r="L30" i="92"/>
  <c r="Y30" s="1"/>
  <c r="AK30" s="1"/>
  <c r="L107" i="89"/>
  <c r="P30" i="92"/>
  <c r="AC30" s="1"/>
  <c r="AO30" s="1"/>
  <c r="O28" i="89"/>
  <c r="J56" i="74"/>
  <c r="AB56" s="1"/>
  <c r="AN56"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N57" i="74"/>
  <c r="AE57" s="1"/>
  <c r="AQ57"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J55" i="74"/>
  <c r="AB55" s="1"/>
  <c r="AN55" s="1"/>
  <c r="L42" i="89"/>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S56" i="74"/>
  <c r="AH56" s="1"/>
  <c r="AT56" s="1"/>
  <c r="O50" i="89"/>
  <c r="M57" i="74"/>
  <c r="AD57" s="1"/>
  <c r="AP57" s="1"/>
  <c r="I25" i="85"/>
  <c r="H38" i="91" s="1"/>
  <c r="S57" i="74"/>
  <c r="AH57" s="1"/>
  <c r="AT57" s="1"/>
  <c r="S60"/>
  <c r="AH60" s="1"/>
  <c r="AT60" s="1"/>
  <c r="O38" i="89"/>
  <c r="J62" i="74"/>
  <c r="AB62" s="1"/>
  <c r="AN62"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U75" i="89"/>
  <c r="P67" i="74"/>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P46" i="74"/>
  <c r="AF46" s="1"/>
  <c r="AR46" s="1"/>
  <c r="H11" i="83"/>
  <c r="C106" i="91" s="1"/>
  <c r="J7" i="86"/>
  <c r="E62" i="91" s="1"/>
  <c r="J16" i="86"/>
  <c r="E71" i="91" s="1"/>
  <c r="D158"/>
  <c r="V54" i="74"/>
  <c r="AJ54" s="1"/>
  <c r="AV54" s="1"/>
  <c r="N35" i="81"/>
  <c r="I69" i="90" s="1"/>
  <c r="L15" i="83"/>
  <c r="D110" i="91" s="1"/>
  <c r="I27" i="83"/>
  <c r="F8" i="84"/>
  <c r="D6" i="91" s="1"/>
  <c r="I9" i="85"/>
  <c r="E39" i="91" s="1"/>
  <c r="M18" i="85"/>
  <c r="M25"/>
  <c r="I38" i="91" s="1"/>
  <c r="M29" i="85"/>
  <c r="I42" i="91" s="1"/>
  <c r="E7" i="87"/>
  <c r="I12"/>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K60" s="1"/>
  <c r="G76" i="74"/>
  <c r="Z76" s="1"/>
  <c r="AL76" s="1"/>
  <c r="O61" i="88"/>
  <c r="J77" i="74"/>
  <c r="AB77" s="1"/>
  <c r="AN77" s="1"/>
  <c r="O62" i="88"/>
  <c r="J78" i="74"/>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M61" i="74"/>
  <c r="AD61" s="1"/>
  <c r="AP61" s="1"/>
  <c r="S62"/>
  <c r="AH62" s="1"/>
  <c r="AT62" s="1"/>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U59" i="89"/>
  <c r="M72" i="74"/>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M48" i="74"/>
  <c r="AD48" s="1"/>
  <c r="AP48" s="1"/>
  <c r="N93" i="77"/>
  <c r="D150" i="90" s="1"/>
  <c r="F29" i="84"/>
  <c r="G5" i="91" s="1"/>
  <c r="O29" i="85"/>
  <c r="I56" i="91" s="1"/>
  <c r="F31" i="86"/>
  <c r="G64" i="91" s="1"/>
  <c r="M54" i="74"/>
  <c r="AD54" s="1"/>
  <c r="AP54" s="1"/>
  <c r="AA10" i="77"/>
  <c r="J13" i="81"/>
  <c r="E68" i="90" s="1"/>
  <c r="N34" i="81"/>
  <c r="I68" i="90" s="1"/>
  <c r="N94" i="77"/>
  <c r="I12" i="82" s="1"/>
  <c r="L10" i="78"/>
  <c r="D104" i="90" s="1"/>
  <c r="L9" i="83"/>
  <c r="D104" i="91" s="1"/>
  <c r="N30" i="84"/>
  <c r="I6" i="91" s="1"/>
  <c r="F38" i="84"/>
  <c r="G14" i="91" s="1"/>
  <c r="I7" i="85"/>
  <c r="E37" i="91" s="1"/>
  <c r="I13" i="85"/>
  <c r="E43" i="91" s="1"/>
  <c r="I28" i="85"/>
  <c r="H41" i="91" s="1"/>
  <c r="F29" i="86"/>
  <c r="G62" i="91" s="1"/>
  <c r="N37" i="86"/>
  <c r="I70" i="91" s="1"/>
  <c r="E19" i="87"/>
  <c r="K26"/>
  <c r="U8" i="88"/>
  <c r="N48" i="74" s="1"/>
  <c r="AE48" s="1"/>
  <c r="AQ48" s="1"/>
  <c r="AM11" i="88"/>
  <c r="I14"/>
  <c r="L16" i="89" s="1"/>
  <c r="Q56" i="74"/>
  <c r="AG56" s="1"/>
  <c r="AS56" s="1"/>
  <c r="R112" i="89"/>
  <c r="Q57" i="74"/>
  <c r="AG57" s="1"/>
  <c r="AS57" s="1"/>
  <c r="K63"/>
  <c r="AC63" s="1"/>
  <c r="AO63" s="1"/>
  <c r="H29" i="86"/>
  <c r="G80" i="91" s="1"/>
  <c r="K71" i="74"/>
  <c r="AC71" s="1"/>
  <c r="AO71" s="1"/>
  <c r="Q71"/>
  <c r="AG71" s="1"/>
  <c r="AS71" s="1"/>
  <c r="W71"/>
  <c r="AK71" s="1"/>
  <c r="AW71" s="1"/>
  <c r="I61" i="88"/>
  <c r="I89"/>
  <c r="H86" i="74" s="1"/>
  <c r="AA86" s="1"/>
  <c r="AM86" s="1"/>
  <c r="O96" i="88"/>
  <c r="U38" i="89"/>
  <c r="O7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4" i="56"/>
  <c r="J26" i="92"/>
  <c r="W26" s="1"/>
  <c r="AI26" s="1"/>
  <c r="R25"/>
  <c r="AE25" s="1"/>
  <c r="AQ25" s="1"/>
  <c r="N25"/>
  <c r="AA25" s="1"/>
  <c r="AM25" s="1"/>
  <c r="O33" i="56"/>
  <c r="J25" i="92"/>
  <c r="W25" s="1"/>
  <c r="AI25" s="1"/>
  <c r="R24"/>
  <c r="AE24" s="1"/>
  <c r="AQ24" s="1"/>
  <c r="N24"/>
  <c r="AA24" s="1"/>
  <c r="AM24" s="1"/>
  <c r="O32" i="56"/>
  <c r="J24" i="92"/>
  <c r="W24" s="1"/>
  <c r="AI24" s="1"/>
  <c r="R23"/>
  <c r="AE23" s="1"/>
  <c r="AQ23" s="1"/>
  <c r="N23"/>
  <c r="AA23" s="1"/>
  <c r="AM23" s="1"/>
  <c r="O31" i="56"/>
  <c r="J23" i="92"/>
  <c r="W23" s="1"/>
  <c r="AI23" s="1"/>
  <c r="R22"/>
  <c r="AE22" s="1"/>
  <c r="AQ22" s="1"/>
  <c r="N22"/>
  <c r="AA22" s="1"/>
  <c r="AM22" s="1"/>
  <c r="O30" i="56"/>
  <c r="J22" i="92"/>
  <c r="W22" s="1"/>
  <c r="AI22" s="1"/>
  <c r="R21"/>
  <c r="AE21" s="1"/>
  <c r="AQ21" s="1"/>
  <c r="N21"/>
  <c r="AA21" s="1"/>
  <c r="AM21" s="1"/>
  <c r="O29"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8"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P14" i="74"/>
  <c r="AF14" s="1"/>
  <c r="AR14" s="1"/>
  <c r="K34" i="61"/>
  <c r="H10" i="92"/>
  <c r="U10" s="1"/>
  <c r="AG10" s="1"/>
  <c r="K30" i="61"/>
  <c r="H6" i="92"/>
  <c r="U6" s="1"/>
  <c r="AG6" s="1"/>
  <c r="P4"/>
  <c r="AC4" s="1"/>
  <c r="AO4" s="1"/>
  <c r="S28" i="61"/>
  <c r="L4" i="92"/>
  <c r="Y4" s="1"/>
  <c r="AK4" s="1"/>
  <c r="K28" i="61"/>
  <c r="H4" i="92"/>
  <c r="U4" s="1"/>
  <c r="AG4" s="1"/>
  <c r="S35" i="61"/>
  <c r="L11" i="92"/>
  <c r="Y11" s="1"/>
  <c r="AK11" s="1"/>
  <c r="P26"/>
  <c r="AC26" s="1"/>
  <c r="AO26" s="1"/>
  <c r="S34" i="56"/>
  <c r="O32" i="96" s="1"/>
  <c r="L26" i="92"/>
  <c r="Y26" s="1"/>
  <c r="AK26" s="1"/>
  <c r="K34" i="56"/>
  <c r="K32" i="96" s="1"/>
  <c r="H26" i="92"/>
  <c r="U26" s="1"/>
  <c r="AG26" s="1"/>
  <c r="P25"/>
  <c r="AC25" s="1"/>
  <c r="AO25" s="1"/>
  <c r="S33" i="56"/>
  <c r="L25" i="92"/>
  <c r="Y25" s="1"/>
  <c r="AK25" s="1"/>
  <c r="K33" i="56"/>
  <c r="H25" i="92"/>
  <c r="U25" s="1"/>
  <c r="AG25" s="1"/>
  <c r="P24"/>
  <c r="AC24" s="1"/>
  <c r="AO24" s="1"/>
  <c r="S32" i="56"/>
  <c r="L24" i="92"/>
  <c r="Y24" s="1"/>
  <c r="AK24" s="1"/>
  <c r="K32" i="56"/>
  <c r="H24" i="92"/>
  <c r="U24" s="1"/>
  <c r="AG24" s="1"/>
  <c r="P23"/>
  <c r="AC23" s="1"/>
  <c r="AO23" s="1"/>
  <c r="S31" i="56"/>
  <c r="O28" i="96" s="1"/>
  <c r="L23" i="92"/>
  <c r="Y23" s="1"/>
  <c r="AK23" s="1"/>
  <c r="K31" i="56"/>
  <c r="K28" i="96" s="1"/>
  <c r="H23" i="92"/>
  <c r="U23" s="1"/>
  <c r="AG23" s="1"/>
  <c r="P22"/>
  <c r="AC22" s="1"/>
  <c r="AO22" s="1"/>
  <c r="S30" i="56"/>
  <c r="O27" i="96" s="1"/>
  <c r="L22" i="92"/>
  <c r="Y22" s="1"/>
  <c r="AK22" s="1"/>
  <c r="K30" i="56"/>
  <c r="K27" i="96" s="1"/>
  <c r="H22" i="92"/>
  <c r="U22" s="1"/>
  <c r="AG22" s="1"/>
  <c r="P21"/>
  <c r="AC21" s="1"/>
  <c r="AO21" s="1"/>
  <c r="S29" i="56"/>
  <c r="O26" i="96" s="1"/>
  <c r="L21" i="92"/>
  <c r="Y21" s="1"/>
  <c r="AK21" s="1"/>
  <c r="K29" i="56"/>
  <c r="K26" i="96" s="1"/>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8" i="56"/>
  <c r="O25" i="96" s="1"/>
  <c r="L20" i="92"/>
  <c r="Y20" s="1"/>
  <c r="AK20" s="1"/>
  <c r="K28" i="56"/>
  <c r="K25" i="96" s="1"/>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X114" i="89"/>
  <c r="S35" i="56"/>
  <c r="O33" i="96" s="1"/>
  <c r="L27" i="92"/>
  <c r="Y27" s="1"/>
  <c r="AK27" s="1"/>
  <c r="P27"/>
  <c r="AC27" s="1"/>
  <c r="AO27" s="1"/>
  <c r="K35" i="56"/>
  <c r="K33" i="96" s="1"/>
  <c r="H27" i="92"/>
  <c r="U27" s="1"/>
  <c r="AG27" s="1"/>
  <c r="R27"/>
  <c r="AE27" s="1"/>
  <c r="AQ27" s="1"/>
  <c r="O35"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U17" i="89"/>
  <c r="G72" i="74"/>
  <c r="Z72" s="1"/>
  <c r="AL72" s="1"/>
  <c r="U16" i="89"/>
  <c r="G71" i="74"/>
  <c r="Z71" s="1"/>
  <c r="AL71" s="1"/>
  <c r="G67"/>
  <c r="Z67" s="1"/>
  <c r="AL67" s="1"/>
  <c r="G65"/>
  <c r="Z65" s="1"/>
  <c r="AL65" s="1"/>
  <c r="F9" i="86"/>
  <c r="D64" i="91" s="1"/>
  <c r="G63" i="74"/>
  <c r="Z63" s="1"/>
  <c r="AL63" s="1"/>
  <c r="G62"/>
  <c r="Z62" s="1"/>
  <c r="AL62" s="1"/>
  <c r="G61"/>
  <c r="Z61" s="1"/>
  <c r="AL61" s="1"/>
  <c r="O8" i="89"/>
  <c r="G57" i="74"/>
  <c r="Z57" s="1"/>
  <c r="AL57" s="1"/>
  <c r="I13" i="88"/>
  <c r="G51" i="74"/>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C49" i="104" s="1"/>
  <c r="I96" i="89"/>
  <c r="S50" i="74"/>
  <c r="AH50" s="1"/>
  <c r="AT50" s="1"/>
  <c r="P53"/>
  <c r="AF53" s="1"/>
  <c r="AR53" s="1"/>
  <c r="F36" i="84"/>
  <c r="G12" i="91" s="1"/>
  <c r="I73" i="89"/>
  <c r="P48" i="74"/>
  <c r="AF48" s="1"/>
  <c r="AR48" s="1"/>
  <c r="F31" i="84"/>
  <c r="G7" i="91" s="1"/>
  <c r="Z9" i="88"/>
  <c r="AA8"/>
  <c r="Q48" i="74" s="1"/>
  <c r="AG48" s="1"/>
  <c r="AS48" s="1"/>
  <c r="J53"/>
  <c r="AB53" s="1"/>
  <c r="AN53" s="1"/>
  <c r="J14" i="84"/>
  <c r="E12" i="91" s="1"/>
  <c r="I10" i="89"/>
  <c r="F9" i="84"/>
  <c r="D7" i="91" s="1"/>
  <c r="G48" i="74"/>
  <c r="Z48" s="1"/>
  <c r="AL48" s="1"/>
  <c r="I8" i="88"/>
  <c r="H48" i="74" s="1"/>
  <c r="AA48" s="1"/>
  <c r="AM48" s="1"/>
  <c r="AM13" i="88"/>
  <c r="V53" i="74"/>
  <c r="AJ53" s="1"/>
  <c r="AV53" s="1"/>
  <c r="N36" i="84"/>
  <c r="I12" i="91" s="1"/>
  <c r="S47" i="74"/>
  <c r="AH47" s="1"/>
  <c r="AT47" s="1"/>
  <c r="J14" i="79"/>
  <c r="E12" i="90" s="1"/>
  <c r="F11" i="84"/>
  <c r="D9" i="91" s="1"/>
  <c r="V48" i="74"/>
  <c r="AJ48" s="1"/>
  <c r="AV48" s="1"/>
  <c r="J48"/>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AL9"/>
  <c r="U11"/>
  <c r="N51" i="74" s="1"/>
  <c r="AE51" s="1"/>
  <c r="AQ51" s="1"/>
  <c r="AA14" i="88"/>
  <c r="L79" i="89" s="1"/>
  <c r="AM14" i="88"/>
  <c r="S54" i="74"/>
  <c r="AH54" s="1"/>
  <c r="AT54" s="1"/>
  <c r="G54"/>
  <c r="Z54" s="1"/>
  <c r="AL54" s="1"/>
  <c r="G50"/>
  <c r="Z50" s="1"/>
  <c r="AL50" s="1"/>
  <c r="M47"/>
  <c r="AD47" s="1"/>
  <c r="AP47" s="1"/>
  <c r="G46"/>
  <c r="Z46" s="1"/>
  <c r="AL46" s="1"/>
  <c r="H12" i="77"/>
  <c r="F13" i="79" s="1"/>
  <c r="D11" i="90" s="1"/>
  <c r="J9" i="84"/>
  <c r="E7" i="91" s="1"/>
  <c r="J16" i="84"/>
  <c r="E14" i="91" s="1"/>
  <c r="J30" i="84"/>
  <c r="H6" i="91" s="1"/>
  <c r="J38" i="84"/>
  <c r="H14" i="91" s="1"/>
  <c r="I6" i="88"/>
  <c r="AG7"/>
  <c r="T47" i="74" s="1"/>
  <c r="AI47" s="1"/>
  <c r="AU47" s="1"/>
  <c r="O8" i="88"/>
  <c r="K48" i="74" s="1"/>
  <c r="AC48" s="1"/>
  <c r="AO48" s="1"/>
  <c r="AM8" i="88"/>
  <c r="I12" i="89"/>
  <c r="I54"/>
  <c r="M46" i="74"/>
  <c r="AD46" s="1"/>
  <c r="AP46" s="1"/>
  <c r="P54"/>
  <c r="AF54" s="1"/>
  <c r="AR54" s="1"/>
  <c r="J51"/>
  <c r="AB51" s="1"/>
  <c r="AN51" s="1"/>
  <c r="V47"/>
  <c r="AJ47" s="1"/>
  <c r="AV47" s="1"/>
  <c r="J47"/>
  <c r="AB47" s="1"/>
  <c r="AN47" s="1"/>
  <c r="I34" i="85"/>
  <c r="I33"/>
  <c r="E34"/>
  <c r="N20" i="86"/>
  <c r="F41"/>
  <c r="N41"/>
  <c r="J42"/>
  <c r="F43"/>
  <c r="N43"/>
  <c r="F42" i="84"/>
  <c r="G18" i="91" s="1"/>
  <c r="N19" i="84"/>
  <c r="F17" i="91" s="1"/>
  <c r="N21" i="84"/>
  <c r="F19" i="91" s="1"/>
  <c r="H72" i="88"/>
  <c r="H72" i="77"/>
  <c r="W72" s="1"/>
  <c r="H22" i="83"/>
  <c r="H67" i="77"/>
  <c r="W67" s="1"/>
  <c r="H17" i="83"/>
  <c r="H20"/>
  <c r="L20" s="1"/>
  <c r="H70" i="88"/>
  <c r="T70" s="1"/>
  <c r="H70" i="77"/>
  <c r="W70" s="1"/>
  <c r="H68" i="88"/>
  <c r="H18" i="83"/>
  <c r="H68" i="77"/>
  <c r="W68" s="1"/>
  <c r="H69" i="88"/>
  <c r="T69" s="1"/>
  <c r="H69" i="77"/>
  <c r="W69" s="1"/>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F33" i="84"/>
  <c r="G9" i="91" s="1"/>
  <c r="O33" i="89"/>
  <c r="I11" i="85"/>
  <c r="E41" i="91" s="1"/>
  <c r="O75" i="89"/>
  <c r="E28" i="85"/>
  <c r="G41" i="91" s="1"/>
  <c r="O117" i="89"/>
  <c r="M28" i="85"/>
  <c r="I41" i="91" s="1"/>
  <c r="O80" i="89"/>
  <c r="E30" i="85"/>
  <c r="G43" i="91" s="1"/>
  <c r="L29" i="86"/>
  <c r="H80" i="91" s="1"/>
  <c r="U31" i="89"/>
  <c r="K65" i="74"/>
  <c r="AC65" s="1"/>
  <c r="AO65" s="1"/>
  <c r="J9" i="86"/>
  <c r="E64" i="91" s="1"/>
  <c r="F36" i="86"/>
  <c r="G69" i="91" s="1"/>
  <c r="N36" i="86"/>
  <c r="I69" i="91" s="1"/>
  <c r="L7" i="83"/>
  <c r="D102" i="91" s="1"/>
  <c r="L8" i="83"/>
  <c r="D103" i="91" s="1"/>
  <c r="D147"/>
  <c r="O89" i="88"/>
  <c r="I7" i="87"/>
  <c r="O92" i="88"/>
  <c r="D150" i="91"/>
  <c r="N30" i="79"/>
  <c r="I7" i="90" s="1"/>
  <c r="AM8" i="77"/>
  <c r="AO8" s="1"/>
  <c r="P30" i="79" s="1"/>
  <c r="I25" i="90" s="1"/>
  <c r="F35" i="79"/>
  <c r="G12" i="90" s="1"/>
  <c r="AA13" i="77"/>
  <c r="AM13"/>
  <c r="N35" i="79"/>
  <c r="I12" i="90" s="1"/>
  <c r="F30" i="81"/>
  <c r="G64" i="90" s="1"/>
  <c r="H30" i="81"/>
  <c r="G82" i="90" s="1"/>
  <c r="D147"/>
  <c r="O90" i="77"/>
  <c r="Q90" s="1"/>
  <c r="D149" i="90"/>
  <c r="O92" i="77"/>
  <c r="Q92" s="1"/>
  <c r="C151" i="90"/>
  <c r="E12" i="82"/>
  <c r="I94" i="77"/>
  <c r="K94" s="1"/>
  <c r="K15" i="82"/>
  <c r="D184" i="91"/>
  <c r="D183" i="90"/>
  <c r="L29" i="84"/>
  <c r="H23" i="91" s="1"/>
  <c r="I72" i="89"/>
  <c r="AA7" i="88"/>
  <c r="Q47" i="74" s="1"/>
  <c r="AG47" s="1"/>
  <c r="AS47" s="1"/>
  <c r="F30" i="84"/>
  <c r="G6" i="91" s="1"/>
  <c r="I117" i="89"/>
  <c r="AM10" i="88"/>
  <c r="N33" i="84"/>
  <c r="I9" i="91" s="1"/>
  <c r="I122" i="89"/>
  <c r="N38" i="84"/>
  <c r="I14" i="91" s="1"/>
  <c r="O60" i="88"/>
  <c r="Q60" s="1"/>
  <c r="L10" i="83"/>
  <c r="D105" i="91" s="1"/>
  <c r="O90" i="88"/>
  <c r="D148" i="91"/>
  <c r="I8" i="87"/>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E24" i="80"/>
  <c r="G37" i="90" s="1"/>
  <c r="M25" i="80"/>
  <c r="I38" i="90" s="1"/>
  <c r="E29" i="80"/>
  <c r="G42" i="90" s="1"/>
  <c r="J8" i="81"/>
  <c r="E63"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5" i="77"/>
  <c r="G7" i="80" s="1"/>
  <c r="D51" i="90" s="1"/>
  <c r="O7" i="80"/>
  <c r="F51" i="90" s="1"/>
  <c r="K24" i="80"/>
  <c r="H51" i="90" s="1"/>
  <c r="K26" i="77"/>
  <c r="G8" i="80" s="1"/>
  <c r="D52" i="90" s="1"/>
  <c r="O8" i="80"/>
  <c r="F52" i="90" s="1"/>
  <c r="K25" i="80"/>
  <c r="H52" i="90" s="1"/>
  <c r="K26" i="80"/>
  <c r="H53" i="90" s="1"/>
  <c r="K30" i="77"/>
  <c r="G12" i="80" s="1"/>
  <c r="D56" i="90" s="1"/>
  <c r="O12" i="80"/>
  <c r="F56" i="90" s="1"/>
  <c r="K29" i="80"/>
  <c r="H56" i="90" s="1"/>
  <c r="L7" i="81"/>
  <c r="E80" i="90" s="1"/>
  <c r="H28" i="81"/>
  <c r="G80" i="90" s="1"/>
  <c r="P28" i="81"/>
  <c r="I80" i="90" s="1"/>
  <c r="H29" i="81"/>
  <c r="G81" i="90" s="1"/>
  <c r="P29" i="81"/>
  <c r="I81" i="90" s="1"/>
  <c r="P15" i="81"/>
  <c r="F88" i="90" s="1"/>
  <c r="L36" i="81"/>
  <c r="H88" i="90" s="1"/>
  <c r="H11" i="78"/>
  <c r="C105" i="90" s="1"/>
  <c r="H13" i="78"/>
  <c r="C107" i="90" s="1"/>
  <c r="J9" i="79"/>
  <c r="E7" i="90" s="1"/>
  <c r="J12" i="79"/>
  <c r="E10" i="90" s="1"/>
  <c r="E25" i="80"/>
  <c r="G38" i="90" s="1"/>
  <c r="N7" i="81"/>
  <c r="F62" i="90" s="1"/>
  <c r="N11" i="81"/>
  <c r="F66" i="90" s="1"/>
  <c r="J30" i="81"/>
  <c r="H64" i="90" s="1"/>
  <c r="J32" i="81"/>
  <c r="H66" i="90" s="1"/>
  <c r="N33" i="81"/>
  <c r="I67" i="90" s="1"/>
  <c r="J14" i="86"/>
  <c r="E69" i="91" s="1"/>
  <c r="I10" i="87"/>
  <c r="H71" i="88"/>
  <c r="H71" i="77"/>
  <c r="W71"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D149" i="91"/>
  <c r="O91" i="88"/>
  <c r="I9" i="87"/>
  <c r="F30" i="79"/>
  <c r="G7" i="90" s="1"/>
  <c r="AA8" i="77"/>
  <c r="AC8" s="1"/>
  <c r="H30" i="79" s="1"/>
  <c r="G25" i="90" s="1"/>
  <c r="AM9" i="77"/>
  <c r="AO9" s="1"/>
  <c r="P31" i="79" s="1"/>
  <c r="I26"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M24" i="80"/>
  <c r="I37"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K12" i="80"/>
  <c r="E56" i="90" s="1"/>
  <c r="O29" i="80"/>
  <c r="I56" i="90" s="1"/>
  <c r="H8" i="81"/>
  <c r="D81" i="90" s="1"/>
  <c r="P8" i="81"/>
  <c r="F81" i="90" s="1"/>
  <c r="L29" i="81"/>
  <c r="H81" i="90" s="1"/>
  <c r="L12" i="81"/>
  <c r="E85" i="90" s="1"/>
  <c r="H33" i="81"/>
  <c r="G85" i="90" s="1"/>
  <c r="P33" i="81"/>
  <c r="I85" i="90" s="1"/>
  <c r="L13" i="81"/>
  <c r="E86" i="90" s="1"/>
  <c r="L15" i="81"/>
  <c r="E88" i="90" s="1"/>
  <c r="H36" i="81"/>
  <c r="G88" i="90" s="1"/>
  <c r="P36" i="81"/>
  <c r="I88" i="90" s="1"/>
  <c r="H8" i="78"/>
  <c r="C102" i="90" s="1"/>
  <c r="H10" i="78"/>
  <c r="C104" i="90" s="1"/>
  <c r="H12" i="78"/>
  <c r="C106" i="90" s="1"/>
  <c r="I26" i="80"/>
  <c r="H39" i="90" s="1"/>
  <c r="F9" i="81"/>
  <c r="D64" i="90" s="1"/>
  <c r="J12" i="81"/>
  <c r="E67" i="90" s="1"/>
  <c r="J14" i="81"/>
  <c r="E69" i="90" s="1"/>
  <c r="F35" i="81"/>
  <c r="G69" i="90" s="1"/>
  <c r="I9" i="82"/>
  <c r="P7" i="86"/>
  <c r="F80" i="91" s="1"/>
  <c r="N16" i="86"/>
  <c r="F71"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F12" i="84"/>
  <c r="D10" i="91" s="1"/>
  <c r="I55" i="89"/>
  <c r="T12" i="88"/>
  <c r="C11" i="108" s="1"/>
  <c r="I11" s="1"/>
  <c r="Q11" s="1"/>
  <c r="N12" i="84"/>
  <c r="F10" i="91" s="1"/>
  <c r="I97" i="89"/>
  <c r="AF12" i="88"/>
  <c r="C52" i="104" s="1"/>
  <c r="I15" i="89"/>
  <c r="F14" i="84"/>
  <c r="D12" i="91" s="1"/>
  <c r="I57" i="89"/>
  <c r="N14" i="84"/>
  <c r="F12" i="91" s="1"/>
  <c r="I17" i="89"/>
  <c r="F16" i="84"/>
  <c r="D14" i="91" s="1"/>
  <c r="I84" i="89"/>
  <c r="I126"/>
  <c r="N41" i="84"/>
  <c r="I17" i="91" s="1"/>
  <c r="I86" i="89"/>
  <c r="F43" i="84"/>
  <c r="G19" i="91" s="1"/>
  <c r="I128" i="89"/>
  <c r="N43" i="84"/>
  <c r="I19" i="91" s="1"/>
  <c r="O70" i="89"/>
  <c r="E24" i="85"/>
  <c r="G37" i="91" s="1"/>
  <c r="M24" i="85"/>
  <c r="I37" i="91" s="1"/>
  <c r="O29" i="89"/>
  <c r="I8" i="85"/>
  <c r="E38" i="91" s="1"/>
  <c r="O71" i="89"/>
  <c r="O31"/>
  <c r="O73"/>
  <c r="E26" i="85"/>
  <c r="G39" i="91" s="1"/>
  <c r="M26" i="85"/>
  <c r="I39" i="91" s="1"/>
  <c r="O59" i="89"/>
  <c r="O63"/>
  <c r="M17" i="85"/>
  <c r="V69" i="74"/>
  <c r="AJ69" s="1"/>
  <c r="AV69" s="1"/>
  <c r="C180" i="91"/>
  <c r="G11" i="87"/>
  <c r="H94" i="88"/>
  <c r="H95"/>
  <c r="G11" i="82"/>
  <c r="G13"/>
  <c r="G15"/>
  <c r="N8" i="84"/>
  <c r="F6" i="91" s="1"/>
  <c r="N37" i="84"/>
  <c r="I13" i="91" s="1"/>
  <c r="M12" i="85"/>
  <c r="F42" i="91" s="1"/>
  <c r="I24" i="85"/>
  <c r="H37" i="91" s="1"/>
  <c r="N15" i="86"/>
  <c r="F70" i="91" s="1"/>
  <c r="N29" i="86"/>
  <c r="I62" i="91" s="1"/>
  <c r="F33" i="86"/>
  <c r="G66" i="91" s="1"/>
  <c r="J34" i="86"/>
  <c r="H67" i="91" s="1"/>
  <c r="I16" i="87"/>
  <c r="AA6" i="88"/>
  <c r="Q46" i="74" s="1"/>
  <c r="AG46" s="1"/>
  <c r="AS46" s="1"/>
  <c r="AM7" i="88"/>
  <c r="N9"/>
  <c r="C49" i="100" s="1"/>
  <c r="T9" i="88"/>
  <c r="C8" i="108" s="1"/>
  <c r="I8" s="1"/>
  <c r="Q8" s="1"/>
  <c r="O98" i="88"/>
  <c r="O37" i="89"/>
  <c r="I50"/>
  <c r="I93" i="91"/>
  <c r="I30" i="89"/>
  <c r="J8" i="84"/>
  <c r="E6" i="91" s="1"/>
  <c r="I36" i="89"/>
  <c r="O13" i="88"/>
  <c r="I78" i="89"/>
  <c r="AA13" i="88"/>
  <c r="O122" i="89"/>
  <c r="M30" i="85"/>
  <c r="I43" i="91" s="1"/>
  <c r="U73" i="89"/>
  <c r="Q65" i="74"/>
  <c r="AG65" s="1"/>
  <c r="AS65" s="1"/>
  <c r="U33" i="89"/>
  <c r="J11" i="86"/>
  <c r="E66" i="91" s="1"/>
  <c r="X16" i="89"/>
  <c r="H15" i="86"/>
  <c r="D88" i="91" s="1"/>
  <c r="U100" i="89"/>
  <c r="T71" i="74"/>
  <c r="AI71" s="1"/>
  <c r="AU71" s="1"/>
  <c r="D152" i="91"/>
  <c r="O94" i="88"/>
  <c r="E91" i="90"/>
  <c r="D31" i="89"/>
  <c r="I91" i="90"/>
  <c r="I91" i="91"/>
  <c r="G92" i="90"/>
  <c r="D76" i="89"/>
  <c r="E93" i="90"/>
  <c r="E93" i="91"/>
  <c r="G94" i="90"/>
  <c r="G94" i="91"/>
  <c r="I34" i="89"/>
  <c r="N12" i="88"/>
  <c r="C52" i="100" s="1"/>
  <c r="I76" i="89"/>
  <c r="Z12" i="88"/>
  <c r="I118" i="89"/>
  <c r="AL12" i="88"/>
  <c r="I37" i="89"/>
  <c r="J15" i="84"/>
  <c r="E13" i="91" s="1"/>
  <c r="I106" i="89"/>
  <c r="J42" i="84"/>
  <c r="H18" i="91" s="1"/>
  <c r="E7" i="85"/>
  <c r="D37" i="91" s="1"/>
  <c r="O49" i="89"/>
  <c r="M7" i="85"/>
  <c r="F37" i="91" s="1"/>
  <c r="O10" i="89"/>
  <c r="E9" i="85"/>
  <c r="D39" i="91" s="1"/>
  <c r="O12" i="89"/>
  <c r="E11" i="85"/>
  <c r="D41" i="91" s="1"/>
  <c r="O54" i="89"/>
  <c r="O100"/>
  <c r="T65" i="74"/>
  <c r="AI65" s="1"/>
  <c r="AU65" s="1"/>
  <c r="U12" i="89"/>
  <c r="U54"/>
  <c r="U96"/>
  <c r="C156" i="91"/>
  <c r="I98" i="88"/>
  <c r="H95" i="74" s="1"/>
  <c r="AA95" s="1"/>
  <c r="AM95" s="1"/>
  <c r="D157" i="91"/>
  <c r="I17" i="87"/>
  <c r="D159" i="91"/>
  <c r="I19" i="87"/>
  <c r="P12" i="86"/>
  <c r="F85" i="91" s="1"/>
  <c r="J37" i="86"/>
  <c r="H70" i="91" s="1"/>
  <c r="N93" i="88"/>
  <c r="I120" i="89"/>
  <c r="E91" i="91"/>
  <c r="H93" i="88"/>
  <c r="H92"/>
  <c r="O33" i="54"/>
  <c r="S30"/>
  <c r="O26"/>
  <c r="O31"/>
  <c r="V14" i="74"/>
  <c r="AJ14" s="1"/>
  <c r="AV14" s="1"/>
  <c r="K32" i="54"/>
  <c r="S28"/>
  <c r="K27"/>
  <c r="V10" i="74"/>
  <c r="AJ10" s="1"/>
  <c r="AV10" s="1"/>
  <c r="J10"/>
  <c r="AB10" s="1"/>
  <c r="AN10" s="1"/>
  <c r="O29" i="54"/>
  <c r="S14" i="74"/>
  <c r="AH14" s="1"/>
  <c r="AT14" s="1"/>
  <c r="S10"/>
  <c r="AH10" s="1"/>
  <c r="AT10" s="1"/>
  <c r="P10"/>
  <c r="AF10" s="1"/>
  <c r="AR10" s="1"/>
  <c r="S32" i="54"/>
  <c r="K31"/>
  <c r="M14" i="74"/>
  <c r="AD14" s="1"/>
  <c r="AP14" s="1"/>
  <c r="M10"/>
  <c r="AD10" s="1"/>
  <c r="AP10" s="1"/>
  <c r="K29" i="54"/>
  <c r="K33"/>
  <c r="S26"/>
  <c r="K26"/>
  <c r="AM19" i="24"/>
  <c r="AG19"/>
  <c r="AA19"/>
  <c r="U19"/>
  <c r="O19"/>
  <c r="I19"/>
  <c r="G17" i="112" s="1"/>
  <c r="AM81" i="24"/>
  <c r="P16" l="1"/>
  <c r="C14" i="99"/>
  <c r="K14" i="74"/>
  <c r="AC14" s="1"/>
  <c r="AO14" s="1"/>
  <c r="L14"/>
  <c r="AF44" i="88"/>
  <c r="AG43"/>
  <c r="H44"/>
  <c r="I44" s="1"/>
  <c r="I43"/>
  <c r="I30"/>
  <c r="K30" s="1"/>
  <c r="AF28"/>
  <c r="AG27"/>
  <c r="R94" i="89" s="1"/>
  <c r="T28" i="88"/>
  <c r="U27"/>
  <c r="O9" i="85" s="1"/>
  <c r="F53" i="91" s="1"/>
  <c r="I28" i="88"/>
  <c r="K28" s="1"/>
  <c r="H59" i="74" s="1"/>
  <c r="AA59" s="1"/>
  <c r="AM59" s="1"/>
  <c r="N44" i="88"/>
  <c r="O43"/>
  <c r="N28"/>
  <c r="O27"/>
  <c r="K58" i="74" s="1"/>
  <c r="AC58" s="1"/>
  <c r="AO58" s="1"/>
  <c r="AF44" i="77"/>
  <c r="AG44" s="1"/>
  <c r="AI44" s="1"/>
  <c r="L31" i="81" s="1"/>
  <c r="H83" i="90" s="1"/>
  <c r="AG43" i="77"/>
  <c r="AI43" s="1"/>
  <c r="L30" i="81" s="1"/>
  <c r="H82" i="90" s="1"/>
  <c r="T44" i="77"/>
  <c r="U43"/>
  <c r="W43" s="1"/>
  <c r="P9" i="81" s="1"/>
  <c r="F82" i="90" s="1"/>
  <c r="H44" i="77"/>
  <c r="I44" s="1"/>
  <c r="K44" s="1"/>
  <c r="I43"/>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C68" i="101"/>
  <c r="K68" s="1"/>
  <c r="Q68" s="1"/>
  <c r="M60" i="74"/>
  <c r="AD60" s="1"/>
  <c r="AP60" s="1"/>
  <c r="M58"/>
  <c r="AD58" s="1"/>
  <c r="AP58" s="1"/>
  <c r="I30" i="85"/>
  <c r="H43" i="91" s="1"/>
  <c r="S61" i="74"/>
  <c r="AH61" s="1"/>
  <c r="AT61" s="1"/>
  <c r="F37" i="86"/>
  <c r="G70" i="91" s="1"/>
  <c r="C68" i="100"/>
  <c r="I68" s="1"/>
  <c r="Q68" s="1"/>
  <c r="C65" i="104"/>
  <c r="O65" s="1"/>
  <c r="Q65" s="1"/>
  <c r="C65" i="98"/>
  <c r="E65" s="1"/>
  <c r="Q65" s="1"/>
  <c r="C64" i="104"/>
  <c r="O64" s="1"/>
  <c r="Q64" s="1"/>
  <c r="C64" i="98"/>
  <c r="E64" s="1"/>
  <c r="Q64" s="1"/>
  <c r="C61" i="104"/>
  <c r="O61" s="1"/>
  <c r="Q61" s="1"/>
  <c r="C20" i="108"/>
  <c r="I20" s="1"/>
  <c r="Q20" s="1"/>
  <c r="C61" i="98"/>
  <c r="E61" s="1"/>
  <c r="Q61" s="1"/>
  <c r="C58" i="104"/>
  <c r="O58" s="1"/>
  <c r="Q58" s="1"/>
  <c r="C17" i="108"/>
  <c r="I17" s="1"/>
  <c r="Q17" s="1"/>
  <c r="J14" i="74"/>
  <c r="AB14" s="1"/>
  <c r="AN14" s="1"/>
  <c r="K12" i="85"/>
  <c r="E56" i="91" s="1"/>
  <c r="L37" i="89"/>
  <c r="L30"/>
  <c r="C79" i="98"/>
  <c r="E79" s="1"/>
  <c r="Q79" s="1"/>
  <c r="Q51" i="74"/>
  <c r="AG51" s="1"/>
  <c r="AS51" s="1"/>
  <c r="G82"/>
  <c r="Z82" s="1"/>
  <c r="AL82" s="1"/>
  <c r="H34" i="84"/>
  <c r="G28" i="91" s="1"/>
  <c r="R37" i="89"/>
  <c r="C30" i="108"/>
  <c r="I30" s="1"/>
  <c r="Q30" s="1"/>
  <c r="M82" i="74"/>
  <c r="AD82" s="1"/>
  <c r="AP82" s="1"/>
  <c r="C178" i="91"/>
  <c r="R92" i="89"/>
  <c r="N58" i="74"/>
  <c r="AE58" s="1"/>
  <c r="AQ58" s="1"/>
  <c r="G14" i="99"/>
  <c r="Q14" s="1"/>
  <c r="G9" i="87"/>
  <c r="L8" i="84"/>
  <c r="E24" i="91" s="1"/>
  <c r="O8" i="85"/>
  <c r="F52" i="91" s="1"/>
  <c r="T57" i="74"/>
  <c r="AI57" s="1"/>
  <c r="AU57" s="1"/>
  <c r="X58" i="89"/>
  <c r="K29" i="85"/>
  <c r="H56" i="91" s="1"/>
  <c r="J13" i="83"/>
  <c r="C134" i="91" s="1"/>
  <c r="P15" i="86"/>
  <c r="F88" i="91" s="1"/>
  <c r="E11" i="82"/>
  <c r="G26" i="85"/>
  <c r="G53" i="91" s="1"/>
  <c r="T61" i="74"/>
  <c r="AI61" s="1"/>
  <c r="AU61" s="1"/>
  <c r="C81" i="98"/>
  <c r="E81" s="1"/>
  <c r="Q81" s="1"/>
  <c r="T71" i="88"/>
  <c r="K27" i="80"/>
  <c r="H54" i="90" s="1"/>
  <c r="C80" i="98"/>
  <c r="E80" s="1"/>
  <c r="Q80" s="1"/>
  <c r="T68" i="88"/>
  <c r="C82" i="98"/>
  <c r="E82" s="1"/>
  <c r="Q82" s="1"/>
  <c r="T72" i="88"/>
  <c r="C29" i="108"/>
  <c r="I29" s="1"/>
  <c r="Q29" s="1"/>
  <c r="M81" i="74"/>
  <c r="AD81" s="1"/>
  <c r="AP81" s="1"/>
  <c r="P9" i="86"/>
  <c r="F82" i="91" s="1"/>
  <c r="V66" i="74"/>
  <c r="AJ66" s="1"/>
  <c r="AV66" s="1"/>
  <c r="C25" i="109"/>
  <c r="O25" s="1"/>
  <c r="Q25" s="1"/>
  <c r="V59" i="74"/>
  <c r="AJ59" s="1"/>
  <c r="AV59" s="1"/>
  <c r="C18" i="109"/>
  <c r="O18" s="1"/>
  <c r="Q18" s="1"/>
  <c r="V49" i="74"/>
  <c r="AJ49" s="1"/>
  <c r="AV49" s="1"/>
  <c r="C8" i="109"/>
  <c r="O8" s="1"/>
  <c r="Q8" s="1"/>
  <c r="O49" i="104"/>
  <c r="Q49" s="1"/>
  <c r="L10" i="81"/>
  <c r="E83" i="90" s="1"/>
  <c r="L15" i="84"/>
  <c r="E31" i="91" s="1"/>
  <c r="L34" i="84"/>
  <c r="H28" i="91" s="1"/>
  <c r="AG9" i="77"/>
  <c r="AI9" s="1"/>
  <c r="L31" i="79" s="1"/>
  <c r="H26" i="90" s="1"/>
  <c r="N13" i="79"/>
  <c r="F11" i="90" s="1"/>
  <c r="G24" i="85"/>
  <c r="G51" i="91" s="1"/>
  <c r="R79" i="89"/>
  <c r="V11" i="74"/>
  <c r="AJ11" s="1"/>
  <c r="AV11" s="1"/>
  <c r="O11" i="104"/>
  <c r="Q11" s="1"/>
  <c r="V52" i="74"/>
  <c r="AJ52" s="1"/>
  <c r="AV52" s="1"/>
  <c r="O52" i="104"/>
  <c r="Q52" s="1"/>
  <c r="C11" i="109"/>
  <c r="O11" s="1"/>
  <c r="Q11" s="1"/>
  <c r="F31" i="81"/>
  <c r="G65" i="90" s="1"/>
  <c r="O7" i="85"/>
  <c r="F51" i="91" s="1"/>
  <c r="L97" i="89"/>
  <c r="P15" i="84"/>
  <c r="F31" i="91" s="1"/>
  <c r="G29" i="85"/>
  <c r="G56" i="91" s="1"/>
  <c r="N56" i="74"/>
  <c r="AE56" s="1"/>
  <c r="AQ56" s="1"/>
  <c r="A4" i="102"/>
  <c r="A5" s="1"/>
  <c r="J11" i="74"/>
  <c r="AB11" s="1"/>
  <c r="AN11" s="1"/>
  <c r="G11" i="99"/>
  <c r="Q11" s="1"/>
  <c r="S66" i="74"/>
  <c r="AH66" s="1"/>
  <c r="AT66" s="1"/>
  <c r="S11"/>
  <c r="AH11" s="1"/>
  <c r="AT11" s="1"/>
  <c r="M11" i="102"/>
  <c r="Q11" s="1"/>
  <c r="P11" i="74"/>
  <c r="AF11" s="1"/>
  <c r="AR11" s="1"/>
  <c r="K11" i="101"/>
  <c r="Q11" s="1"/>
  <c r="P66" i="74"/>
  <c r="AF66" s="1"/>
  <c r="AR66" s="1"/>
  <c r="C66" i="101"/>
  <c r="K66" s="1"/>
  <c r="Q66" s="1"/>
  <c r="M11" i="74"/>
  <c r="AD11" s="1"/>
  <c r="AP11" s="1"/>
  <c r="I11" i="100"/>
  <c r="Q11" s="1"/>
  <c r="G66" i="74"/>
  <c r="Z66" s="1"/>
  <c r="AL66" s="1"/>
  <c r="C66" i="98"/>
  <c r="E66" s="1"/>
  <c r="Q66" s="1"/>
  <c r="J66" i="74"/>
  <c r="AB66" s="1"/>
  <c r="AN66" s="1"/>
  <c r="M66"/>
  <c r="AD66" s="1"/>
  <c r="AP66" s="1"/>
  <c r="H37" i="86"/>
  <c r="G88" i="91" s="1"/>
  <c r="R91" i="89"/>
  <c r="O12" i="85"/>
  <c r="F56" i="91" s="1"/>
  <c r="R58" i="89"/>
  <c r="T56" i="74"/>
  <c r="AI56" s="1"/>
  <c r="AU56" s="1"/>
  <c r="W65"/>
  <c r="AK65" s="1"/>
  <c r="AW65" s="1"/>
  <c r="X113" i="89"/>
  <c r="A5" i="100"/>
  <c r="F31" i="79"/>
  <c r="G8" i="90" s="1"/>
  <c r="C152"/>
  <c r="H9" i="78"/>
  <c r="C103" i="90" s="1"/>
  <c r="E10" i="82"/>
  <c r="C149" i="90"/>
  <c r="G59" i="74"/>
  <c r="Z59" s="1"/>
  <c r="AL59" s="1"/>
  <c r="C59" i="98"/>
  <c r="E59" s="1"/>
  <c r="Q59" s="1"/>
  <c r="P52" i="74"/>
  <c r="AF52" s="1"/>
  <c r="AR52" s="1"/>
  <c r="C52" i="101"/>
  <c r="K52" s="1"/>
  <c r="Q52" s="1"/>
  <c r="G91" i="74"/>
  <c r="Z91" s="1"/>
  <c r="AL91" s="1"/>
  <c r="C88" i="98"/>
  <c r="E88" s="1"/>
  <c r="Q88" s="1"/>
  <c r="S52" i="74"/>
  <c r="AH52" s="1"/>
  <c r="AT52" s="1"/>
  <c r="P59"/>
  <c r="AF59" s="1"/>
  <c r="AR59" s="1"/>
  <c r="C59" i="101"/>
  <c r="K59" s="1"/>
  <c r="Q59" s="1"/>
  <c r="M52" i="74"/>
  <c r="AD52" s="1"/>
  <c r="AP52" s="1"/>
  <c r="I52" i="100"/>
  <c r="Q52" s="1"/>
  <c r="J52" i="74"/>
  <c r="AB52" s="1"/>
  <c r="AN52" s="1"/>
  <c r="M49"/>
  <c r="AD49" s="1"/>
  <c r="AP49" s="1"/>
  <c r="I49" i="100"/>
  <c r="Q49" s="1"/>
  <c r="G52" i="74"/>
  <c r="Z52" s="1"/>
  <c r="AL52" s="1"/>
  <c r="C52" i="98"/>
  <c r="E52" s="1"/>
  <c r="Q52" s="1"/>
  <c r="G94" i="74"/>
  <c r="Z94" s="1"/>
  <c r="AL94" s="1"/>
  <c r="C91" i="98"/>
  <c r="E91" s="1"/>
  <c r="Q91" s="1"/>
  <c r="W58" i="74"/>
  <c r="AK58" s="1"/>
  <c r="AW58" s="1"/>
  <c r="L100" i="89"/>
  <c r="L30" i="86"/>
  <c r="H81" i="91" s="1"/>
  <c r="C177"/>
  <c r="T58" i="74"/>
  <c r="AI58" s="1"/>
  <c r="AU58" s="1"/>
  <c r="G49"/>
  <c r="Z49" s="1"/>
  <c r="AL49" s="1"/>
  <c r="C49" i="98"/>
  <c r="E49" s="1"/>
  <c r="Q49" s="1"/>
  <c r="W48" i="74"/>
  <c r="AK48" s="1"/>
  <c r="AW48" s="1"/>
  <c r="W54"/>
  <c r="AK54" s="1"/>
  <c r="AW54" s="1"/>
  <c r="J92"/>
  <c r="AB92" s="1"/>
  <c r="AN92" s="1"/>
  <c r="J49"/>
  <c r="AB49" s="1"/>
  <c r="AN49" s="1"/>
  <c r="G92"/>
  <c r="Z92" s="1"/>
  <c r="AL92" s="1"/>
  <c r="C89" i="98"/>
  <c r="E89" s="1"/>
  <c r="Q89" s="1"/>
  <c r="G90" i="74"/>
  <c r="Z90" s="1"/>
  <c r="AL90" s="1"/>
  <c r="C87" i="98"/>
  <c r="E87" s="1"/>
  <c r="Q87" s="1"/>
  <c r="J90" i="74"/>
  <c r="AB90" s="1"/>
  <c r="AN90" s="1"/>
  <c r="W46"/>
  <c r="AK46" s="1"/>
  <c r="AW46" s="1"/>
  <c r="W57"/>
  <c r="AK57" s="1"/>
  <c r="AW57" s="1"/>
  <c r="G89"/>
  <c r="Z89" s="1"/>
  <c r="AL89" s="1"/>
  <c r="C86" i="98"/>
  <c r="E86" s="1"/>
  <c r="Q86" s="1"/>
  <c r="M59" i="74"/>
  <c r="AD59" s="1"/>
  <c r="AP59" s="1"/>
  <c r="W47"/>
  <c r="AK47" s="1"/>
  <c r="AW47" s="1"/>
  <c r="G93"/>
  <c r="Z93" s="1"/>
  <c r="AL93" s="1"/>
  <c r="C90" i="98"/>
  <c r="E90" s="1"/>
  <c r="Q90" s="1"/>
  <c r="G83" i="74"/>
  <c r="Z83" s="1"/>
  <c r="AL83" s="1"/>
  <c r="P49"/>
  <c r="AF49" s="1"/>
  <c r="AR49" s="1"/>
  <c r="C49" i="101"/>
  <c r="K49" s="1"/>
  <c r="Q49" s="1"/>
  <c r="W56" i="74"/>
  <c r="AK56" s="1"/>
  <c r="AW56" s="1"/>
  <c r="L118" i="89"/>
  <c r="L13"/>
  <c r="K9" i="85"/>
  <c r="E53" i="91" s="1"/>
  <c r="N66" i="74"/>
  <c r="AE66" s="1"/>
  <c r="AQ66" s="1"/>
  <c r="G8" i="87"/>
  <c r="P9" i="84"/>
  <c r="F25" i="91" s="1"/>
  <c r="H12" i="84"/>
  <c r="D28" i="91" s="1"/>
  <c r="R73" i="89"/>
  <c r="L58"/>
  <c r="H15" i="84"/>
  <c r="D31" i="91" s="1"/>
  <c r="K51" i="74"/>
  <c r="AC51" s="1"/>
  <c r="AO51" s="1"/>
  <c r="G69"/>
  <c r="Z69" s="1"/>
  <c r="AL69" s="1"/>
  <c r="C69" i="98"/>
  <c r="E69" s="1"/>
  <c r="Q69" s="1"/>
  <c r="P69" i="74"/>
  <c r="AF69" s="1"/>
  <c r="AR69" s="1"/>
  <c r="C69" i="101"/>
  <c r="K69" s="1"/>
  <c r="Q69" s="1"/>
  <c r="W68" i="74"/>
  <c r="AK68" s="1"/>
  <c r="AW68" s="1"/>
  <c r="J69"/>
  <c r="AB69" s="1"/>
  <c r="AN69" s="1"/>
  <c r="X51" i="89"/>
  <c r="P8" i="86"/>
  <c r="F81" i="91" s="1"/>
  <c r="Q64" i="74"/>
  <c r="AG64" s="1"/>
  <c r="AS64" s="1"/>
  <c r="X71" i="89"/>
  <c r="T64" i="74"/>
  <c r="AI64" s="1"/>
  <c r="AU64" s="1"/>
  <c r="X92" i="89"/>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X79" i="89"/>
  <c r="L12" i="84"/>
  <c r="E28" i="91" s="1"/>
  <c r="W51" i="74"/>
  <c r="AK51" s="1"/>
  <c r="AW51" s="1"/>
  <c r="H68"/>
  <c r="AA68" s="1"/>
  <c r="AM68" s="1"/>
  <c r="J75"/>
  <c r="AB75" s="1"/>
  <c r="AN75" s="1"/>
  <c r="H8" i="84"/>
  <c r="D24" i="91" s="1"/>
  <c r="R52" i="89"/>
  <c r="L121"/>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H8" i="86"/>
  <c r="D81" i="91" s="1"/>
  <c r="I13" i="87"/>
  <c r="C176" i="91"/>
  <c r="L52" i="89"/>
  <c r="L31"/>
  <c r="C153" i="90"/>
  <c r="I11" i="82"/>
  <c r="R115" i="89"/>
  <c r="R31"/>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16" i="87"/>
  <c r="K95" i="74"/>
  <c r="AC95" s="1"/>
  <c r="AO95" s="1"/>
  <c r="K8" i="87"/>
  <c r="K87" i="74"/>
  <c r="AC87" s="1"/>
  <c r="AO87" s="1"/>
  <c r="G84"/>
  <c r="Z84" s="1"/>
  <c r="AL84" s="1"/>
  <c r="J11" i="83"/>
  <c r="C132" i="91" s="1"/>
  <c r="H77" i="74"/>
  <c r="AA77" s="1"/>
  <c r="AM77" s="1"/>
  <c r="W63"/>
  <c r="AK63" s="1"/>
  <c r="AW63" s="1"/>
  <c r="P29" i="86"/>
  <c r="I80" i="91" s="1"/>
  <c r="K12" i="87"/>
  <c r="K91" i="74"/>
  <c r="AC91" s="1"/>
  <c r="AO91" s="1"/>
  <c r="N10" i="83"/>
  <c r="D131" i="91" s="1"/>
  <c r="K76" i="74"/>
  <c r="AC76" s="1"/>
  <c r="AO76" s="1"/>
  <c r="K10" i="87"/>
  <c r="K89" i="74"/>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9" i="87"/>
  <c r="K88" i="74"/>
  <c r="AC88" s="1"/>
  <c r="AO88" s="1"/>
  <c r="K7" i="87"/>
  <c r="K86" i="74"/>
  <c r="AC86" s="1"/>
  <c r="AO86" s="1"/>
  <c r="Q63"/>
  <c r="AG63" s="1"/>
  <c r="AS63" s="1"/>
  <c r="R29" i="89"/>
  <c r="K57" i="74"/>
  <c r="AC57" s="1"/>
  <c r="AO57" s="1"/>
  <c r="K8" i="85"/>
  <c r="E52" i="91" s="1"/>
  <c r="D155"/>
  <c r="J94" i="74"/>
  <c r="AB94" s="1"/>
  <c r="AN94" s="1"/>
  <c r="I15" i="87"/>
  <c r="N12" i="83"/>
  <c r="D133" i="91" s="1"/>
  <c r="K78" i="74"/>
  <c r="AC78" s="1"/>
  <c r="AO78" s="1"/>
  <c r="J10" i="83"/>
  <c r="C131" i="91" s="1"/>
  <c r="H76" i="74"/>
  <c r="AA76" s="1"/>
  <c r="AM76" s="1"/>
  <c r="M69"/>
  <c r="AD69" s="1"/>
  <c r="AP69" s="1"/>
  <c r="N13" i="86"/>
  <c r="F68" i="91" s="1"/>
  <c r="R28" i="89"/>
  <c r="K56" i="74"/>
  <c r="AC56" s="1"/>
  <c r="AO56" s="1"/>
  <c r="K7" i="85"/>
  <c r="E51" i="91" s="1"/>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X72" i="89"/>
  <c r="X30"/>
  <c r="K64" i="74"/>
  <c r="AC64" s="1"/>
  <c r="AO64" s="1"/>
  <c r="H30" i="86"/>
  <c r="G81" i="91" s="1"/>
  <c r="X9" i="89"/>
  <c r="N8" i="83"/>
  <c r="D129" i="91" s="1"/>
  <c r="K74" i="74"/>
  <c r="AC74" s="1"/>
  <c r="AO74" s="1"/>
  <c r="N7" i="83"/>
  <c r="D128" i="91" s="1"/>
  <c r="K73" i="74"/>
  <c r="AC73" s="1"/>
  <c r="AO73" s="1"/>
  <c r="X10" i="89"/>
  <c r="H65" i="74"/>
  <c r="AA65" s="1"/>
  <c r="AM65" s="1"/>
  <c r="H9" i="86"/>
  <c r="D82" i="91" s="1"/>
  <c r="R10" i="89"/>
  <c r="H58" i="74"/>
  <c r="AA58" s="1"/>
  <c r="AM58" s="1"/>
  <c r="G9" i="85"/>
  <c r="D53" i="91" s="1"/>
  <c r="R7" i="89"/>
  <c r="H56" i="74"/>
  <c r="AA56" s="1"/>
  <c r="AM56" s="1"/>
  <c r="G7" i="85"/>
  <c r="D51" i="91" s="1"/>
  <c r="H9" i="84"/>
  <c r="D25" i="91" s="1"/>
  <c r="G3" i="78"/>
  <c r="L8" i="89"/>
  <c r="H46" i="74"/>
  <c r="AA46" s="1"/>
  <c r="AM46" s="1"/>
  <c r="H7" i="84"/>
  <c r="D23" i="91" s="1"/>
  <c r="J32" i="84"/>
  <c r="H8" i="91" s="1"/>
  <c r="S49" i="74"/>
  <c r="AH49" s="1"/>
  <c r="AT49"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T49" i="74" s="1"/>
  <c r="AI49" s="1"/>
  <c r="AU49" s="1"/>
  <c r="P12" i="84"/>
  <c r="F28" i="91" s="1"/>
  <c r="AM9" i="88"/>
  <c r="L10" i="89"/>
  <c r="N35" i="86"/>
  <c r="I68" i="91" s="1"/>
  <c r="D182" i="90"/>
  <c r="D183" i="91"/>
  <c r="K14" i="82"/>
  <c r="C114" i="91"/>
  <c r="D114"/>
  <c r="C151"/>
  <c r="E11" i="87"/>
  <c r="D151" i="91"/>
  <c r="I11" i="87"/>
  <c r="P10" i="86"/>
  <c r="F83" i="91" s="1"/>
  <c r="O53" i="89"/>
  <c r="M10" i="85"/>
  <c r="F40" i="91" s="1"/>
  <c r="H66" i="74"/>
  <c r="AA66" s="1"/>
  <c r="AM66" s="1"/>
  <c r="L114" i="89"/>
  <c r="P30" i="84"/>
  <c r="I24" i="91" s="1"/>
  <c r="C152"/>
  <c r="E12" i="87"/>
  <c r="I94" i="88"/>
  <c r="H91" i="74" s="1"/>
  <c r="AA91" s="1"/>
  <c r="AM91" s="1"/>
  <c r="O116" i="89"/>
  <c r="M27" i="85"/>
  <c r="I40" i="91" s="1"/>
  <c r="I10" i="85"/>
  <c r="E40" i="91" s="1"/>
  <c r="I98" i="89"/>
  <c r="J35" i="84"/>
  <c r="H11" i="91" s="1"/>
  <c r="AG12" i="88"/>
  <c r="T52" i="74" s="1"/>
  <c r="AI52" s="1"/>
  <c r="AU52" s="1"/>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K52" i="74" s="1"/>
  <c r="AC52" s="1"/>
  <c r="AO52" s="1"/>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U32" i="89"/>
  <c r="K66" i="74"/>
  <c r="AC66" s="1"/>
  <c r="AO66" s="1"/>
  <c r="J10" i="86"/>
  <c r="E65" i="91" s="1"/>
  <c r="O27" i="80"/>
  <c r="I54" i="90" s="1"/>
  <c r="M27" i="80"/>
  <c r="I40" i="90" s="1"/>
  <c r="I10" i="80"/>
  <c r="E40" i="90" s="1"/>
  <c r="K10" i="80"/>
  <c r="E54" i="90" s="1"/>
  <c r="C112" i="91"/>
  <c r="D112"/>
  <c r="H20" i="78"/>
  <c r="I70" i="77"/>
  <c r="K70" s="1"/>
  <c r="C150" i="91"/>
  <c r="I92" i="88"/>
  <c r="H89" i="74" s="1"/>
  <c r="AA89" s="1"/>
  <c r="AM89" s="1"/>
  <c r="E10" i="87"/>
  <c r="C185" i="91"/>
  <c r="G16" i="87"/>
  <c r="O11" i="89"/>
  <c r="E10" i="85"/>
  <c r="D40" i="91" s="1"/>
  <c r="I77" i="89"/>
  <c r="AA12" i="88"/>
  <c r="Q52" i="74" s="1"/>
  <c r="AG52" s="1"/>
  <c r="AS52" s="1"/>
  <c r="F35" i="84"/>
  <c r="G11" i="91" s="1"/>
  <c r="U95" i="89"/>
  <c r="T66" i="74"/>
  <c r="AI66" s="1"/>
  <c r="AU66" s="1"/>
  <c r="J32" i="86"/>
  <c r="H65" i="91" s="1"/>
  <c r="I11" i="89"/>
  <c r="F10" i="84"/>
  <c r="D8" i="91" s="1"/>
  <c r="I9" i="88"/>
  <c r="C153" i="91"/>
  <c r="E13" i="87"/>
  <c r="F35" i="86"/>
  <c r="G68" i="91" s="1"/>
  <c r="Q69" i="74"/>
  <c r="AG69" s="1"/>
  <c r="AS69" s="1"/>
  <c r="I56" i="89"/>
  <c r="N13" i="84"/>
  <c r="F11" i="91" s="1"/>
  <c r="U12" i="88"/>
  <c r="N52" i="74" s="1"/>
  <c r="AE52" s="1"/>
  <c r="AQ52" s="1"/>
  <c r="C154" i="91"/>
  <c r="I96" i="88"/>
  <c r="H93" i="74" s="1"/>
  <c r="AA93" s="1"/>
  <c r="AM93" s="1"/>
  <c r="E14" i="87"/>
  <c r="X115" i="89"/>
  <c r="P31" i="86"/>
  <c r="I82" i="91" s="1"/>
  <c r="C175" i="90"/>
  <c r="G7" i="82"/>
  <c r="E10" i="80"/>
  <c r="D40" i="90" s="1"/>
  <c r="K28" i="77"/>
  <c r="G10" i="80" s="1"/>
  <c r="D54" i="90" s="1"/>
  <c r="C113" i="91"/>
  <c r="D113"/>
  <c r="J31" i="81"/>
  <c r="H65" i="90" s="1"/>
  <c r="L72" i="89"/>
  <c r="H30" i="84"/>
  <c r="G24" i="91" s="1"/>
  <c r="D178" i="90"/>
  <c r="D179" i="91"/>
  <c r="K10" i="82"/>
  <c r="X31" i="89"/>
  <c r="L9" i="86"/>
  <c r="E82" i="91" s="1"/>
  <c r="C176" i="90"/>
  <c r="G8" i="82"/>
  <c r="G27" i="80"/>
  <c r="G54" i="90" s="1"/>
  <c r="E27" i="80"/>
  <c r="G40" i="90" s="1"/>
  <c r="J34" i="79"/>
  <c r="H11" i="90" s="1"/>
  <c r="AG12" i="77"/>
  <c r="AI12" s="1"/>
  <c r="L34" i="79" s="1"/>
  <c r="H29" i="90" s="1"/>
  <c r="I69" i="88"/>
  <c r="K69" s="1"/>
  <c r="C111" i="91"/>
  <c r="D111"/>
  <c r="X94" i="89"/>
  <c r="L31" i="86"/>
  <c r="H82" i="91" s="1"/>
  <c r="I27" i="85"/>
  <c r="H40" i="91" s="1"/>
  <c r="O95" i="89"/>
  <c r="X100"/>
  <c r="L37" i="86"/>
  <c r="H88" i="91" s="1"/>
  <c r="H31" i="86"/>
  <c r="G82" i="91" s="1"/>
  <c r="X73" i="89"/>
  <c r="I32"/>
  <c r="J10" i="84"/>
  <c r="E8" i="91" s="1"/>
  <c r="O9" i="88"/>
  <c r="K49" i="74" s="1"/>
  <c r="AC49" s="1"/>
  <c r="AO49" s="1"/>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H83" i="74" s="1"/>
  <c r="AA83" s="1"/>
  <c r="AM83" s="1"/>
  <c r="I70" i="88"/>
  <c r="K70" s="1"/>
  <c r="I67"/>
  <c r="K67" s="1"/>
  <c r="H82" i="74" s="1"/>
  <c r="AA82" s="1"/>
  <c r="AM82" s="1"/>
  <c r="H22" i="78"/>
  <c r="AL40" i="24"/>
  <c r="AM40" s="1"/>
  <c r="C21" i="104" s="1"/>
  <c r="AF40" i="24"/>
  <c r="AG40" s="1"/>
  <c r="C21" i="102" s="1"/>
  <c r="Z40" i="24"/>
  <c r="AA40" s="1"/>
  <c r="C21" i="101" s="1"/>
  <c r="T40" i="24"/>
  <c r="U40" s="1"/>
  <c r="C21" i="100" s="1"/>
  <c r="N40" i="24"/>
  <c r="O40" s="1"/>
  <c r="C21" i="99" s="1"/>
  <c r="AL39" i="24"/>
  <c r="AM39" s="1"/>
  <c r="C20" i="104" s="1"/>
  <c r="AF39" i="24"/>
  <c r="AG39" s="1"/>
  <c r="C20" i="102" s="1"/>
  <c r="Z39" i="24"/>
  <c r="AA39" s="1"/>
  <c r="C20" i="101" s="1"/>
  <c r="T39" i="24"/>
  <c r="U39" s="1"/>
  <c r="C20" i="100" s="1"/>
  <c r="N39" i="24"/>
  <c r="O39" s="1"/>
  <c r="C20" i="99" s="1"/>
  <c r="G12" i="85" l="1"/>
  <c r="D56" i="91" s="1"/>
  <c r="H61" i="74"/>
  <c r="AA61" s="1"/>
  <c r="AM61" s="1"/>
  <c r="K9" i="88"/>
  <c r="H49" i="74" s="1"/>
  <c r="AA49" s="1"/>
  <c r="AM49" s="1"/>
  <c r="U44" i="77"/>
  <c r="W44" s="1"/>
  <c r="P10" i="81" s="1"/>
  <c r="F83" i="90" s="1"/>
  <c r="N10" i="81"/>
  <c r="F65" i="90" s="1"/>
  <c r="O28" i="88"/>
  <c r="K59" i="74" s="1"/>
  <c r="AC59" s="1"/>
  <c r="AO59" s="1"/>
  <c r="C59" i="100"/>
  <c r="I59" s="1"/>
  <c r="Q59" s="1"/>
  <c r="O44" i="88"/>
  <c r="L10" i="86" s="1"/>
  <c r="E83" i="91" s="1"/>
  <c r="C66" i="100"/>
  <c r="I66" s="1"/>
  <c r="Q66" s="1"/>
  <c r="U28" i="88"/>
  <c r="N59" i="74" s="1"/>
  <c r="AE59" s="1"/>
  <c r="AQ59" s="1"/>
  <c r="C18" i="108"/>
  <c r="I18" s="1"/>
  <c r="Q18" s="1"/>
  <c r="AG28" i="88"/>
  <c r="T59" i="74" s="1"/>
  <c r="AI59" s="1"/>
  <c r="AU59" s="1"/>
  <c r="C59" i="104"/>
  <c r="O59" s="1"/>
  <c r="Q59" s="1"/>
  <c r="AG44" i="88"/>
  <c r="L32" i="86" s="1"/>
  <c r="H83" i="91" s="1"/>
  <c r="C66" i="104"/>
  <c r="O66" s="1"/>
  <c r="Q66" s="1"/>
  <c r="M10" i="80"/>
  <c r="F40" i="90" s="1"/>
  <c r="F10" i="81"/>
  <c r="D65" i="90" s="1"/>
  <c r="O32" i="89"/>
  <c r="F10" i="86"/>
  <c r="D65" i="91" s="1"/>
  <c r="U11" i="89"/>
  <c r="R16"/>
  <c r="J59" i="74"/>
  <c r="AB59" s="1"/>
  <c r="AN59" s="1"/>
  <c r="S59"/>
  <c r="AH59" s="1"/>
  <c r="AT59" s="1"/>
  <c r="C31" i="108"/>
  <c r="I31" s="1"/>
  <c r="Q31" s="1"/>
  <c r="M83" i="74"/>
  <c r="AD83" s="1"/>
  <c r="AP83" s="1"/>
  <c r="C32" i="108"/>
  <c r="I32" s="1"/>
  <c r="Q32" s="1"/>
  <c r="M84" i="74"/>
  <c r="AD84" s="1"/>
  <c r="AP84" s="1"/>
  <c r="C33" i="108"/>
  <c r="I33" s="1"/>
  <c r="Q33" s="1"/>
  <c r="M85" i="74"/>
  <c r="AD85" s="1"/>
  <c r="AP85" s="1"/>
  <c r="V20"/>
  <c r="AJ20" s="1"/>
  <c r="AV20" s="1"/>
  <c r="O20" i="104"/>
  <c r="Q20" s="1"/>
  <c r="V21" i="74"/>
  <c r="AJ21" s="1"/>
  <c r="AV21" s="1"/>
  <c r="O21" i="104"/>
  <c r="Q21" s="1"/>
  <c r="A4"/>
  <c r="A4" i="109"/>
  <c r="A19" i="102"/>
  <c r="A35"/>
  <c r="A6"/>
  <c r="A22"/>
  <c r="A38"/>
  <c r="A13"/>
  <c r="A29"/>
  <c r="A45"/>
  <c r="A16"/>
  <c r="A12"/>
  <c r="A8"/>
  <c r="A11"/>
  <c r="A27"/>
  <c r="A43"/>
  <c r="A14"/>
  <c r="A30"/>
  <c r="A21"/>
  <c r="A37"/>
  <c r="A36"/>
  <c r="A44"/>
  <c r="A15"/>
  <c r="A31"/>
  <c r="A18"/>
  <c r="A34"/>
  <c r="A9"/>
  <c r="A25"/>
  <c r="A41"/>
  <c r="A40"/>
  <c r="A7"/>
  <c r="A23"/>
  <c r="A39"/>
  <c r="A10"/>
  <c r="A26"/>
  <c r="A42"/>
  <c r="A17"/>
  <c r="A33"/>
  <c r="A20"/>
  <c r="A32"/>
  <c r="A28"/>
  <c r="A24"/>
  <c r="M20" i="74"/>
  <c r="AD20" s="1"/>
  <c r="AP20" s="1"/>
  <c r="I20" i="100"/>
  <c r="Q20" s="1"/>
  <c r="J21" i="74"/>
  <c r="AB21" s="1"/>
  <c r="AN21" s="1"/>
  <c r="G21" i="99"/>
  <c r="Q21" s="1"/>
  <c r="W66" i="74"/>
  <c r="AK66" s="1"/>
  <c r="AW66" s="1"/>
  <c r="J20"/>
  <c r="AB20" s="1"/>
  <c r="AN20" s="1"/>
  <c r="G20" i="99"/>
  <c r="Q20" s="1"/>
  <c r="S20" i="74"/>
  <c r="AH20" s="1"/>
  <c r="AT20" s="1"/>
  <c r="M20" i="102"/>
  <c r="Q20" s="1"/>
  <c r="P21" i="74"/>
  <c r="AF21" s="1"/>
  <c r="AR21" s="1"/>
  <c r="K21" i="101"/>
  <c r="Q21" s="1"/>
  <c r="S21" i="74"/>
  <c r="AH21" s="1"/>
  <c r="AT21" s="1"/>
  <c r="M21" i="102"/>
  <c r="Q21" s="1"/>
  <c r="P20" i="74"/>
  <c r="AF20" s="1"/>
  <c r="AR20" s="1"/>
  <c r="K20" i="101"/>
  <c r="Q20" s="1"/>
  <c r="M21" i="74"/>
  <c r="AD21" s="1"/>
  <c r="AP21" s="1"/>
  <c r="I21" i="100"/>
  <c r="Q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D3" i="80"/>
  <c r="D3" i="85"/>
  <c r="C2" i="90"/>
  <c r="E3" i="86"/>
  <c r="C2" i="91"/>
  <c r="G3" i="83"/>
  <c r="E3" i="84"/>
  <c r="E3" i="79"/>
  <c r="E3" i="81"/>
  <c r="E3" i="89"/>
  <c r="I14" i="75"/>
  <c r="L56" i="89"/>
  <c r="P13" i="84"/>
  <c r="F29" i="91" s="1"/>
  <c r="X95" i="89"/>
  <c r="J20" i="78"/>
  <c r="L98" i="89"/>
  <c r="L35" i="84"/>
  <c r="H29" i="91" s="1"/>
  <c r="K82" i="74"/>
  <c r="AC82" s="1"/>
  <c r="AO82" s="1"/>
  <c r="J17" i="83"/>
  <c r="J19" i="78"/>
  <c r="L14" i="89"/>
  <c r="H13" i="84"/>
  <c r="D29" i="91" s="1"/>
  <c r="J19" i="83"/>
  <c r="N19" s="1"/>
  <c r="H35" i="86"/>
  <c r="G86" i="91" s="1"/>
  <c r="C110" i="90"/>
  <c r="D110"/>
  <c r="C111"/>
  <c r="D111"/>
  <c r="K10" i="85"/>
  <c r="E54" i="91" s="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R53" i="89"/>
  <c r="K83" i="74"/>
  <c r="AC83" s="1"/>
  <c r="AO83" s="1"/>
  <c r="J18" i="83"/>
  <c r="L11" i="89"/>
  <c r="H10" i="84"/>
  <c r="D26" i="91" s="1"/>
  <c r="R11" i="89"/>
  <c r="G10" i="85"/>
  <c r="D54" i="91" s="1"/>
  <c r="P10" i="84"/>
  <c r="F26" i="91" s="1"/>
  <c r="L53" i="89"/>
  <c r="L32"/>
  <c r="L10" i="84"/>
  <c r="E26" i="91" s="1"/>
  <c r="R95" i="89"/>
  <c r="L77"/>
  <c r="H35" i="84"/>
  <c r="G29" i="91" s="1"/>
  <c r="C179"/>
  <c r="G10" i="87"/>
  <c r="X32" i="89"/>
  <c r="L119"/>
  <c r="P35" i="84"/>
  <c r="I29" i="91" s="1"/>
  <c r="H13" i="86"/>
  <c r="D86" i="91" s="1"/>
  <c r="J17" i="78"/>
  <c r="X116" i="89"/>
  <c r="P32" i="86"/>
  <c r="I83" i="91" s="1"/>
  <c r="C181"/>
  <c r="G12" i="87"/>
  <c r="AB39" i="24"/>
  <c r="V40"/>
  <c r="P39"/>
  <c r="AN39"/>
  <c r="X20" i="74" s="1"/>
  <c r="AH40" i="24"/>
  <c r="AH39"/>
  <c r="AB40"/>
  <c r="V39"/>
  <c r="P40"/>
  <c r="AN40"/>
  <c r="X21" i="74" s="1"/>
  <c r="AL41" i="24"/>
  <c r="AM41" s="1"/>
  <c r="C22" i="104" s="1"/>
  <c r="AF41" i="24"/>
  <c r="AG41" s="1"/>
  <c r="C22" i="102" s="1"/>
  <c r="Z41" i="24"/>
  <c r="AA41" s="1"/>
  <c r="T41"/>
  <c r="U41" s="1"/>
  <c r="C22" i="100" s="1"/>
  <c r="N41" i="24"/>
  <c r="O41" s="1"/>
  <c r="C22" i="99" s="1"/>
  <c r="AL38" i="24"/>
  <c r="AM38" s="1"/>
  <c r="C19" i="104" s="1"/>
  <c r="AF38" i="24"/>
  <c r="AG38" s="1"/>
  <c r="C19" i="102" s="1"/>
  <c r="Z38" i="24"/>
  <c r="AA38" s="1"/>
  <c r="C19" i="101" s="1"/>
  <c r="T38" i="24"/>
  <c r="U38" s="1"/>
  <c r="C19" i="100" s="1"/>
  <c r="N38" i="24"/>
  <c r="O38" s="1"/>
  <c r="C19" i="99" s="1"/>
  <c r="AL37" i="24"/>
  <c r="AM37" s="1"/>
  <c r="AF37"/>
  <c r="AG37" s="1"/>
  <c r="C18" i="102" s="1"/>
  <c r="Z37" i="24"/>
  <c r="AA37" s="1"/>
  <c r="C18" i="101" s="1"/>
  <c r="T37" i="24"/>
  <c r="U37" s="1"/>
  <c r="C18" i="100" s="1"/>
  <c r="N37" i="24"/>
  <c r="O37" s="1"/>
  <c r="C18" i="99" s="1"/>
  <c r="AL43" i="24"/>
  <c r="AM43" s="1"/>
  <c r="AF43"/>
  <c r="AG43" s="1"/>
  <c r="Z43"/>
  <c r="AA43" s="1"/>
  <c r="T43"/>
  <c r="U43" s="1"/>
  <c r="N43"/>
  <c r="C18" i="104" l="1"/>
  <c r="O18" s="1"/>
  <c r="Q18" s="1"/>
  <c r="AB43" i="24"/>
  <c r="R24" i="74" s="1"/>
  <c r="C24" i="101"/>
  <c r="AN43" i="24"/>
  <c r="X24" i="74" s="1"/>
  <c r="C24" i="104"/>
  <c r="V43" i="24"/>
  <c r="O24" i="74" s="1"/>
  <c r="C24" i="100"/>
  <c r="AH43" i="24"/>
  <c r="U24" i="74" s="1"/>
  <c r="C24" i="102"/>
  <c r="C22" i="101"/>
  <c r="K22" s="1"/>
  <c r="Q22" s="1"/>
  <c r="N20" i="74"/>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O43" i="24"/>
  <c r="V22" i="74"/>
  <c r="AJ22" s="1"/>
  <c r="AV22" s="1"/>
  <c r="O22" i="104"/>
  <c r="Q22" s="1"/>
  <c r="V18" i="74"/>
  <c r="AJ18" s="1"/>
  <c r="AV18" s="1"/>
  <c r="V19"/>
  <c r="AJ19" s="1"/>
  <c r="AV19" s="1"/>
  <c r="O19" i="104"/>
  <c r="Q19" s="1"/>
  <c r="A14"/>
  <c r="A30"/>
  <c r="A46"/>
  <c r="A62"/>
  <c r="A21"/>
  <c r="A37"/>
  <c r="A53"/>
  <c r="A69"/>
  <c r="A12"/>
  <c r="A28"/>
  <c r="A44"/>
  <c r="A60"/>
  <c r="A51"/>
  <c r="A31"/>
  <c r="A59"/>
  <c r="A23"/>
  <c r="A10"/>
  <c r="A26"/>
  <c r="A42"/>
  <c r="A58"/>
  <c r="A17"/>
  <c r="A33"/>
  <c r="A49"/>
  <c r="A65"/>
  <c r="A8"/>
  <c r="A24"/>
  <c r="A40"/>
  <c r="A56"/>
  <c r="A35"/>
  <c r="A15"/>
  <c r="A43"/>
  <c r="A7"/>
  <c r="A6"/>
  <c r="A22"/>
  <c r="A38"/>
  <c r="A54"/>
  <c r="A13"/>
  <c r="A29"/>
  <c r="A45"/>
  <c r="A61"/>
  <c r="A20"/>
  <c r="A36"/>
  <c r="A52"/>
  <c r="A68"/>
  <c r="A19"/>
  <c r="A63"/>
  <c r="A27"/>
  <c r="A55"/>
  <c r="A18"/>
  <c r="A34"/>
  <c r="A50"/>
  <c r="A66"/>
  <c r="A9"/>
  <c r="A25"/>
  <c r="A41"/>
  <c r="A57"/>
  <c r="A16"/>
  <c r="A32"/>
  <c r="A48"/>
  <c r="A64"/>
  <c r="A67"/>
  <c r="A47"/>
  <c r="A11"/>
  <c r="A39"/>
  <c r="A5"/>
  <c r="A8" i="109"/>
  <c r="A24"/>
  <c r="A15"/>
  <c r="A18"/>
  <c r="A9"/>
  <c r="A20"/>
  <c r="A11"/>
  <c r="A27"/>
  <c r="A14"/>
  <c r="A21"/>
  <c r="A16"/>
  <c r="A7"/>
  <c r="A23"/>
  <c r="A10"/>
  <c r="A26"/>
  <c r="A5"/>
  <c r="A13"/>
  <c r="A12"/>
  <c r="A28"/>
  <c r="A19"/>
  <c r="A6"/>
  <c r="A22"/>
  <c r="A25"/>
  <c r="A17"/>
  <c r="S22" i="74"/>
  <c r="AH22" s="1"/>
  <c r="AT22" s="1"/>
  <c r="M22" i="102"/>
  <c r="Q22" s="1"/>
  <c r="W20" i="74"/>
  <c r="AK20" s="1"/>
  <c r="AW20" s="1"/>
  <c r="J18"/>
  <c r="AB18" s="1"/>
  <c r="AN18" s="1"/>
  <c r="G18" i="99"/>
  <c r="Q18" s="1"/>
  <c r="S19" i="74"/>
  <c r="AH19" s="1"/>
  <c r="AT19" s="1"/>
  <c r="M19" i="102"/>
  <c r="Q19" s="1"/>
  <c r="P22" i="74"/>
  <c r="AF22" s="1"/>
  <c r="AR22" s="1"/>
  <c r="M18"/>
  <c r="AD18" s="1"/>
  <c r="AP18" s="1"/>
  <c r="I18" i="100"/>
  <c r="Q18" s="1"/>
  <c r="J19" i="74"/>
  <c r="AB19" s="1"/>
  <c r="AN19" s="1"/>
  <c r="G19" i="99"/>
  <c r="Q19" s="1"/>
  <c r="S18" i="74"/>
  <c r="AH18" s="1"/>
  <c r="AT18" s="1"/>
  <c r="M18" i="102"/>
  <c r="Q18" s="1"/>
  <c r="P19" i="74"/>
  <c r="AF19" s="1"/>
  <c r="AR19" s="1"/>
  <c r="K19" i="101"/>
  <c r="Q19" s="1"/>
  <c r="M22" i="74"/>
  <c r="AD22" s="1"/>
  <c r="AP22" s="1"/>
  <c r="I22" i="100"/>
  <c r="Q22" s="1"/>
  <c r="W21" i="74"/>
  <c r="AK21" s="1"/>
  <c r="AW21" s="1"/>
  <c r="P18"/>
  <c r="AF18" s="1"/>
  <c r="AR18" s="1"/>
  <c r="K18" i="101"/>
  <c r="Q18" s="1"/>
  <c r="M19" i="74"/>
  <c r="AD19" s="1"/>
  <c r="AP19" s="1"/>
  <c r="I19" i="100"/>
  <c r="Q19" s="1"/>
  <c r="J22" i="74"/>
  <c r="AB22" s="1"/>
  <c r="AN22" s="1"/>
  <c r="G22" i="99"/>
  <c r="Q22" s="1"/>
  <c r="E24" i="89"/>
  <c r="E108"/>
  <c r="E66"/>
  <c r="E45"/>
  <c r="E87"/>
  <c r="B3" i="87"/>
  <c r="B3" i="82"/>
  <c r="E24" i="79"/>
  <c r="C137" i="90"/>
  <c r="D137"/>
  <c r="C138" i="91"/>
  <c r="D138"/>
  <c r="C137"/>
  <c r="D137"/>
  <c r="C136" i="90"/>
  <c r="D136"/>
  <c r="AN37" i="24"/>
  <c r="X18" i="74" s="1"/>
  <c r="AH38" i="24"/>
  <c r="AB41"/>
  <c r="AB37"/>
  <c r="V38"/>
  <c r="P41"/>
  <c r="AN41"/>
  <c r="X22" i="74" s="1"/>
  <c r="V37" i="24"/>
  <c r="P38"/>
  <c r="AN38"/>
  <c r="X19" i="74" s="1"/>
  <c r="AH41" i="24"/>
  <c r="P37"/>
  <c r="AH37"/>
  <c r="AB38"/>
  <c r="V41"/>
  <c r="AL17"/>
  <c r="AM17" s="1"/>
  <c r="C15" i="104" s="1"/>
  <c r="AF17" i="24"/>
  <c r="AG17" s="1"/>
  <c r="C15" i="102" s="1"/>
  <c r="Z17" i="24"/>
  <c r="AA17" s="1"/>
  <c r="C15" i="101" s="1"/>
  <c r="T17" i="24"/>
  <c r="U17" s="1"/>
  <c r="C15" i="100" s="1"/>
  <c r="N17" i="24"/>
  <c r="O17" s="1"/>
  <c r="C15" i="99" s="1"/>
  <c r="AL15" i="24"/>
  <c r="AM15" s="1"/>
  <c r="C13" i="104" s="1"/>
  <c r="AF15" i="24"/>
  <c r="AG15" s="1"/>
  <c r="C13" i="102" s="1"/>
  <c r="Z15" i="24"/>
  <c r="AA15" s="1"/>
  <c r="C13" i="101" s="1"/>
  <c r="T15" i="24"/>
  <c r="U15" s="1"/>
  <c r="C13" i="100" s="1"/>
  <c r="N15" i="24"/>
  <c r="O15" s="1"/>
  <c r="C13" i="99" s="1"/>
  <c r="AL14" i="24"/>
  <c r="AM14" s="1"/>
  <c r="C12" i="104" s="1"/>
  <c r="AF14" i="24"/>
  <c r="AG14" s="1"/>
  <c r="C12" i="102" s="1"/>
  <c r="Z14" i="24"/>
  <c r="AA14" s="1"/>
  <c r="C12" i="101" s="1"/>
  <c r="T14" i="24"/>
  <c r="U14" s="1"/>
  <c r="C12" i="100" s="1"/>
  <c r="N14" i="24"/>
  <c r="O14" s="1"/>
  <c r="C12" i="99" s="1"/>
  <c r="AL11" i="24"/>
  <c r="AM11" s="1"/>
  <c r="C9" i="104" s="1"/>
  <c r="AF11" i="24"/>
  <c r="AG11" s="1"/>
  <c r="C9" i="102" s="1"/>
  <c r="Z11" i="24"/>
  <c r="AA11" s="1"/>
  <c r="T11"/>
  <c r="U11" s="1"/>
  <c r="C9" i="100" s="1"/>
  <c r="N11" i="24"/>
  <c r="O11" s="1"/>
  <c r="C9" i="99" s="1"/>
  <c r="AL10" i="24"/>
  <c r="AM10" s="1"/>
  <c r="C8" i="104" s="1"/>
  <c r="AF10" i="24"/>
  <c r="AG10" s="1"/>
  <c r="C8" i="102" s="1"/>
  <c r="Z10" i="24"/>
  <c r="AA10" s="1"/>
  <c r="T10"/>
  <c r="U10" s="1"/>
  <c r="C8" i="100" s="1"/>
  <c r="N10" i="24"/>
  <c r="O10" s="1"/>
  <c r="C8" i="99" s="1"/>
  <c r="V6" i="74"/>
  <c r="AJ6" s="1"/>
  <c r="AV6" s="1"/>
  <c r="S6"/>
  <c r="AH6" s="1"/>
  <c r="AT6" s="1"/>
  <c r="P6"/>
  <c r="AF6" s="1"/>
  <c r="AR6" s="1"/>
  <c r="M6"/>
  <c r="AD6" s="1"/>
  <c r="AP6" s="1"/>
  <c r="J6"/>
  <c r="AB6" s="1"/>
  <c r="AN6" s="1"/>
  <c r="AL6" i="24"/>
  <c r="AM6" s="1"/>
  <c r="C4" i="104" s="1"/>
  <c r="AF6" i="24"/>
  <c r="AG6" s="1"/>
  <c r="Z6"/>
  <c r="AA6" s="1"/>
  <c r="I6" i="113" s="1"/>
  <c r="T6" i="24"/>
  <c r="U6" s="1"/>
  <c r="C4" i="100" s="1"/>
  <c r="N6" i="24"/>
  <c r="O6" s="1"/>
  <c r="AL18"/>
  <c r="AF18"/>
  <c r="Z18"/>
  <c r="T18"/>
  <c r="N18"/>
  <c r="H17" i="10"/>
  <c r="I17" s="1"/>
  <c r="J17" s="1"/>
  <c r="H18"/>
  <c r="I18" s="1"/>
  <c r="J18" s="1"/>
  <c r="D48" i="65"/>
  <c r="D49" s="1"/>
  <c r="L48"/>
  <c r="L49" s="1"/>
  <c r="K48"/>
  <c r="K49" s="1"/>
  <c r="J48"/>
  <c r="J49" s="1"/>
  <c r="I48"/>
  <c r="I49" s="1"/>
  <c r="H48"/>
  <c r="H49" s="1"/>
  <c r="G48"/>
  <c r="G49" s="1"/>
  <c r="F48"/>
  <c r="F49" s="1"/>
  <c r="E48"/>
  <c r="E49" s="1"/>
  <c r="C48"/>
  <c r="C49" s="1"/>
  <c r="B48"/>
  <c r="B49" s="1"/>
  <c r="C4" i="99" l="1"/>
  <c r="G4" s="1"/>
  <c r="Q4" s="1"/>
  <c r="C4" i="101"/>
  <c r="K4" s="1"/>
  <c r="Q4" s="1"/>
  <c r="C8"/>
  <c r="K8" s="1"/>
  <c r="Q8" s="1"/>
  <c r="C4" i="102"/>
  <c r="M4" s="1"/>
  <c r="Q4" s="1"/>
  <c r="C9" i="101"/>
  <c r="P43" i="24"/>
  <c r="C24" i="99"/>
  <c r="G24" s="1"/>
  <c r="Q24" s="1"/>
  <c r="Q19" i="74"/>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K24"/>
  <c r="AC24" s="1"/>
  <c r="AO24" s="1"/>
  <c r="L24"/>
  <c r="J24"/>
  <c r="AB24" s="1"/>
  <c r="AN24" s="1"/>
  <c r="V9"/>
  <c r="AJ9" s="1"/>
  <c r="AV9" s="1"/>
  <c r="O9" i="104"/>
  <c r="Q9" s="1"/>
  <c r="V15" i="74"/>
  <c r="AJ15" s="1"/>
  <c r="AV15" s="1"/>
  <c r="O15" i="104"/>
  <c r="Q15" s="1"/>
  <c r="W24" i="74"/>
  <c r="AK24" s="1"/>
  <c r="AW24" s="1"/>
  <c r="O24" i="104"/>
  <c r="Q24" s="1"/>
  <c r="I4" i="100"/>
  <c r="Q4" s="1"/>
  <c r="I4" i="108"/>
  <c r="Q4" s="1"/>
  <c r="V13" i="74"/>
  <c r="AJ13" s="1"/>
  <c r="AV13" s="1"/>
  <c r="O13" i="104"/>
  <c r="Q13" s="1"/>
  <c r="V8" i="74"/>
  <c r="AJ8" s="1"/>
  <c r="AV8" s="1"/>
  <c r="O8" i="104"/>
  <c r="Q8" s="1"/>
  <c r="O4" i="109"/>
  <c r="Q4" s="1"/>
  <c r="O4" i="104"/>
  <c r="Q4" s="1"/>
  <c r="V12" i="74"/>
  <c r="AJ12" s="1"/>
  <c r="AV12" s="1"/>
  <c r="O12" i="104"/>
  <c r="Q12" s="1"/>
  <c r="Q24" i="74"/>
  <c r="AG24" s="1"/>
  <c r="AS24" s="1"/>
  <c r="K24" i="101"/>
  <c r="Q24" s="1"/>
  <c r="W22" i="74"/>
  <c r="AK22" s="1"/>
  <c r="AW22" s="1"/>
  <c r="P8"/>
  <c r="AF8" s="1"/>
  <c r="AR8" s="1"/>
  <c r="M9"/>
  <c r="AD9" s="1"/>
  <c r="AP9" s="1"/>
  <c r="I9" i="100"/>
  <c r="Q9" s="1"/>
  <c r="J12" i="74"/>
  <c r="AB12" s="1"/>
  <c r="AN12" s="1"/>
  <c r="G12" i="99"/>
  <c r="Q12" s="1"/>
  <c r="S13" i="74"/>
  <c r="AH13" s="1"/>
  <c r="AT13" s="1"/>
  <c r="M13" i="102"/>
  <c r="Q13" s="1"/>
  <c r="P15" i="74"/>
  <c r="AF15" s="1"/>
  <c r="AR15" s="1"/>
  <c r="K15" i="101"/>
  <c r="Q15" s="1"/>
  <c r="T24" i="74"/>
  <c r="AI24" s="1"/>
  <c r="AU24" s="1"/>
  <c r="M24" i="102"/>
  <c r="Q24" s="1"/>
  <c r="M8" i="74"/>
  <c r="AD8" s="1"/>
  <c r="AP8" s="1"/>
  <c r="I8" i="100"/>
  <c r="Q8" s="1"/>
  <c r="J9" i="74"/>
  <c r="AB9" s="1"/>
  <c r="AN9" s="1"/>
  <c r="G9" i="99"/>
  <c r="Q9" s="1"/>
  <c r="S12" i="74"/>
  <c r="AH12" s="1"/>
  <c r="AT12" s="1"/>
  <c r="M12" i="102"/>
  <c r="Q12" s="1"/>
  <c r="P13" i="74"/>
  <c r="AF13" s="1"/>
  <c r="AR13" s="1"/>
  <c r="K13" i="101"/>
  <c r="Q13" s="1"/>
  <c r="M15" i="74"/>
  <c r="AD15" s="1"/>
  <c r="AP15" s="1"/>
  <c r="I15" i="100"/>
  <c r="Q15" s="1"/>
  <c r="J8" i="74"/>
  <c r="AB8" s="1"/>
  <c r="AN8" s="1"/>
  <c r="G8" i="99"/>
  <c r="Q8" s="1"/>
  <c r="S9" i="74"/>
  <c r="AH9" s="1"/>
  <c r="AT9" s="1"/>
  <c r="M9" i="102"/>
  <c r="Q9" s="1"/>
  <c r="P12" i="74"/>
  <c r="AF12" s="1"/>
  <c r="AR12" s="1"/>
  <c r="K12" i="101"/>
  <c r="Q12" s="1"/>
  <c r="M13" i="74"/>
  <c r="AD13" s="1"/>
  <c r="AP13" s="1"/>
  <c r="I13" i="100"/>
  <c r="Q13" s="1"/>
  <c r="J15" i="74"/>
  <c r="AB15" s="1"/>
  <c r="AN15" s="1"/>
  <c r="G15" i="99"/>
  <c r="Q15" s="1"/>
  <c r="W18" i="74"/>
  <c r="AK18" s="1"/>
  <c r="AW18" s="1"/>
  <c r="S8"/>
  <c r="AH8" s="1"/>
  <c r="AT8" s="1"/>
  <c r="M8" i="102"/>
  <c r="Q8" s="1"/>
  <c r="P9" i="74"/>
  <c r="AF9" s="1"/>
  <c r="AR9" s="1"/>
  <c r="K9" i="101"/>
  <c r="Q9" s="1"/>
  <c r="M12" i="74"/>
  <c r="AD12" s="1"/>
  <c r="AP12" s="1"/>
  <c r="I12" i="100"/>
  <c r="Q12" s="1"/>
  <c r="J13" i="74"/>
  <c r="AB13" s="1"/>
  <c r="AN13" s="1"/>
  <c r="G13" i="99"/>
  <c r="Q13" s="1"/>
  <c r="S15" i="74"/>
  <c r="AH15" s="1"/>
  <c r="AT15" s="1"/>
  <c r="M15" i="102"/>
  <c r="Q15" s="1"/>
  <c r="W19" i="74"/>
  <c r="AK19" s="1"/>
  <c r="AW19" s="1"/>
  <c r="N24"/>
  <c r="AE24" s="1"/>
  <c r="AQ24" s="1"/>
  <c r="I24" i="100"/>
  <c r="Q24" s="1"/>
  <c r="S24" i="74"/>
  <c r="AH24" s="1"/>
  <c r="AT24" s="1"/>
  <c r="V24"/>
  <c r="AJ24" s="1"/>
  <c r="AV24" s="1"/>
  <c r="P24"/>
  <c r="AF24" s="1"/>
  <c r="AR24" s="1"/>
  <c r="M24"/>
  <c r="AD24" s="1"/>
  <c r="AP24" s="1"/>
  <c r="K6"/>
  <c r="AC6" s="1"/>
  <c r="AO6" s="1"/>
  <c r="AN8" i="24"/>
  <c r="X6" i="74" s="1"/>
  <c r="AB10" i="24"/>
  <c r="V11"/>
  <c r="O9" i="74" s="1"/>
  <c r="P14" i="24"/>
  <c r="AN14"/>
  <c r="X12" i="74" s="1"/>
  <c r="AH15" i="24"/>
  <c r="AB17"/>
  <c r="T6" i="74"/>
  <c r="AI6" s="1"/>
  <c r="AU6" s="1"/>
  <c r="V10" i="24"/>
  <c r="O8" i="74" s="1"/>
  <c r="P11" i="24"/>
  <c r="L9" i="74" s="1"/>
  <c r="AN11" i="24"/>
  <c r="X9" i="74" s="1"/>
  <c r="AH14" i="24"/>
  <c r="AB15"/>
  <c r="V17"/>
  <c r="Q6" i="74"/>
  <c r="AG6" s="1"/>
  <c r="AS6" s="1"/>
  <c r="P10" i="24"/>
  <c r="L8" i="74" s="1"/>
  <c r="AN10" i="24"/>
  <c r="X8" i="74" s="1"/>
  <c r="AH11" i="24"/>
  <c r="AB14"/>
  <c r="V15"/>
  <c r="P17"/>
  <c r="AN17"/>
  <c r="X15" i="74" s="1"/>
  <c r="N6"/>
  <c r="AE6" s="1"/>
  <c r="AQ6" s="1"/>
  <c r="AH10" i="24"/>
  <c r="AB11"/>
  <c r="V14"/>
  <c r="P15"/>
  <c r="AN15"/>
  <c r="X13" i="74" s="1"/>
  <c r="AH17" i="24"/>
  <c r="M4" i="74"/>
  <c r="AD4" s="1"/>
  <c r="AP4" s="1"/>
  <c r="V5"/>
  <c r="AJ5" s="1"/>
  <c r="AV5" s="1"/>
  <c r="V4"/>
  <c r="AJ4" s="1"/>
  <c r="AV4" s="1"/>
  <c r="M7"/>
  <c r="AD7" s="1"/>
  <c r="AP7" s="1"/>
  <c r="S4"/>
  <c r="AH4" s="1"/>
  <c r="AT4" s="1"/>
  <c r="P5"/>
  <c r="AF5" s="1"/>
  <c r="AR5" s="1"/>
  <c r="J7"/>
  <c r="AB7" s="1"/>
  <c r="AN7" s="1"/>
  <c r="V7"/>
  <c r="AJ7" s="1"/>
  <c r="AV7" s="1"/>
  <c r="J5"/>
  <c r="AB5" s="1"/>
  <c r="AN5" s="1"/>
  <c r="P7"/>
  <c r="AF7" s="1"/>
  <c r="AR7" s="1"/>
  <c r="J4"/>
  <c r="AB4" s="1"/>
  <c r="AN4" s="1"/>
  <c r="S5"/>
  <c r="AH5" s="1"/>
  <c r="AT5" s="1"/>
  <c r="P4"/>
  <c r="AF4" s="1"/>
  <c r="AR4" s="1"/>
  <c r="M5"/>
  <c r="AD5" s="1"/>
  <c r="AP5" s="1"/>
  <c r="S7"/>
  <c r="AH7" s="1"/>
  <c r="AT7" s="1"/>
  <c r="I50" i="65"/>
  <c r="N12" i="74" l="1"/>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N6" i="24"/>
  <c r="X4" i="74" s="1"/>
  <c r="K5"/>
  <c r="AC5" s="1"/>
  <c r="AO5" s="1"/>
  <c r="N5"/>
  <c r="AE5" s="1"/>
  <c r="AQ5" s="1"/>
  <c r="Q7"/>
  <c r="AG7" s="1"/>
  <c r="AS7" s="1"/>
  <c r="Q5"/>
  <c r="AG5" s="1"/>
  <c r="AS5" s="1"/>
  <c r="AN7" i="24"/>
  <c r="X5" i="74" s="1"/>
  <c r="T5"/>
  <c r="AI5" s="1"/>
  <c r="AU5" s="1"/>
  <c r="AN9" i="24"/>
  <c r="X7" i="74" s="1"/>
  <c r="N7"/>
  <c r="AE7" s="1"/>
  <c r="AQ7" s="1"/>
  <c r="V6" i="24"/>
  <c r="P6"/>
  <c r="AB6"/>
  <c r="K6" i="113" s="1"/>
  <c r="K7" s="1"/>
  <c r="K8" s="1"/>
  <c r="AH6" i="24"/>
  <c r="C40" i="65"/>
  <c r="C39"/>
  <c r="T4" i="74" l="1"/>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O81" i="24"/>
  <c r="AG81"/>
  <c r="AA81"/>
  <c r="U81"/>
  <c r="N80"/>
  <c r="T80"/>
  <c r="Z80"/>
  <c r="AF80"/>
  <c r="AL80"/>
  <c r="H80"/>
  <c r="I80" s="1"/>
  <c r="G67" i="112" s="1"/>
  <c r="AL80" i="10"/>
  <c r="AM80" s="1"/>
  <c r="AN80" s="1"/>
  <c r="AP80" s="1"/>
  <c r="AF80"/>
  <c r="AG80" s="1"/>
  <c r="AH80" s="1"/>
  <c r="AJ80" s="1"/>
  <c r="Z80"/>
  <c r="AA80" s="1"/>
  <c r="AB80" s="1"/>
  <c r="AD80" s="1"/>
  <c r="T80"/>
  <c r="U80" s="1"/>
  <c r="V80" s="1"/>
  <c r="X80" s="1"/>
  <c r="N80"/>
  <c r="O80" s="1"/>
  <c r="P80" s="1"/>
  <c r="R80" s="1"/>
  <c r="H80"/>
  <c r="I80" s="1"/>
  <c r="J80" s="1"/>
  <c r="I65" i="60"/>
  <c r="I64" i="95" s="1"/>
  <c r="I63" i="24"/>
  <c r="I62"/>
  <c r="O63"/>
  <c r="O62"/>
  <c r="U63"/>
  <c r="Y35" i="58" s="1"/>
  <c r="U62" i="24"/>
  <c r="AA63"/>
  <c r="D115" i="69"/>
  <c r="E115"/>
  <c r="F115"/>
  <c r="D117"/>
  <c r="E117"/>
  <c r="F117"/>
  <c r="D119"/>
  <c r="E119"/>
  <c r="F119"/>
  <c r="D121"/>
  <c r="E121"/>
  <c r="F121"/>
  <c r="D104"/>
  <c r="E104"/>
  <c r="D62"/>
  <c r="E62"/>
  <c r="F62"/>
  <c r="D66"/>
  <c r="E66"/>
  <c r="F66"/>
  <c r="D68"/>
  <c r="E68"/>
  <c r="F68"/>
  <c r="F7"/>
  <c r="F10"/>
  <c r="F12"/>
  <c r="F14"/>
  <c r="E7"/>
  <c r="E10"/>
  <c r="E12"/>
  <c r="E14"/>
  <c r="D7"/>
  <c r="D10"/>
  <c r="D12"/>
  <c r="D14"/>
  <c r="P30" i="74" l="1"/>
  <c r="AF30" s="1"/>
  <c r="AR30" s="1"/>
  <c r="K30" i="101"/>
  <c r="Q30" s="1"/>
  <c r="J30" i="74"/>
  <c r="AB30" s="1"/>
  <c r="AN30" s="1"/>
  <c r="G30" i="99"/>
  <c r="Q30" s="1"/>
  <c r="M31" i="74"/>
  <c r="AD31" s="1"/>
  <c r="AP31" s="1"/>
  <c r="I31" i="100"/>
  <c r="Q31" s="1"/>
  <c r="G31" i="74"/>
  <c r="Z31" s="1"/>
  <c r="AL31" s="1"/>
  <c r="E31" i="98"/>
  <c r="Q31" s="1"/>
  <c r="M30" i="74"/>
  <c r="AD30" s="1"/>
  <c r="AP30" s="1"/>
  <c r="I30" i="100"/>
  <c r="Q30" s="1"/>
  <c r="G30" i="74"/>
  <c r="Z30" s="1"/>
  <c r="AL30" s="1"/>
  <c r="E30" i="98"/>
  <c r="Q30" s="1"/>
  <c r="P31" i="74"/>
  <c r="AF31" s="1"/>
  <c r="AR31" s="1"/>
  <c r="K31" i="101"/>
  <c r="Q31" s="1"/>
  <c r="J31" i="74"/>
  <c r="AB31" s="1"/>
  <c r="AN31" s="1"/>
  <c r="G31" i="99"/>
  <c r="Q31" s="1"/>
  <c r="Q23" i="56"/>
  <c r="M23"/>
  <c r="AN80" i="24"/>
  <c r="P80"/>
  <c r="I23" i="56"/>
  <c r="J80" i="24"/>
  <c r="L80" s="1"/>
  <c r="K22" i="56" s="1"/>
  <c r="I22"/>
  <c r="I37" i="65"/>
  <c r="AB80" i="24"/>
  <c r="V80"/>
  <c r="Q22" i="56"/>
  <c r="AH80" i="24"/>
  <c r="M22" i="56"/>
  <c r="L80" i="10"/>
  <c r="S22" i="56" l="1"/>
  <c r="O22"/>
  <c r="M52" i="96"/>
  <c r="AL84" i="10"/>
  <c r="AA113" s="1"/>
  <c r="AL85"/>
  <c r="AM85" s="1"/>
  <c r="AL86"/>
  <c r="AA115" s="1"/>
  <c r="AL87"/>
  <c r="AM87" s="1"/>
  <c r="AL84" i="24"/>
  <c r="AL85"/>
  <c r="AL86"/>
  <c r="AM86" s="1"/>
  <c r="M7" i="118" s="1"/>
  <c r="AL87" i="24"/>
  <c r="AM84" i="10" l="1"/>
  <c r="AN84" s="1"/>
  <c r="AP84" s="1"/>
  <c r="AD113" s="1"/>
  <c r="AM86"/>
  <c r="AN86" s="1"/>
  <c r="AP86" s="1"/>
  <c r="AD115" s="1"/>
  <c r="AM85" i="24"/>
  <c r="AN85" s="1"/>
  <c r="AM84"/>
  <c r="M6" i="118" s="1"/>
  <c r="M51" i="95"/>
  <c r="M53"/>
  <c r="B1" i="69"/>
  <c r="AN87" i="10"/>
  <c r="AP87" s="1"/>
  <c r="AN85"/>
  <c r="AP85" s="1"/>
  <c r="S3" i="61"/>
  <c r="R7" i="65"/>
  <c r="Q7"/>
  <c r="Q8" s="1"/>
  <c r="Q9" s="1"/>
  <c r="P7"/>
  <c r="P8" s="1"/>
  <c r="P9" s="1"/>
  <c r="N7"/>
  <c r="N8" s="1"/>
  <c r="N9" s="1"/>
  <c r="M7"/>
  <c r="M8" s="1"/>
  <c r="M9" s="1"/>
  <c r="L7"/>
  <c r="L8" s="1"/>
  <c r="L9" s="1"/>
  <c r="K7"/>
  <c r="J7"/>
  <c r="I7"/>
  <c r="H7"/>
  <c r="G7"/>
  <c r="F7"/>
  <c r="E7"/>
  <c r="D7"/>
  <c r="C7"/>
  <c r="B7"/>
  <c r="B1" i="62"/>
  <c r="D168"/>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114"/>
  <c r="E114"/>
  <c r="F114"/>
  <c r="G114"/>
  <c r="H114"/>
  <c r="I114"/>
  <c r="D115"/>
  <c r="E115"/>
  <c r="F115"/>
  <c r="G115"/>
  <c r="H115"/>
  <c r="I115"/>
  <c r="D117"/>
  <c r="E117"/>
  <c r="F117"/>
  <c r="G117"/>
  <c r="H117"/>
  <c r="I117"/>
  <c r="D118"/>
  <c r="E118"/>
  <c r="F118"/>
  <c r="G118"/>
  <c r="H118"/>
  <c r="I118"/>
  <c r="D120"/>
  <c r="E120"/>
  <c r="F120"/>
  <c r="G120"/>
  <c r="H120"/>
  <c r="I120"/>
  <c r="D122"/>
  <c r="E122"/>
  <c r="F122"/>
  <c r="G122"/>
  <c r="H122"/>
  <c r="I122"/>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M50" i="95" l="1"/>
  <c r="M52"/>
  <c r="M49" i="96"/>
  <c r="AP85" i="24"/>
  <c r="AN84"/>
  <c r="AP84" s="1"/>
  <c r="O6" i="118" s="1"/>
  <c r="AM87" i="24"/>
  <c r="M48" i="96"/>
  <c r="O52" i="95"/>
  <c r="O53"/>
  <c r="O51"/>
  <c r="O50"/>
  <c r="F8" i="65"/>
  <c r="F9" s="1"/>
  <c r="D8"/>
  <c r="D9" s="1"/>
  <c r="H8"/>
  <c r="H9" s="1"/>
  <c r="B8"/>
  <c r="B9" s="1"/>
  <c r="J8"/>
  <c r="J9" s="1"/>
  <c r="AN87" i="24" l="1"/>
  <c r="AP87" s="1"/>
  <c r="M51" i="96"/>
  <c r="AN86" i="24"/>
  <c r="AP86" s="1"/>
  <c r="O7" i="118" s="1"/>
  <c r="M50" i="96"/>
  <c r="K26" i="7"/>
  <c r="K27" s="1"/>
  <c r="S19" i="61"/>
  <c r="S25"/>
  <c r="O19"/>
  <c r="O25"/>
  <c r="K19"/>
  <c r="K25"/>
  <c r="Q35"/>
  <c r="M35"/>
  <c r="I35"/>
  <c r="Q34"/>
  <c r="M34"/>
  <c r="I34"/>
  <c r="Q33"/>
  <c r="M33"/>
  <c r="I33"/>
  <c r="Q32"/>
  <c r="M32"/>
  <c r="I32"/>
  <c r="Q31"/>
  <c r="M31"/>
  <c r="I31"/>
  <c r="Q30"/>
  <c r="M30"/>
  <c r="I30"/>
  <c r="Q29"/>
  <c r="M29"/>
  <c r="I29"/>
  <c r="Q28"/>
  <c r="M28"/>
  <c r="I28"/>
  <c r="I30" i="62"/>
  <c r="Y65" i="46"/>
  <c r="I24" i="62" s="1"/>
  <c r="Y66" i="46"/>
  <c r="I25" i="62" s="1"/>
  <c r="Y67" i="46"/>
  <c r="I26" i="62" s="1"/>
  <c r="Y68" i="46"/>
  <c r="I27" i="62" s="1"/>
  <c r="Y69" i="46"/>
  <c r="I28" i="62" s="1"/>
  <c r="Y70" i="46"/>
  <c r="I29" i="62" s="1"/>
  <c r="Y71" i="46"/>
  <c r="Y64"/>
  <c r="I23" i="62" s="1"/>
  <c r="H30"/>
  <c r="Q65" i="46"/>
  <c r="H24" i="62" s="1"/>
  <c r="Q66" i="46"/>
  <c r="H25" i="62" s="1"/>
  <c r="Q67" i="46"/>
  <c r="H26" i="62" s="1"/>
  <c r="Q68" i="46"/>
  <c r="H27" i="62" s="1"/>
  <c r="Q69" i="46"/>
  <c r="H28" i="62" s="1"/>
  <c r="Q70" i="46"/>
  <c r="H29" i="62" s="1"/>
  <c r="Q71" i="46"/>
  <c r="Q64"/>
  <c r="H23" i="62" s="1"/>
  <c r="G30"/>
  <c r="I65" i="46"/>
  <c r="G24" i="62" s="1"/>
  <c r="I66" i="46"/>
  <c r="G25" i="62" s="1"/>
  <c r="I67" i="46"/>
  <c r="G26" i="62" s="1"/>
  <c r="I68" i="46"/>
  <c r="G27" i="62" s="1"/>
  <c r="G28"/>
  <c r="I70" i="46"/>
  <c r="G29" i="62" s="1"/>
  <c r="I71" i="46"/>
  <c r="I64"/>
  <c r="G23" i="62" s="1"/>
  <c r="F30"/>
  <c r="Y27" i="46"/>
  <c r="F24" i="62" s="1"/>
  <c r="Y28" i="46"/>
  <c r="F25" i="62" s="1"/>
  <c r="Y29" i="46"/>
  <c r="F26" i="62" s="1"/>
  <c r="Y30" i="46"/>
  <c r="F27" i="62" s="1"/>
  <c r="Y31" i="46"/>
  <c r="F28" i="62" s="1"/>
  <c r="Y32" i="46"/>
  <c r="F29" i="62" s="1"/>
  <c r="Y33" i="46"/>
  <c r="Y26"/>
  <c r="F23" i="62" s="1"/>
  <c r="E30"/>
  <c r="Q27" i="46"/>
  <c r="E24" i="62" s="1"/>
  <c r="Q28" i="46"/>
  <c r="E25" i="62" s="1"/>
  <c r="Q29" i="46"/>
  <c r="E26" i="62" s="1"/>
  <c r="Q30" i="46"/>
  <c r="E27" i="62" s="1"/>
  <c r="Q31" i="46"/>
  <c r="E28" i="62" s="1"/>
  <c r="Q32" i="46"/>
  <c r="E29" i="62" s="1"/>
  <c r="Q33" i="46"/>
  <c r="Q26"/>
  <c r="E23" i="62" s="1"/>
  <c r="AA57" i="46"/>
  <c r="Y57"/>
  <c r="I16" i="62" s="1"/>
  <c r="S57" i="46"/>
  <c r="Q57"/>
  <c r="H16" i="62" s="1"/>
  <c r="K57" i="46"/>
  <c r="I57"/>
  <c r="G16" i="62" s="1"/>
  <c r="AA19" i="46"/>
  <c r="Y19"/>
  <c r="F16" i="62" s="1"/>
  <c r="S19" i="46"/>
  <c r="Q19"/>
  <c r="E16" i="62" s="1"/>
  <c r="E32" i="69" l="1"/>
  <c r="D25"/>
  <c r="F25"/>
  <c r="E26"/>
  <c r="D27"/>
  <c r="F27"/>
  <c r="E28"/>
  <c r="D29"/>
  <c r="F29"/>
  <c r="E30"/>
  <c r="D31"/>
  <c r="F31"/>
  <c r="D32"/>
  <c r="F32"/>
  <c r="E25"/>
  <c r="D26"/>
  <c r="F26"/>
  <c r="E27"/>
  <c r="D28"/>
  <c r="F28"/>
  <c r="E29"/>
  <c r="D30"/>
  <c r="F30"/>
  <c r="E31"/>
  <c r="F52"/>
  <c r="D52"/>
  <c r="E52"/>
  <c r="F48" i="62"/>
  <c r="G48"/>
  <c r="I48"/>
  <c r="E48"/>
  <c r="H48"/>
  <c r="AM50" i="24"/>
  <c r="AG50"/>
  <c r="S23" i="54"/>
  <c r="AM63" i="24"/>
  <c r="AM62"/>
  <c r="AG63"/>
  <c r="AF17" i="10"/>
  <c r="AG17" s="1"/>
  <c r="AH17" s="1"/>
  <c r="AJ17" s="1"/>
  <c r="V31" i="74" l="1"/>
  <c r="AJ31" s="1"/>
  <c r="AV31" s="1"/>
  <c r="O31" i="104"/>
  <c r="Q31" s="1"/>
  <c r="V39" i="74"/>
  <c r="AJ39" s="1"/>
  <c r="AV39" s="1"/>
  <c r="O39" i="104"/>
  <c r="Q39" s="1"/>
  <c r="V30" i="74"/>
  <c r="AJ30" s="1"/>
  <c r="AV30" s="1"/>
  <c r="O30" i="104"/>
  <c r="Q30" s="1"/>
  <c r="S31" i="74"/>
  <c r="AH31" s="1"/>
  <c r="AT31" s="1"/>
  <c r="M31" i="102"/>
  <c r="Q31" s="1"/>
  <c r="S39" i="74"/>
  <c r="AH39" s="1"/>
  <c r="AT39" s="1"/>
  <c r="M39" i="102"/>
  <c r="Q39" s="1"/>
  <c r="S30" i="74"/>
  <c r="AH30" s="1"/>
  <c r="AT30" s="1"/>
  <c r="M30" i="102"/>
  <c r="Q30" s="1"/>
  <c r="H180" i="62"/>
  <c r="E180"/>
  <c r="I126"/>
  <c r="H126"/>
  <c r="G126"/>
  <c r="F126"/>
  <c r="E126"/>
  <c r="D126"/>
  <c r="AA53" i="58"/>
  <c r="S53"/>
  <c r="K53"/>
  <c r="I180" i="62" l="1"/>
  <c r="G180"/>
  <c r="F180"/>
  <c r="D180"/>
  <c r="G104"/>
  <c r="G159"/>
  <c r="D214"/>
  <c r="I214"/>
  <c r="H104"/>
  <c r="D159"/>
  <c r="F159"/>
  <c r="H159"/>
  <c r="F214"/>
  <c r="H214"/>
  <c r="I104"/>
  <c r="E159"/>
  <c r="I159"/>
  <c r="G214"/>
  <c r="E214"/>
  <c r="AA17" i="58"/>
  <c r="S17"/>
  <c r="K17"/>
  <c r="D104" i="62" l="1"/>
  <c r="F104"/>
  <c r="E104"/>
  <c r="D133"/>
  <c r="I143"/>
  <c r="H143"/>
  <c r="I142"/>
  <c r="H142"/>
  <c r="I139"/>
  <c r="I133"/>
  <c r="I134"/>
  <c r="I135"/>
  <c r="I136"/>
  <c r="I137"/>
  <c r="I138"/>
  <c r="H139"/>
  <c r="H133"/>
  <c r="H134"/>
  <c r="H135"/>
  <c r="H136"/>
  <c r="H137"/>
  <c r="H138"/>
  <c r="I132"/>
  <c r="H132"/>
  <c r="H194"/>
  <c r="Q63" i="60"/>
  <c r="H188" i="62" s="1"/>
  <c r="Q64" i="60"/>
  <c r="H189" i="62" s="1"/>
  <c r="Q65" i="60"/>
  <c r="H190" i="62" s="1"/>
  <c r="Q66" i="60"/>
  <c r="H191" i="62" s="1"/>
  <c r="H192"/>
  <c r="Q68" i="60"/>
  <c r="H193" i="62" s="1"/>
  <c r="Q62" i="60"/>
  <c r="H187" i="62" s="1"/>
  <c r="E157" i="69" l="1"/>
  <c r="F157"/>
  <c r="D157"/>
  <c r="D132" i="62"/>
  <c r="Y62" i="60"/>
  <c r="M61" i="95" s="1"/>
  <c r="I192" i="62"/>
  <c r="Y68" i="60"/>
  <c r="M68" i="95" s="1"/>
  <c r="Y64" i="60"/>
  <c r="M63" i="95" s="1"/>
  <c r="Y66" i="60"/>
  <c r="I191" i="62" s="1"/>
  <c r="Y63" i="60"/>
  <c r="M62" i="95" s="1"/>
  <c r="Y65" i="60"/>
  <c r="M64" i="95" s="1"/>
  <c r="S3" i="56"/>
  <c r="Q3" i="117" s="1"/>
  <c r="Y71" i="58"/>
  <c r="I88" i="62" s="1"/>
  <c r="Y70" i="58"/>
  <c r="I87" i="62" s="1"/>
  <c r="Q71" i="58"/>
  <c r="H88" i="62" s="1"/>
  <c r="H87"/>
  <c r="I84"/>
  <c r="Y61" i="58"/>
  <c r="I78" i="62" s="1"/>
  <c r="Y62" i="58"/>
  <c r="I79" i="62" s="1"/>
  <c r="Y63" i="58"/>
  <c r="I80" i="62" s="1"/>
  <c r="Y64" i="58"/>
  <c r="I81" i="62" s="1"/>
  <c r="Y65" i="58"/>
  <c r="I82" i="62" s="1"/>
  <c r="Y66" i="58"/>
  <c r="I83" i="62" s="1"/>
  <c r="H84"/>
  <c r="Q61" i="58"/>
  <c r="H78" i="62" s="1"/>
  <c r="Q62" i="58"/>
  <c r="H79" i="62" s="1"/>
  <c r="Q63" i="58"/>
  <c r="H80" i="62" s="1"/>
  <c r="Q64" i="58"/>
  <c r="H81" i="62" s="1"/>
  <c r="Q65" i="58"/>
  <c r="H82" i="62" s="1"/>
  <c r="Q66" i="58"/>
  <c r="H83" i="62" s="1"/>
  <c r="Y60" i="58"/>
  <c r="I77" i="62" s="1"/>
  <c r="Q60" i="58"/>
  <c r="H77" i="62" s="1"/>
  <c r="S17" i="54"/>
  <c r="S3"/>
  <c r="G3"/>
  <c r="AB3" s="1"/>
  <c r="AL79" i="24"/>
  <c r="AM79" s="1"/>
  <c r="AF79"/>
  <c r="AG79" s="1"/>
  <c r="AL78"/>
  <c r="AM78" s="1"/>
  <c r="AF78"/>
  <c r="AG78" s="1"/>
  <c r="AL77"/>
  <c r="AM77" s="1"/>
  <c r="AF77"/>
  <c r="AG77" s="1"/>
  <c r="AL76"/>
  <c r="AM76" s="1"/>
  <c r="AF76"/>
  <c r="AG76" s="1"/>
  <c r="AL74"/>
  <c r="AM74" s="1"/>
  <c r="AF74"/>
  <c r="AG74" s="1"/>
  <c r="AL73"/>
  <c r="AM73" s="1"/>
  <c r="C37" i="104" s="1"/>
  <c r="AF73" i="24"/>
  <c r="AG73" s="1"/>
  <c r="C37" i="102" s="1"/>
  <c r="AL72" i="24"/>
  <c r="AM72" s="1"/>
  <c r="AF72"/>
  <c r="AG72" s="1"/>
  <c r="AL71"/>
  <c r="AM71" s="1"/>
  <c r="AF71"/>
  <c r="AG71" s="1"/>
  <c r="AL70"/>
  <c r="AM70" s="1"/>
  <c r="AF70"/>
  <c r="AG70" s="1"/>
  <c r="AL69"/>
  <c r="AM69" s="1"/>
  <c r="C33" i="104" s="1"/>
  <c r="AF69" i="24"/>
  <c r="AL68"/>
  <c r="AM68" s="1"/>
  <c r="C32" i="104" s="1"/>
  <c r="AF68" i="24"/>
  <c r="AL49"/>
  <c r="AM49" s="1"/>
  <c r="AF49"/>
  <c r="AG49" s="1"/>
  <c r="AL48"/>
  <c r="AM48" s="1"/>
  <c r="C29" i="104" s="1"/>
  <c r="AF48" i="24"/>
  <c r="AG48" s="1"/>
  <c r="C29" i="102" s="1"/>
  <c r="AL47" i="24"/>
  <c r="AM47" s="1"/>
  <c r="C28" i="104" s="1"/>
  <c r="AF47" i="24"/>
  <c r="AG47" s="1"/>
  <c r="C28" i="102" s="1"/>
  <c r="AL46" i="24"/>
  <c r="AM46" s="1"/>
  <c r="C27" i="104" s="1"/>
  <c r="AF46" i="24"/>
  <c r="AG46" s="1"/>
  <c r="C27" i="102" s="1"/>
  <c r="AL45" i="24"/>
  <c r="AF45"/>
  <c r="AL42"/>
  <c r="AM42" s="1"/>
  <c r="C23" i="104" s="1"/>
  <c r="AF42" i="24"/>
  <c r="AG42" s="1"/>
  <c r="C23" i="102" s="1"/>
  <c r="AL77" i="10"/>
  <c r="AM77" s="1"/>
  <c r="AL78"/>
  <c r="AM78" s="1"/>
  <c r="AL79"/>
  <c r="AM79" s="1"/>
  <c r="AN79" s="1"/>
  <c r="AP79" s="1"/>
  <c r="AL76"/>
  <c r="AM76" s="1"/>
  <c r="AL69"/>
  <c r="AM69" s="1"/>
  <c r="AN69" s="1"/>
  <c r="AP69" s="1"/>
  <c r="AL70"/>
  <c r="AM70" s="1"/>
  <c r="AN70" s="1"/>
  <c r="AP70" s="1"/>
  <c r="AL71"/>
  <c r="AM71" s="1"/>
  <c r="AN71" s="1"/>
  <c r="AP71" s="1"/>
  <c r="AL72"/>
  <c r="AM72" s="1"/>
  <c r="Y52" i="60" s="1"/>
  <c r="AL73" i="10"/>
  <c r="AL74"/>
  <c r="AM74" s="1"/>
  <c r="AN74" s="1"/>
  <c r="AP74" s="1"/>
  <c r="AL68"/>
  <c r="AM68" s="1"/>
  <c r="AN68" s="1"/>
  <c r="AP68" s="1"/>
  <c r="AF77"/>
  <c r="AG77" s="1"/>
  <c r="Q57" i="60" s="1"/>
  <c r="H182" i="62" s="1"/>
  <c r="AF78" i="10"/>
  <c r="AG78" s="1"/>
  <c r="Q58" i="60" s="1"/>
  <c r="H183" i="62" s="1"/>
  <c r="AF79" i="10"/>
  <c r="AG79" s="1"/>
  <c r="AH79" s="1"/>
  <c r="AJ79" s="1"/>
  <c r="AF76"/>
  <c r="AG76" s="1"/>
  <c r="Q56" i="60" s="1"/>
  <c r="H181" i="62" s="1"/>
  <c r="AF69" i="10"/>
  <c r="AG69" s="1"/>
  <c r="AH69" s="1"/>
  <c r="AJ69" s="1"/>
  <c r="AF70"/>
  <c r="AG70" s="1"/>
  <c r="AH70" s="1"/>
  <c r="AJ70" s="1"/>
  <c r="AF71"/>
  <c r="AG71" s="1"/>
  <c r="AH71" s="1"/>
  <c r="AJ71" s="1"/>
  <c r="AF72"/>
  <c r="AG72" s="1"/>
  <c r="Q52" i="60" s="1"/>
  <c r="H177" i="62" s="1"/>
  <c r="AF73" i="10"/>
  <c r="AF74"/>
  <c r="AG74" s="1"/>
  <c r="AH74" s="1"/>
  <c r="AJ74" s="1"/>
  <c r="AF68"/>
  <c r="AG68" s="1"/>
  <c r="AH68" s="1"/>
  <c r="AJ68" s="1"/>
  <c r="AL15"/>
  <c r="AM15" s="1"/>
  <c r="AN15" s="1"/>
  <c r="AP15" s="1"/>
  <c r="AL16"/>
  <c r="AM16" s="1"/>
  <c r="AN16" s="1"/>
  <c r="AP16" s="1"/>
  <c r="AL17"/>
  <c r="AM17" s="1"/>
  <c r="AN17" s="1"/>
  <c r="AP17" s="1"/>
  <c r="AL18"/>
  <c r="AM18" s="1"/>
  <c r="AN18" s="1"/>
  <c r="AP18" s="1"/>
  <c r="AL14"/>
  <c r="AM14" s="1"/>
  <c r="AN14" s="1"/>
  <c r="AP14" s="1"/>
  <c r="AF15"/>
  <c r="AG15" s="1"/>
  <c r="AH15" s="1"/>
  <c r="AJ15" s="1"/>
  <c r="AF16"/>
  <c r="AG16" s="1"/>
  <c r="AH16" s="1"/>
  <c r="AJ16" s="1"/>
  <c r="AF18"/>
  <c r="AG18" s="1"/>
  <c r="AH18" s="1"/>
  <c r="AJ18" s="1"/>
  <c r="AF14"/>
  <c r="AG14" s="1"/>
  <c r="AH14" s="1"/>
  <c r="AJ14" s="1"/>
  <c r="AL46"/>
  <c r="AM46" s="1"/>
  <c r="AN46" s="1"/>
  <c r="AP46" s="1"/>
  <c r="AL47"/>
  <c r="AM47" s="1"/>
  <c r="AN47" s="1"/>
  <c r="AP47" s="1"/>
  <c r="AL48"/>
  <c r="AM48" s="1"/>
  <c r="AN48" s="1"/>
  <c r="AP48" s="1"/>
  <c r="AL49"/>
  <c r="AM49" s="1"/>
  <c r="AN49" s="1"/>
  <c r="AP49" s="1"/>
  <c r="AL45"/>
  <c r="AM45" s="1"/>
  <c r="AN45" s="1"/>
  <c r="AP45" s="1"/>
  <c r="AF46"/>
  <c r="AG46" s="1"/>
  <c r="AH46" s="1"/>
  <c r="AJ46" s="1"/>
  <c r="AF47"/>
  <c r="AG47" s="1"/>
  <c r="AH47" s="1"/>
  <c r="AJ47" s="1"/>
  <c r="AF48"/>
  <c r="AG48" s="1"/>
  <c r="AH48" s="1"/>
  <c r="AJ48" s="1"/>
  <c r="AF49"/>
  <c r="AG49" s="1"/>
  <c r="AH49" s="1"/>
  <c r="AJ49" s="1"/>
  <c r="AF45"/>
  <c r="AG45" s="1"/>
  <c r="AH45" s="1"/>
  <c r="AJ45" s="1"/>
  <c r="AL38"/>
  <c r="AM38" s="1"/>
  <c r="AN38" s="1"/>
  <c r="AP38" s="1"/>
  <c r="AL39"/>
  <c r="AM39" s="1"/>
  <c r="AN39" s="1"/>
  <c r="AP39" s="1"/>
  <c r="AL40"/>
  <c r="AM40" s="1"/>
  <c r="AN40" s="1"/>
  <c r="AP40" s="1"/>
  <c r="AL41"/>
  <c r="AM41" s="1"/>
  <c r="AN41" s="1"/>
  <c r="AP41" s="1"/>
  <c r="AL42"/>
  <c r="AM42" s="1"/>
  <c r="AN42" s="1"/>
  <c r="AP42" s="1"/>
  <c r="AL43"/>
  <c r="AM43" s="1"/>
  <c r="AN43" s="1"/>
  <c r="AP43" s="1"/>
  <c r="AL37"/>
  <c r="AM37" s="1"/>
  <c r="AN37" s="1"/>
  <c r="AP37" s="1"/>
  <c r="AF38"/>
  <c r="AG38" s="1"/>
  <c r="AH38" s="1"/>
  <c r="AJ38" s="1"/>
  <c r="AF39"/>
  <c r="AG39" s="1"/>
  <c r="AH39" s="1"/>
  <c r="AJ39" s="1"/>
  <c r="AF40"/>
  <c r="AG40" s="1"/>
  <c r="AH40" s="1"/>
  <c r="AJ40" s="1"/>
  <c r="AF41"/>
  <c r="AG41" s="1"/>
  <c r="AH41" s="1"/>
  <c r="AJ41" s="1"/>
  <c r="AF42"/>
  <c r="AG42" s="1"/>
  <c r="AH42" s="1"/>
  <c r="AJ42" s="1"/>
  <c r="AF43"/>
  <c r="AG43" s="1"/>
  <c r="AH43" s="1"/>
  <c r="AJ43" s="1"/>
  <c r="AF37"/>
  <c r="AG37" s="1"/>
  <c r="AH37" s="1"/>
  <c r="AJ37" s="1"/>
  <c r="AL7"/>
  <c r="AM7" s="1"/>
  <c r="AN7" s="1"/>
  <c r="AP7" s="1"/>
  <c r="AL8"/>
  <c r="AL9"/>
  <c r="AL10"/>
  <c r="AM10" s="1"/>
  <c r="AN10" s="1"/>
  <c r="AP10" s="1"/>
  <c r="AL11"/>
  <c r="AM11" s="1"/>
  <c r="AN11" s="1"/>
  <c r="AP11" s="1"/>
  <c r="AL12"/>
  <c r="AM12" s="1"/>
  <c r="AN12" s="1"/>
  <c r="AP12" s="1"/>
  <c r="AL6"/>
  <c r="AM6" s="1"/>
  <c r="AN6" s="1"/>
  <c r="AP6" s="1"/>
  <c r="AF7"/>
  <c r="AG7" s="1"/>
  <c r="AH7" s="1"/>
  <c r="AJ7" s="1"/>
  <c r="AF8"/>
  <c r="AF9"/>
  <c r="AF10"/>
  <c r="AG10" s="1"/>
  <c r="AH10" s="1"/>
  <c r="AJ10" s="1"/>
  <c r="AF11"/>
  <c r="AG11" s="1"/>
  <c r="AH11" s="1"/>
  <c r="AJ11" s="1"/>
  <c r="AF12"/>
  <c r="AG12" s="1"/>
  <c r="AH12" s="1"/>
  <c r="AJ12" s="1"/>
  <c r="AF6"/>
  <c r="AG6" s="1"/>
  <c r="AH6" s="1"/>
  <c r="AJ6" s="1"/>
  <c r="AH70" i="24" l="1"/>
  <c r="U34" i="74" s="1"/>
  <c r="C34" i="102"/>
  <c r="M34" s="1"/>
  <c r="Q34" s="1"/>
  <c r="AH71" i="24"/>
  <c r="U35" i="74" s="1"/>
  <c r="C35" i="102"/>
  <c r="AH72" i="24"/>
  <c r="U36" i="74" s="1"/>
  <c r="C36" i="102"/>
  <c r="M36" s="1"/>
  <c r="Q36" s="1"/>
  <c r="AH74" i="24"/>
  <c r="U38" i="74" s="1"/>
  <c r="C38" i="102"/>
  <c r="M38" s="1"/>
  <c r="Q38" s="1"/>
  <c r="AH76" i="24"/>
  <c r="U40" i="74" s="1"/>
  <c r="C40" i="102"/>
  <c r="M40" s="1"/>
  <c r="Q40" s="1"/>
  <c r="AH77" i="24"/>
  <c r="U41" i="74" s="1"/>
  <c r="C41" i="102"/>
  <c r="M41" s="1"/>
  <c r="Q41" s="1"/>
  <c r="AH78" i="24"/>
  <c r="U42" i="74" s="1"/>
  <c r="C42" i="102"/>
  <c r="M42" s="1"/>
  <c r="Q42" s="1"/>
  <c r="AH79" i="24"/>
  <c r="U43" i="74" s="1"/>
  <c r="C43" i="102"/>
  <c r="M43" s="1"/>
  <c r="Q43" s="1"/>
  <c r="AN70" i="24"/>
  <c r="X34" i="74" s="1"/>
  <c r="C34" i="104"/>
  <c r="O34" s="1"/>
  <c r="Q34" s="1"/>
  <c r="AN71" i="24"/>
  <c r="X35" i="74" s="1"/>
  <c r="C35" i="104"/>
  <c r="AN72" i="24"/>
  <c r="X36" i="74" s="1"/>
  <c r="C36" i="104"/>
  <c r="O36" s="1"/>
  <c r="Q36" s="1"/>
  <c r="AN74" i="24"/>
  <c r="X38" i="74" s="1"/>
  <c r="C38" i="104"/>
  <c r="O38" s="1"/>
  <c r="Q38" s="1"/>
  <c r="AN76" i="24"/>
  <c r="X40" i="74" s="1"/>
  <c r="C40" i="104"/>
  <c r="O40" s="1"/>
  <c r="Q40" s="1"/>
  <c r="AN77" i="24"/>
  <c r="X41" i="74" s="1"/>
  <c r="C41" i="104"/>
  <c r="O41" s="1"/>
  <c r="Q41" s="1"/>
  <c r="AN78" i="24"/>
  <c r="X42" i="74" s="1"/>
  <c r="C42" i="104"/>
  <c r="O42" s="1"/>
  <c r="Q42" s="1"/>
  <c r="AN79" i="24"/>
  <c r="X43" i="74" s="1"/>
  <c r="C43" i="104"/>
  <c r="AM73" i="10"/>
  <c r="AN73" s="1"/>
  <c r="AP73" s="1"/>
  <c r="AA53" i="60" s="1"/>
  <c r="AG73" i="10"/>
  <c r="AH73" s="1"/>
  <c r="AJ73" s="1"/>
  <c r="S53" i="60" s="1"/>
  <c r="V23" i="74"/>
  <c r="AJ23" s="1"/>
  <c r="AV23" s="1"/>
  <c r="O23" i="104"/>
  <c r="Q23" s="1"/>
  <c r="V29" i="74"/>
  <c r="AJ29" s="1"/>
  <c r="AV29" s="1"/>
  <c r="O29" i="104"/>
  <c r="Q29" s="1"/>
  <c r="V38" i="74"/>
  <c r="AJ38" s="1"/>
  <c r="AV38" s="1"/>
  <c r="V28"/>
  <c r="AJ28" s="1"/>
  <c r="AV28" s="1"/>
  <c r="O28" i="104"/>
  <c r="Q28" s="1"/>
  <c r="V33" i="74"/>
  <c r="AJ33" s="1"/>
  <c r="AV33" s="1"/>
  <c r="O33" i="104"/>
  <c r="Q33" s="1"/>
  <c r="O35"/>
  <c r="Q35" s="1"/>
  <c r="V37" i="74"/>
  <c r="AJ37" s="1"/>
  <c r="AV37" s="1"/>
  <c r="O37" i="104"/>
  <c r="Q37" s="1"/>
  <c r="V40" i="74"/>
  <c r="AJ40" s="1"/>
  <c r="AV40" s="1"/>
  <c r="V42"/>
  <c r="AJ42" s="1"/>
  <c r="AV42" s="1"/>
  <c r="V27"/>
  <c r="AJ27" s="1"/>
  <c r="AV27" s="1"/>
  <c r="O27" i="104"/>
  <c r="Q27" s="1"/>
  <c r="V32" i="74"/>
  <c r="AJ32" s="1"/>
  <c r="AV32" s="1"/>
  <c r="O32" i="104"/>
  <c r="Q32" s="1"/>
  <c r="V36" i="74"/>
  <c r="AJ36" s="1"/>
  <c r="AV36" s="1"/>
  <c r="V41"/>
  <c r="AJ41" s="1"/>
  <c r="AV41" s="1"/>
  <c r="S46" i="60"/>
  <c r="S47" s="1"/>
  <c r="Q46"/>
  <c r="H170" i="62" s="1"/>
  <c r="S23" i="74"/>
  <c r="AH23" s="1"/>
  <c r="AT23" s="1"/>
  <c r="M23" i="102"/>
  <c r="Q23" s="1"/>
  <c r="S27" i="74"/>
  <c r="AH27" s="1"/>
  <c r="AT27" s="1"/>
  <c r="M27" i="102"/>
  <c r="Q27" s="1"/>
  <c r="S29" i="74"/>
  <c r="AH29" s="1"/>
  <c r="AT29" s="1"/>
  <c r="M29" i="102"/>
  <c r="Q29" s="1"/>
  <c r="S34" i="74"/>
  <c r="AH34" s="1"/>
  <c r="AT34" s="1"/>
  <c r="S36"/>
  <c r="AH36" s="1"/>
  <c r="AT36" s="1"/>
  <c r="S38"/>
  <c r="AH38" s="1"/>
  <c r="AT38" s="1"/>
  <c r="S41"/>
  <c r="AH41" s="1"/>
  <c r="AT41" s="1"/>
  <c r="S43"/>
  <c r="AH43" s="1"/>
  <c r="AT43" s="1"/>
  <c r="S44" i="60"/>
  <c r="S45" s="1"/>
  <c r="S28" i="74"/>
  <c r="AH28" s="1"/>
  <c r="AT28" s="1"/>
  <c r="M28" i="102"/>
  <c r="Q28" s="1"/>
  <c r="S35" i="74"/>
  <c r="AH35" s="1"/>
  <c r="AT35" s="1"/>
  <c r="M35" i="102"/>
  <c r="Q35" s="1"/>
  <c r="S37" i="74"/>
  <c r="AH37" s="1"/>
  <c r="AT37" s="1"/>
  <c r="M37" i="102"/>
  <c r="Q37" s="1"/>
  <c r="S40" i="74"/>
  <c r="AH40" s="1"/>
  <c r="AT40" s="1"/>
  <c r="S42"/>
  <c r="AH42" s="1"/>
  <c r="AT42" s="1"/>
  <c r="M42" i="95"/>
  <c r="M48"/>
  <c r="M58"/>
  <c r="M46"/>
  <c r="M57"/>
  <c r="M55"/>
  <c r="M44"/>
  <c r="M56"/>
  <c r="AH49" i="24"/>
  <c r="AJ49" s="1"/>
  <c r="AN49"/>
  <c r="AP49" s="1"/>
  <c r="AG9" i="10"/>
  <c r="AH9" s="1"/>
  <c r="AJ9" s="1"/>
  <c r="S52" i="46" s="1"/>
  <c r="S53" s="1"/>
  <c r="AM8" i="10"/>
  <c r="AN8" s="1"/>
  <c r="AP8" s="1"/>
  <c r="AA50" i="46" s="1"/>
  <c r="AA51" s="1"/>
  <c r="AG8" i="10"/>
  <c r="AH8" s="1"/>
  <c r="AJ8" s="1"/>
  <c r="S50" i="46" s="1"/>
  <c r="S51" s="1"/>
  <c r="AM9" i="10"/>
  <c r="AN9" s="1"/>
  <c r="AP9" s="1"/>
  <c r="AA52" i="46" s="1"/>
  <c r="AA53" s="1"/>
  <c r="AH47" i="24"/>
  <c r="AH42"/>
  <c r="AH46"/>
  <c r="AH48"/>
  <c r="T38" i="74"/>
  <c r="AI38" s="1"/>
  <c r="AU38" s="1"/>
  <c r="T43"/>
  <c r="AI43" s="1"/>
  <c r="AU43" s="1"/>
  <c r="AN47" i="24"/>
  <c r="X28" i="74" s="1"/>
  <c r="AN42" i="24"/>
  <c r="X23" i="74" s="1"/>
  <c r="AN46" i="24"/>
  <c r="X27" i="74" s="1"/>
  <c r="AN48" i="24"/>
  <c r="X29" i="74" s="1"/>
  <c r="F104" i="69"/>
  <c r="AA52" i="58"/>
  <c r="S52"/>
  <c r="V35" i="74"/>
  <c r="AJ35" s="1"/>
  <c r="AV35" s="1"/>
  <c r="AG69" i="24"/>
  <c r="C33" i="102" s="1"/>
  <c r="V34" i="74"/>
  <c r="AJ34" s="1"/>
  <c r="AV34" s="1"/>
  <c r="AG68" i="24"/>
  <c r="C32" i="102" s="1"/>
  <c r="AM45" i="24"/>
  <c r="C26" i="104" s="1"/>
  <c r="AG45" i="24"/>
  <c r="C26" i="102" s="1"/>
  <c r="S59" i="60"/>
  <c r="I187" i="62"/>
  <c r="I189"/>
  <c r="I188"/>
  <c r="I194"/>
  <c r="AN68" i="24"/>
  <c r="X32" i="74" s="1"/>
  <c r="AN69" i="24"/>
  <c r="X33" i="74" s="1"/>
  <c r="Y59" i="60"/>
  <c r="I184" i="62" s="1"/>
  <c r="I190"/>
  <c r="I193"/>
  <c r="Y58" i="60"/>
  <c r="I183" i="62" s="1"/>
  <c r="Y56" i="60"/>
  <c r="I181" i="62" s="1"/>
  <c r="Y57" i="60"/>
  <c r="I182" i="62" s="1"/>
  <c r="I177"/>
  <c r="S55" i="46"/>
  <c r="Q55"/>
  <c r="H14" i="62" s="1"/>
  <c r="AA54" i="46"/>
  <c r="I45" i="62" s="1"/>
  <c r="Y54" i="46"/>
  <c r="I13" i="62" s="1"/>
  <c r="S44" i="46"/>
  <c r="S45" s="1"/>
  <c r="S46" s="1"/>
  <c r="Q44"/>
  <c r="H5" i="62" s="1"/>
  <c r="AA56" i="46"/>
  <c r="Y56"/>
  <c r="I15" i="62" s="1"/>
  <c r="S58" i="46"/>
  <c r="Q58"/>
  <c r="H17" i="62" s="1"/>
  <c r="S59" i="46"/>
  <c r="Q59"/>
  <c r="H18" i="62" s="1"/>
  <c r="AA60" i="46"/>
  <c r="Y60"/>
  <c r="I19" i="62" s="1"/>
  <c r="S54" i="46"/>
  <c r="H45" i="62" s="1"/>
  <c r="Q54" i="46"/>
  <c r="H13" i="62" s="1"/>
  <c r="AA44" i="46"/>
  <c r="AA45" s="1"/>
  <c r="AA46" s="1"/>
  <c r="Y44"/>
  <c r="I5" i="62" s="1"/>
  <c r="S60" i="46"/>
  <c r="Q60"/>
  <c r="H19" i="62" s="1"/>
  <c r="AA61" i="46"/>
  <c r="Y61"/>
  <c r="I20" i="62" s="1"/>
  <c r="S47" i="46"/>
  <c r="S48" s="1"/>
  <c r="S49" s="1"/>
  <c r="Q47"/>
  <c r="H7" i="62" s="1"/>
  <c r="S61" i="46"/>
  <c r="Q61"/>
  <c r="H20" i="62" s="1"/>
  <c r="S56" i="46"/>
  <c r="Q56"/>
  <c r="H15" i="62" s="1"/>
  <c r="AA55" i="46"/>
  <c r="Y55"/>
  <c r="I14" i="62" s="1"/>
  <c r="AA47" i="46"/>
  <c r="AA48" s="1"/>
  <c r="AA49" s="1"/>
  <c r="Y47"/>
  <c r="I7" i="62" s="1"/>
  <c r="AA58" i="46"/>
  <c r="Y58"/>
  <c r="I17" i="62" s="1"/>
  <c r="AA59" i="46"/>
  <c r="Y59"/>
  <c r="I18" i="62" s="1"/>
  <c r="H129"/>
  <c r="AH73" i="24"/>
  <c r="T41" i="74"/>
  <c r="AI41" s="1"/>
  <c r="AU41" s="1"/>
  <c r="T36"/>
  <c r="AI36" s="1"/>
  <c r="AU36" s="1"/>
  <c r="AN73" i="24"/>
  <c r="X37" i="74" s="1"/>
  <c r="T40"/>
  <c r="AI40" s="1"/>
  <c r="AU40" s="1"/>
  <c r="T42"/>
  <c r="AI42" s="1"/>
  <c r="AU42" s="1"/>
  <c r="S48" i="60"/>
  <c r="S49" s="1"/>
  <c r="Q48"/>
  <c r="H173" i="62" s="1"/>
  <c r="Y48" i="60"/>
  <c r="Y46"/>
  <c r="Q44"/>
  <c r="H167" i="62" s="1"/>
  <c r="S50" i="60"/>
  <c r="S51" s="1"/>
  <c r="Q50"/>
  <c r="H175" i="62" s="1"/>
  <c r="Y44" i="60"/>
  <c r="Y50"/>
  <c r="AH78" i="10"/>
  <c r="AJ78" s="1"/>
  <c r="S58" i="60" s="1"/>
  <c r="AH72" i="10"/>
  <c r="AJ72" s="1"/>
  <c r="S52" i="60" s="1"/>
  <c r="H211" i="62" s="1"/>
  <c r="AH76" i="10"/>
  <c r="AJ76" s="1"/>
  <c r="S56" i="60" s="1"/>
  <c r="AH77" i="10"/>
  <c r="AJ77" s="1"/>
  <c r="S57" i="60" s="1"/>
  <c r="AN72" i="10"/>
  <c r="AP72" s="1"/>
  <c r="AA52" i="60" s="1"/>
  <c r="AN76" i="10"/>
  <c r="AP76" s="1"/>
  <c r="AN77"/>
  <c r="AP77" s="1"/>
  <c r="AN78"/>
  <c r="AP78" s="1"/>
  <c r="S57" i="58"/>
  <c r="Q57"/>
  <c r="H74" i="62" s="1"/>
  <c r="AA51" i="58"/>
  <c r="Y51"/>
  <c r="I68" i="62" s="1"/>
  <c r="H127"/>
  <c r="S54" i="58"/>
  <c r="Q54"/>
  <c r="H71" i="62" s="1"/>
  <c r="S48" i="58"/>
  <c r="S49" s="1"/>
  <c r="Q48"/>
  <c r="H65" i="62" s="1"/>
  <c r="H124"/>
  <c r="AA42" i="58"/>
  <c r="AA43" s="1"/>
  <c r="Y42"/>
  <c r="I57" i="62" s="1"/>
  <c r="S51" i="58"/>
  <c r="Q51"/>
  <c r="H68" i="62" s="1"/>
  <c r="S44" i="58"/>
  <c r="S45" s="1"/>
  <c r="Q44"/>
  <c r="H60" i="62" s="1"/>
  <c r="AA50" i="58"/>
  <c r="Y50"/>
  <c r="I67" i="62" s="1"/>
  <c r="H146"/>
  <c r="H113"/>
  <c r="H154"/>
  <c r="H121"/>
  <c r="I125"/>
  <c r="I152"/>
  <c r="I119"/>
  <c r="I129"/>
  <c r="S42" i="58"/>
  <c r="S43" s="1"/>
  <c r="Q42"/>
  <c r="H57" i="62" s="1"/>
  <c r="H149"/>
  <c r="H116"/>
  <c r="I127"/>
  <c r="S46" i="58"/>
  <c r="S47" s="1"/>
  <c r="Q46"/>
  <c r="H63" i="62" s="1"/>
  <c r="AA44" i="58"/>
  <c r="AA45" s="1"/>
  <c r="Y44"/>
  <c r="I60" i="62" s="1"/>
  <c r="H123"/>
  <c r="I146"/>
  <c r="I113"/>
  <c r="I154"/>
  <c r="I121"/>
  <c r="AA54" i="58"/>
  <c r="Y54"/>
  <c r="I71" i="62" s="1"/>
  <c r="AA55" i="58"/>
  <c r="Y55"/>
  <c r="I72" i="62" s="1"/>
  <c r="AA56" i="58"/>
  <c r="Y56"/>
  <c r="I73" i="62" s="1"/>
  <c r="AA46" i="58"/>
  <c r="AA47" s="1"/>
  <c r="Y46"/>
  <c r="I63" i="62" s="1"/>
  <c r="I123"/>
  <c r="S55" i="58"/>
  <c r="Q55"/>
  <c r="H72" i="62" s="1"/>
  <c r="S50" i="58"/>
  <c r="Q50"/>
  <c r="H67" i="62" s="1"/>
  <c r="AA48" i="58"/>
  <c r="AA49" s="1"/>
  <c r="Y48"/>
  <c r="I65" i="62" s="1"/>
  <c r="H125"/>
  <c r="H152"/>
  <c r="H119"/>
  <c r="I124"/>
  <c r="I149"/>
  <c r="I116"/>
  <c r="H128"/>
  <c r="I128"/>
  <c r="S56" i="58"/>
  <c r="Q56"/>
  <c r="H73" i="62" s="1"/>
  <c r="AA57" i="58"/>
  <c r="Y57"/>
  <c r="I74" i="62" s="1"/>
  <c r="T29" i="74" l="1"/>
  <c r="AI29" s="1"/>
  <c r="AU29" s="1"/>
  <c r="U29"/>
  <c r="T23"/>
  <c r="AI23" s="1"/>
  <c r="AU23" s="1"/>
  <c r="U23"/>
  <c r="T37"/>
  <c r="AI37" s="1"/>
  <c r="AU37" s="1"/>
  <c r="U37"/>
  <c r="T27"/>
  <c r="AI27" s="1"/>
  <c r="AU27" s="1"/>
  <c r="U27"/>
  <c r="T28"/>
  <c r="AI28" s="1"/>
  <c r="AU28" s="1"/>
  <c r="U28"/>
  <c r="Y52" i="46"/>
  <c r="I11" i="62" s="1"/>
  <c r="Y53" i="60"/>
  <c r="I178" i="62" s="1"/>
  <c r="Q52" i="46"/>
  <c r="H11" i="62" s="1"/>
  <c r="Q53" i="60"/>
  <c r="H178" i="62" s="1"/>
  <c r="H209"/>
  <c r="H207"/>
  <c r="H208"/>
  <c r="H201"/>
  <c r="H202"/>
  <c r="Y50" i="46"/>
  <c r="I9" i="62" s="1"/>
  <c r="V26" i="74"/>
  <c r="AJ26" s="1"/>
  <c r="AV26" s="1"/>
  <c r="O26" i="104"/>
  <c r="Q26" s="1"/>
  <c r="T34" i="74"/>
  <c r="AI34" s="1"/>
  <c r="AU34" s="1"/>
  <c r="V43"/>
  <c r="AJ43" s="1"/>
  <c r="AV43" s="1"/>
  <c r="O43" i="104"/>
  <c r="Q43" s="1"/>
  <c r="W40" i="74"/>
  <c r="AK40" s="1"/>
  <c r="AW40" s="1"/>
  <c r="S26"/>
  <c r="AH26" s="1"/>
  <c r="AT26" s="1"/>
  <c r="M26" i="102"/>
  <c r="Q26" s="1"/>
  <c r="S33" i="74"/>
  <c r="AH33" s="1"/>
  <c r="AT33" s="1"/>
  <c r="M33" i="102"/>
  <c r="Q33" s="1"/>
  <c r="W29" i="74"/>
  <c r="AK29" s="1"/>
  <c r="AW29" s="1"/>
  <c r="W38"/>
  <c r="AK38" s="1"/>
  <c r="AW38" s="1"/>
  <c r="W28"/>
  <c r="AK28" s="1"/>
  <c r="AW28" s="1"/>
  <c r="W36"/>
  <c r="AK36" s="1"/>
  <c r="AW36" s="1"/>
  <c r="W41"/>
  <c r="AK41" s="1"/>
  <c r="AW41" s="1"/>
  <c r="W42"/>
  <c r="AK42" s="1"/>
  <c r="AW42" s="1"/>
  <c r="S32"/>
  <c r="AH32" s="1"/>
  <c r="AT32" s="1"/>
  <c r="M32" i="102"/>
  <c r="Q32" s="1"/>
  <c r="W23" i="74"/>
  <c r="AK23" s="1"/>
  <c r="AW23" s="1"/>
  <c r="W37"/>
  <c r="AK37" s="1"/>
  <c r="AW37" s="1"/>
  <c r="W27"/>
  <c r="AK27" s="1"/>
  <c r="AW27" s="1"/>
  <c r="Q50" i="46"/>
  <c r="H9" i="62" s="1"/>
  <c r="O44" i="95"/>
  <c r="O45" s="1"/>
  <c r="O57"/>
  <c r="O56"/>
  <c r="O42"/>
  <c r="O43" s="1"/>
  <c r="O55"/>
  <c r="O48"/>
  <c r="O49" s="1"/>
  <c r="O46"/>
  <c r="O47" s="1"/>
  <c r="O58"/>
  <c r="W33" i="74"/>
  <c r="AK33" s="1"/>
  <c r="AW33" s="1"/>
  <c r="W32"/>
  <c r="AK32" s="1"/>
  <c r="AW32" s="1"/>
  <c r="T35"/>
  <c r="AI35" s="1"/>
  <c r="AU35" s="1"/>
  <c r="AN45" i="24"/>
  <c r="X26" i="74" s="1"/>
  <c r="AH45" i="24"/>
  <c r="AH69"/>
  <c r="U33" i="74" s="1"/>
  <c r="AH68" i="24"/>
  <c r="U32" i="74" s="1"/>
  <c r="Y52" i="58"/>
  <c r="I69" i="62" s="1"/>
  <c r="Q52" i="58"/>
  <c r="H69" i="62" s="1"/>
  <c r="H97"/>
  <c r="H98"/>
  <c r="H99"/>
  <c r="H100"/>
  <c r="H94"/>
  <c r="I91"/>
  <c r="I99"/>
  <c r="I100"/>
  <c r="I97"/>
  <c r="I98"/>
  <c r="I94"/>
  <c r="H91"/>
  <c r="Q59" i="60"/>
  <c r="H184" i="62" s="1"/>
  <c r="I39"/>
  <c r="I40"/>
  <c r="H41"/>
  <c r="H42"/>
  <c r="I43"/>
  <c r="I41"/>
  <c r="I42"/>
  <c r="H43"/>
  <c r="H39"/>
  <c r="H40"/>
  <c r="I37"/>
  <c r="I38"/>
  <c r="H37"/>
  <c r="H38"/>
  <c r="AA46" i="60"/>
  <c r="AA47" s="1"/>
  <c r="AA50"/>
  <c r="AA51" s="1"/>
  <c r="AA48"/>
  <c r="AA49" s="1"/>
  <c r="AA56"/>
  <c r="AA58"/>
  <c r="AA57"/>
  <c r="AA59"/>
  <c r="AA44"/>
  <c r="AA45" s="1"/>
  <c r="I167" i="62"/>
  <c r="I211"/>
  <c r="I170"/>
  <c r="I175"/>
  <c r="I173"/>
  <c r="H213"/>
  <c r="I162"/>
  <c r="H160"/>
  <c r="H215"/>
  <c r="H218"/>
  <c r="I50"/>
  <c r="I157"/>
  <c r="H101"/>
  <c r="I103"/>
  <c r="H216"/>
  <c r="I213"/>
  <c r="I46"/>
  <c r="I160"/>
  <c r="I101"/>
  <c r="H102"/>
  <c r="H157"/>
  <c r="H105"/>
  <c r="I102"/>
  <c r="H204"/>
  <c r="H217"/>
  <c r="I158"/>
  <c r="H108"/>
  <c r="I212"/>
  <c r="H162"/>
  <c r="H46"/>
  <c r="H107"/>
  <c r="H161"/>
  <c r="H158"/>
  <c r="I156"/>
  <c r="I106"/>
  <c r="H156"/>
  <c r="H212"/>
  <c r="H47"/>
  <c r="H51"/>
  <c r="I51"/>
  <c r="I47"/>
  <c r="I108"/>
  <c r="I161"/>
  <c r="H106"/>
  <c r="I107"/>
  <c r="I105"/>
  <c r="H103"/>
  <c r="H52"/>
  <c r="I52"/>
  <c r="H50"/>
  <c r="H179"/>
  <c r="H49"/>
  <c r="I49"/>
  <c r="H153"/>
  <c r="I155"/>
  <c r="I153"/>
  <c r="H155"/>
  <c r="H210"/>
  <c r="H205"/>
  <c r="T26" i="74" l="1"/>
  <c r="AI26" s="1"/>
  <c r="AU26" s="1"/>
  <c r="U26"/>
  <c r="I204" i="62"/>
  <c r="I205"/>
  <c r="W26" i="74"/>
  <c r="AK26" s="1"/>
  <c r="AW26" s="1"/>
  <c r="W43"/>
  <c r="AK43" s="1"/>
  <c r="AW43" s="1"/>
  <c r="T32"/>
  <c r="AI32" s="1"/>
  <c r="AU32" s="1"/>
  <c r="T33"/>
  <c r="AI33" s="1"/>
  <c r="AU33" s="1"/>
  <c r="W34"/>
  <c r="AK34" s="1"/>
  <c r="AW34" s="1"/>
  <c r="W35"/>
  <c r="AK35" s="1"/>
  <c r="AW35" s="1"/>
  <c r="I202" i="62"/>
  <c r="I215"/>
  <c r="I216"/>
  <c r="I209"/>
  <c r="I218"/>
  <c r="I201"/>
  <c r="I207"/>
  <c r="I208"/>
  <c r="I217"/>
  <c r="I210"/>
  <c r="I179"/>
  <c r="H93"/>
  <c r="H92"/>
  <c r="H44"/>
  <c r="I93"/>
  <c r="I92"/>
  <c r="I96"/>
  <c r="I95"/>
  <c r="H96"/>
  <c r="H95"/>
  <c r="I44"/>
  <c r="I148"/>
  <c r="I147"/>
  <c r="I151"/>
  <c r="I150"/>
  <c r="H148"/>
  <c r="H147"/>
  <c r="H151"/>
  <c r="H150"/>
  <c r="H206"/>
  <c r="H203"/>
  <c r="I206" l="1"/>
  <c r="I203"/>
  <c r="D30"/>
  <c r="I27" i="46"/>
  <c r="D24" i="62" s="1"/>
  <c r="I28" i="46"/>
  <c r="D25" i="62" s="1"/>
  <c r="I29" i="46"/>
  <c r="D26" i="62" s="1"/>
  <c r="I30" i="46"/>
  <c r="D27" i="62" s="1"/>
  <c r="I31" i="46"/>
  <c r="D28" i="62" s="1"/>
  <c r="I32" i="46"/>
  <c r="D29" i="62" s="1"/>
  <c r="I33" i="46"/>
  <c r="I26"/>
  <c r="D23" i="62" s="1"/>
  <c r="K19" i="46"/>
  <c r="D48" i="62" l="1"/>
  <c r="D116" l="1"/>
  <c r="N68" i="10"/>
  <c r="O68" s="1"/>
  <c r="P68" s="1"/>
  <c r="R68" s="1"/>
  <c r="Z87" i="24"/>
  <c r="T87"/>
  <c r="N87"/>
  <c r="H87"/>
  <c r="Z87" i="10"/>
  <c r="AA87" s="1"/>
  <c r="T87"/>
  <c r="U87" s="1"/>
  <c r="N87"/>
  <c r="H87"/>
  <c r="I87" s="1"/>
  <c r="H37" i="24"/>
  <c r="I37" s="1"/>
  <c r="C18" i="98" s="1"/>
  <c r="H38" i="24"/>
  <c r="I38" s="1"/>
  <c r="C19" i="98" s="1"/>
  <c r="H39" i="24"/>
  <c r="I39" s="1"/>
  <c r="C20" i="98" s="1"/>
  <c r="H40" i="24"/>
  <c r="I40" s="1"/>
  <c r="C21" i="98" s="1"/>
  <c r="G18" i="74" l="1"/>
  <c r="Z18" s="1"/>
  <c r="AL18" s="1"/>
  <c r="E18" i="98"/>
  <c r="Q18" s="1"/>
  <c r="G20" i="74"/>
  <c r="Z20" s="1"/>
  <c r="AL20" s="1"/>
  <c r="E20" i="98"/>
  <c r="Q20" s="1"/>
  <c r="G19" i="74"/>
  <c r="Z19" s="1"/>
  <c r="AL19" s="1"/>
  <c r="E19" i="98"/>
  <c r="Q19" s="1"/>
  <c r="G21" i="74"/>
  <c r="Z21" s="1"/>
  <c r="AL21" s="1"/>
  <c r="E21" i="98"/>
  <c r="Q21" s="1"/>
  <c r="M17" i="95"/>
  <c r="I53"/>
  <c r="I17"/>
  <c r="J37" i="24"/>
  <c r="J38"/>
  <c r="J39"/>
  <c r="J40"/>
  <c r="I12" i="54"/>
  <c r="I10"/>
  <c r="I6"/>
  <c r="AB87" i="10"/>
  <c r="AD87" s="1"/>
  <c r="V87"/>
  <c r="X87" s="1"/>
  <c r="J87"/>
  <c r="L87" s="1"/>
  <c r="M18" i="96"/>
  <c r="Z85" i="24"/>
  <c r="AA85" s="1"/>
  <c r="AB85" s="1"/>
  <c r="Z86"/>
  <c r="AA86" s="1"/>
  <c r="I7" i="118" s="1"/>
  <c r="Z84" i="24"/>
  <c r="AA84" s="1"/>
  <c r="I6" i="118" s="1"/>
  <c r="T85" i="24"/>
  <c r="T86"/>
  <c r="U86" s="1"/>
  <c r="M7" i="117" s="1"/>
  <c r="T84" i="24"/>
  <c r="N85"/>
  <c r="N86"/>
  <c r="N84"/>
  <c r="Z85" i="10"/>
  <c r="Z86"/>
  <c r="Z84"/>
  <c r="T85"/>
  <c r="U85" s="1"/>
  <c r="T86"/>
  <c r="T84"/>
  <c r="N85"/>
  <c r="N86"/>
  <c r="N84"/>
  <c r="H21" i="74" l="1"/>
  <c r="AA21" s="1"/>
  <c r="AM21" s="1"/>
  <c r="I21"/>
  <c r="H19"/>
  <c r="AA19" s="1"/>
  <c r="AM19" s="1"/>
  <c r="I19"/>
  <c r="H20"/>
  <c r="AA20" s="1"/>
  <c r="AM20" s="1"/>
  <c r="I20"/>
  <c r="H18"/>
  <c r="AA18" s="1"/>
  <c r="AM18" s="1"/>
  <c r="I18"/>
  <c r="AA86" i="10"/>
  <c r="I52" i="95" s="1"/>
  <c r="U115" i="10"/>
  <c r="AA84"/>
  <c r="I50" i="95" s="1"/>
  <c r="U113" i="10"/>
  <c r="V113" s="1"/>
  <c r="U86"/>
  <c r="O115"/>
  <c r="U84"/>
  <c r="V84" s="1"/>
  <c r="X84" s="1"/>
  <c r="R113" s="1"/>
  <c r="O113"/>
  <c r="P113" s="1"/>
  <c r="AD85" i="24"/>
  <c r="AB86"/>
  <c r="AD86" s="1"/>
  <c r="K7" i="118" s="1"/>
  <c r="AB84" i="24"/>
  <c r="AD84" s="1"/>
  <c r="K6" i="118" s="1"/>
  <c r="AA87" i="24"/>
  <c r="U85"/>
  <c r="V85" s="1"/>
  <c r="U84"/>
  <c r="I49" i="96"/>
  <c r="O17" i="95"/>
  <c r="M15"/>
  <c r="I48" i="96"/>
  <c r="I52"/>
  <c r="K53" i="95"/>
  <c r="K17"/>
  <c r="D67" i="69"/>
  <c r="D65"/>
  <c r="D61"/>
  <c r="I8" i="54"/>
  <c r="K6"/>
  <c r="K10"/>
  <c r="K11" s="1"/>
  <c r="K8"/>
  <c r="K12"/>
  <c r="K13" s="1"/>
  <c r="S6" i="60"/>
  <c r="S7" s="1"/>
  <c r="Q6"/>
  <c r="E167" i="62" s="1"/>
  <c r="V85" i="10"/>
  <c r="X85" s="1"/>
  <c r="AA85"/>
  <c r="M14" i="96" l="1"/>
  <c r="M6" i="117"/>
  <c r="AB84" i="10"/>
  <c r="AD84" s="1"/>
  <c r="AB86"/>
  <c r="AD86" s="1"/>
  <c r="M14" i="95"/>
  <c r="E201" i="62"/>
  <c r="E202"/>
  <c r="AB87" i="24"/>
  <c r="AD87" s="1"/>
  <c r="I51" i="96"/>
  <c r="U87" i="24"/>
  <c r="V84"/>
  <c r="X85"/>
  <c r="X84"/>
  <c r="O6" i="117" s="1"/>
  <c r="I50" i="96"/>
  <c r="M15"/>
  <c r="O14" i="95"/>
  <c r="I51"/>
  <c r="M16"/>
  <c r="O15"/>
  <c r="D63" i="69"/>
  <c r="D95"/>
  <c r="K9" i="54"/>
  <c r="D93" i="69"/>
  <c r="K7" i="54"/>
  <c r="D99" i="69"/>
  <c r="D97"/>
  <c r="AB85" i="10"/>
  <c r="AD85" s="1"/>
  <c r="V86"/>
  <c r="X86" s="1"/>
  <c r="R115" s="1"/>
  <c r="K50" i="95" l="1"/>
  <c r="X113" i="10"/>
  <c r="K52" i="95"/>
  <c r="X115" i="10"/>
  <c r="V87" i="24"/>
  <c r="X87" s="1"/>
  <c r="M17" i="96"/>
  <c r="V86" i="24"/>
  <c r="X86" s="1"/>
  <c r="O7" i="117" s="1"/>
  <c r="M16" i="96"/>
  <c r="O16" i="95"/>
  <c r="K51"/>
  <c r="D98" i="69"/>
  <c r="D100"/>
  <c r="D96"/>
  <c r="D94"/>
  <c r="E203" i="62"/>
  <c r="H86" i="24"/>
  <c r="I86" s="1"/>
  <c r="H85"/>
  <c r="I85" s="1"/>
  <c r="H84"/>
  <c r="G51" i="112" l="1"/>
  <c r="I7" i="117"/>
  <c r="I84" i="24"/>
  <c r="I6" i="117" s="1"/>
  <c r="O14" i="96"/>
  <c r="O49"/>
  <c r="O16"/>
  <c r="O50"/>
  <c r="O15"/>
  <c r="O48"/>
  <c r="O17"/>
  <c r="I87" i="24"/>
  <c r="O51" i="96"/>
  <c r="I18"/>
  <c r="I15"/>
  <c r="J85" i="24"/>
  <c r="L85" s="1"/>
  <c r="H84" i="10"/>
  <c r="H85"/>
  <c r="I85" s="1"/>
  <c r="H86"/>
  <c r="Q25" i="61"/>
  <c r="Q19"/>
  <c r="M25"/>
  <c r="M19"/>
  <c r="H39" i="10"/>
  <c r="H40"/>
  <c r="H41"/>
  <c r="I41" s="1"/>
  <c r="E39" i="98"/>
  <c r="Q39" s="1"/>
  <c r="H79" i="24"/>
  <c r="I79" s="1"/>
  <c r="H78"/>
  <c r="H77"/>
  <c r="H76"/>
  <c r="I76" s="1"/>
  <c r="H74"/>
  <c r="C38" i="98" s="1"/>
  <c r="H73" i="24"/>
  <c r="I73" s="1"/>
  <c r="H72"/>
  <c r="H71"/>
  <c r="I71" s="1"/>
  <c r="C35" i="98" s="1"/>
  <c r="H70" i="24"/>
  <c r="I70" s="1"/>
  <c r="H69"/>
  <c r="H68"/>
  <c r="Z77"/>
  <c r="Z78"/>
  <c r="Z79"/>
  <c r="AA79" s="1"/>
  <c r="T77"/>
  <c r="U77" s="1"/>
  <c r="T78"/>
  <c r="U78" s="1"/>
  <c r="T79"/>
  <c r="U79" s="1"/>
  <c r="N77"/>
  <c r="O77" s="1"/>
  <c r="N78"/>
  <c r="O78" s="1"/>
  <c r="N79"/>
  <c r="O79" s="1"/>
  <c r="Z77" i="10"/>
  <c r="AA77" s="1"/>
  <c r="Z78"/>
  <c r="AA78" s="1"/>
  <c r="Z79"/>
  <c r="AA79" s="1"/>
  <c r="AB79" s="1"/>
  <c r="AD79" s="1"/>
  <c r="T77"/>
  <c r="T78"/>
  <c r="T79"/>
  <c r="U79" s="1"/>
  <c r="V79" s="1"/>
  <c r="X79" s="1"/>
  <c r="N77"/>
  <c r="N78"/>
  <c r="O78" s="1"/>
  <c r="N79"/>
  <c r="O79" s="1"/>
  <c r="P79" s="1"/>
  <c r="R79" s="1"/>
  <c r="H77"/>
  <c r="I77" s="1"/>
  <c r="H78"/>
  <c r="I78" s="1"/>
  <c r="H79"/>
  <c r="I79" s="1"/>
  <c r="J79" s="1"/>
  <c r="Z76" i="24"/>
  <c r="Z69"/>
  <c r="AA69" s="1"/>
  <c r="Z70"/>
  <c r="Z71"/>
  <c r="Z72"/>
  <c r="AA72" s="1"/>
  <c r="Z73"/>
  <c r="AA73" s="1"/>
  <c r="C37" i="101" s="1"/>
  <c r="Z74" i="24"/>
  <c r="AA74" s="1"/>
  <c r="Z68"/>
  <c r="AA68" s="1"/>
  <c r="T76"/>
  <c r="U76" s="1"/>
  <c r="T69"/>
  <c r="U69" s="1"/>
  <c r="C33" i="100" s="1"/>
  <c r="T70" i="24"/>
  <c r="T71"/>
  <c r="U71" s="1"/>
  <c r="T72"/>
  <c r="U72" s="1"/>
  <c r="T73"/>
  <c r="U73" s="1"/>
  <c r="C37" i="100" s="1"/>
  <c r="T74" i="24"/>
  <c r="U74" s="1"/>
  <c r="T68"/>
  <c r="U68" s="1"/>
  <c r="C32" i="100" s="1"/>
  <c r="N76" i="24"/>
  <c r="N69"/>
  <c r="N70"/>
  <c r="O70" s="1"/>
  <c r="N71"/>
  <c r="O71" s="1"/>
  <c r="N72"/>
  <c r="O72" s="1"/>
  <c r="N73"/>
  <c r="O73" s="1"/>
  <c r="C37" i="99" s="1"/>
  <c r="N74" i="24"/>
  <c r="O74" s="1"/>
  <c r="N68"/>
  <c r="Z76" i="10"/>
  <c r="T76"/>
  <c r="N76"/>
  <c r="O76" s="1"/>
  <c r="H76"/>
  <c r="I76" s="1"/>
  <c r="Z69"/>
  <c r="AA69" s="1"/>
  <c r="AB69" s="1"/>
  <c r="AD69" s="1"/>
  <c r="Z70"/>
  <c r="AA70" s="1"/>
  <c r="AB70" s="1"/>
  <c r="AD70" s="1"/>
  <c r="Z71"/>
  <c r="AA71" s="1"/>
  <c r="AB71" s="1"/>
  <c r="AD71" s="1"/>
  <c r="Z72"/>
  <c r="AA72" s="1"/>
  <c r="Z73"/>
  <c r="AA73" s="1"/>
  <c r="AB73" s="1"/>
  <c r="AD73" s="1"/>
  <c r="Z74"/>
  <c r="AA74" s="1"/>
  <c r="AB74" s="1"/>
  <c r="AD74" s="1"/>
  <c r="Z68"/>
  <c r="AA68" s="1"/>
  <c r="AB68" s="1"/>
  <c r="AD68" s="1"/>
  <c r="T69"/>
  <c r="U69" s="1"/>
  <c r="V69" s="1"/>
  <c r="X69" s="1"/>
  <c r="T70"/>
  <c r="U70" s="1"/>
  <c r="V70" s="1"/>
  <c r="X70" s="1"/>
  <c r="T71"/>
  <c r="U71" s="1"/>
  <c r="V71" s="1"/>
  <c r="X71" s="1"/>
  <c r="T72"/>
  <c r="U72" s="1"/>
  <c r="T73"/>
  <c r="U73" s="1"/>
  <c r="V73" s="1"/>
  <c r="X73" s="1"/>
  <c r="T74"/>
  <c r="U74" s="1"/>
  <c r="V74" s="1"/>
  <c r="X74" s="1"/>
  <c r="T68"/>
  <c r="U68" s="1"/>
  <c r="V68" s="1"/>
  <c r="X68" s="1"/>
  <c r="N69"/>
  <c r="O69" s="1"/>
  <c r="P69" s="1"/>
  <c r="R69" s="1"/>
  <c r="N70"/>
  <c r="O70" s="1"/>
  <c r="P70" s="1"/>
  <c r="R70" s="1"/>
  <c r="N71"/>
  <c r="O71" s="1"/>
  <c r="P71" s="1"/>
  <c r="R71" s="1"/>
  <c r="N72"/>
  <c r="N73"/>
  <c r="O73" s="1"/>
  <c r="P73" s="1"/>
  <c r="R73" s="1"/>
  <c r="N74"/>
  <c r="O74" s="1"/>
  <c r="P74" s="1"/>
  <c r="R74" s="1"/>
  <c r="H69"/>
  <c r="I69" s="1"/>
  <c r="H70"/>
  <c r="I70" s="1"/>
  <c r="H71"/>
  <c r="H72"/>
  <c r="I72" s="1"/>
  <c r="H73"/>
  <c r="I73" s="1"/>
  <c r="H74"/>
  <c r="I74" s="1"/>
  <c r="H68"/>
  <c r="I68" s="1"/>
  <c r="I37" i="54"/>
  <c r="I62" i="58"/>
  <c r="I26"/>
  <c r="I29" i="54"/>
  <c r="I24" i="58"/>
  <c r="AA50" i="24"/>
  <c r="U50"/>
  <c r="O50"/>
  <c r="I50"/>
  <c r="G36" i="112" s="1"/>
  <c r="I25" i="61"/>
  <c r="Z49" i="24"/>
  <c r="AA49" s="1"/>
  <c r="T49"/>
  <c r="U49" s="1"/>
  <c r="V49" s="1"/>
  <c r="X49" s="1"/>
  <c r="N49"/>
  <c r="O49" s="1"/>
  <c r="P49" s="1"/>
  <c r="R49" s="1"/>
  <c r="H49"/>
  <c r="Z48"/>
  <c r="AA48" s="1"/>
  <c r="C29" i="101" s="1"/>
  <c r="T48" i="24"/>
  <c r="U48" s="1"/>
  <c r="C29" i="100" s="1"/>
  <c r="N48" i="24"/>
  <c r="O48" s="1"/>
  <c r="C29" i="99" s="1"/>
  <c r="H48" i="24"/>
  <c r="I48" s="1"/>
  <c r="C29" i="98" s="1"/>
  <c r="Z47" i="24"/>
  <c r="AA47" s="1"/>
  <c r="C28" i="101" s="1"/>
  <c r="T47" i="24"/>
  <c r="U47" s="1"/>
  <c r="C28" i="100" s="1"/>
  <c r="N47" i="24"/>
  <c r="O47" s="1"/>
  <c r="C28" i="99" s="1"/>
  <c r="H47" i="24"/>
  <c r="I47" s="1"/>
  <c r="C28" i="98" s="1"/>
  <c r="Z46" i="24"/>
  <c r="AA46" s="1"/>
  <c r="C27" i="101" s="1"/>
  <c r="T46" i="24"/>
  <c r="U46" s="1"/>
  <c r="C27" i="100" s="1"/>
  <c r="N46" i="24"/>
  <c r="O46" s="1"/>
  <c r="C27" i="99" s="1"/>
  <c r="H46" i="24"/>
  <c r="I46" s="1"/>
  <c r="C27" i="98" s="1"/>
  <c r="Z45" i="24"/>
  <c r="AA45" s="1"/>
  <c r="C26" i="101" s="1"/>
  <c r="T45" i="24"/>
  <c r="U45" s="1"/>
  <c r="C26" i="100" s="1"/>
  <c r="N45" i="24"/>
  <c r="O45" s="1"/>
  <c r="C26" i="99" s="1"/>
  <c r="H45" i="24"/>
  <c r="H43"/>
  <c r="Z42"/>
  <c r="AA42" s="1"/>
  <c r="C23" i="101" s="1"/>
  <c r="T42" i="24"/>
  <c r="U42" s="1"/>
  <c r="C23" i="100" s="1"/>
  <c r="N42" i="24"/>
  <c r="O42" s="1"/>
  <c r="C23" i="99" s="1"/>
  <c r="H42" i="24"/>
  <c r="I42" s="1"/>
  <c r="H41"/>
  <c r="H18"/>
  <c r="I18" s="1"/>
  <c r="H17"/>
  <c r="C15" i="98" s="1"/>
  <c r="H16" i="24"/>
  <c r="C14" i="98" s="1"/>
  <c r="H15" i="24"/>
  <c r="I15" s="1"/>
  <c r="C13" i="98" s="1"/>
  <c r="H14" i="24"/>
  <c r="I14" s="1"/>
  <c r="C12" i="98" s="1"/>
  <c r="H12" i="24"/>
  <c r="I12" s="1"/>
  <c r="H11"/>
  <c r="I11" s="1"/>
  <c r="H10"/>
  <c r="I16" i="61" s="1"/>
  <c r="H9" i="24"/>
  <c r="H8"/>
  <c r="C6" i="98" s="1"/>
  <c r="H7" i="24"/>
  <c r="I7" s="1"/>
  <c r="C5" i="98" s="1"/>
  <c r="H6" i="24"/>
  <c r="Z49" i="10"/>
  <c r="AA49" s="1"/>
  <c r="AB49" s="1"/>
  <c r="AD49" s="1"/>
  <c r="T49"/>
  <c r="U49" s="1"/>
  <c r="V49" s="1"/>
  <c r="X49" s="1"/>
  <c r="N49"/>
  <c r="O49" s="1"/>
  <c r="P49" s="1"/>
  <c r="R49" s="1"/>
  <c r="H49"/>
  <c r="I49" s="1"/>
  <c r="Z48"/>
  <c r="AA48" s="1"/>
  <c r="AB48" s="1"/>
  <c r="AD48" s="1"/>
  <c r="T48"/>
  <c r="U48" s="1"/>
  <c r="V48" s="1"/>
  <c r="X48" s="1"/>
  <c r="N48"/>
  <c r="O48" s="1"/>
  <c r="P48" s="1"/>
  <c r="R48" s="1"/>
  <c r="H48"/>
  <c r="I48" s="1"/>
  <c r="Z47"/>
  <c r="AA47" s="1"/>
  <c r="AB47" s="1"/>
  <c r="AD47" s="1"/>
  <c r="T47"/>
  <c r="U47" s="1"/>
  <c r="V47" s="1"/>
  <c r="X47" s="1"/>
  <c r="N47"/>
  <c r="O47" s="1"/>
  <c r="P47" s="1"/>
  <c r="R47" s="1"/>
  <c r="H47"/>
  <c r="Z46"/>
  <c r="AA46" s="1"/>
  <c r="AB46" s="1"/>
  <c r="AD46" s="1"/>
  <c r="T46"/>
  <c r="U46" s="1"/>
  <c r="V46" s="1"/>
  <c r="X46" s="1"/>
  <c r="N46"/>
  <c r="O46" s="1"/>
  <c r="P46" s="1"/>
  <c r="R46" s="1"/>
  <c r="H46"/>
  <c r="Z45"/>
  <c r="AA45" s="1"/>
  <c r="AB45" s="1"/>
  <c r="AD45" s="1"/>
  <c r="T45"/>
  <c r="U45" s="1"/>
  <c r="V45" s="1"/>
  <c r="X45" s="1"/>
  <c r="N45"/>
  <c r="O45" s="1"/>
  <c r="P45" s="1"/>
  <c r="R45" s="1"/>
  <c r="H45"/>
  <c r="I45" s="1"/>
  <c r="Z43"/>
  <c r="AA43" s="1"/>
  <c r="AB43" s="1"/>
  <c r="AD43" s="1"/>
  <c r="T43"/>
  <c r="U43" s="1"/>
  <c r="V43" s="1"/>
  <c r="X43" s="1"/>
  <c r="N43"/>
  <c r="O43" s="1"/>
  <c r="P43" s="1"/>
  <c r="R43" s="1"/>
  <c r="H43"/>
  <c r="I43" s="1"/>
  <c r="J43" s="1"/>
  <c r="Z42"/>
  <c r="AA42" s="1"/>
  <c r="AB42" s="1"/>
  <c r="AD42" s="1"/>
  <c r="T42"/>
  <c r="U42" s="1"/>
  <c r="V42" s="1"/>
  <c r="X42" s="1"/>
  <c r="N42"/>
  <c r="O42" s="1"/>
  <c r="P42" s="1"/>
  <c r="R42" s="1"/>
  <c r="H42"/>
  <c r="I42" s="1"/>
  <c r="Z41"/>
  <c r="AA41" s="1"/>
  <c r="AB41" s="1"/>
  <c r="AD41" s="1"/>
  <c r="T41"/>
  <c r="U41" s="1"/>
  <c r="V41" s="1"/>
  <c r="X41" s="1"/>
  <c r="N41"/>
  <c r="O41" s="1"/>
  <c r="P41" s="1"/>
  <c r="R41" s="1"/>
  <c r="Z40"/>
  <c r="AA40" s="1"/>
  <c r="AB40" s="1"/>
  <c r="AD40" s="1"/>
  <c r="T40"/>
  <c r="U40" s="1"/>
  <c r="V40" s="1"/>
  <c r="X40" s="1"/>
  <c r="AA12" i="58" s="1"/>
  <c r="N40" i="10"/>
  <c r="O40" s="1"/>
  <c r="P40" s="1"/>
  <c r="R40" s="1"/>
  <c r="Z39"/>
  <c r="AA39" s="1"/>
  <c r="AB39" s="1"/>
  <c r="AD39" s="1"/>
  <c r="T39"/>
  <c r="U39" s="1"/>
  <c r="V39" s="1"/>
  <c r="X39" s="1"/>
  <c r="N39"/>
  <c r="O39" s="1"/>
  <c r="P39" s="1"/>
  <c r="R39" s="1"/>
  <c r="Z38"/>
  <c r="AA38" s="1"/>
  <c r="AB38" s="1"/>
  <c r="AD38" s="1"/>
  <c r="T38"/>
  <c r="U38" s="1"/>
  <c r="V38" s="1"/>
  <c r="X38" s="1"/>
  <c r="N38"/>
  <c r="O38" s="1"/>
  <c r="P38" s="1"/>
  <c r="R38" s="1"/>
  <c r="H38"/>
  <c r="Z37"/>
  <c r="AA37" s="1"/>
  <c r="AB37" s="1"/>
  <c r="AD37" s="1"/>
  <c r="T37"/>
  <c r="U37" s="1"/>
  <c r="V37" s="1"/>
  <c r="X37" s="1"/>
  <c r="N37"/>
  <c r="O37" s="1"/>
  <c r="P37" s="1"/>
  <c r="R37" s="1"/>
  <c r="H37"/>
  <c r="Z18"/>
  <c r="AA18" s="1"/>
  <c r="AB18" s="1"/>
  <c r="AD18" s="1"/>
  <c r="T18"/>
  <c r="U18" s="1"/>
  <c r="V18" s="1"/>
  <c r="X18" s="1"/>
  <c r="N18"/>
  <c r="O18" s="1"/>
  <c r="P18" s="1"/>
  <c r="R18" s="1"/>
  <c r="Z17"/>
  <c r="AA17" s="1"/>
  <c r="AB17" s="1"/>
  <c r="AD17" s="1"/>
  <c r="T17"/>
  <c r="U17" s="1"/>
  <c r="V17" s="1"/>
  <c r="X17" s="1"/>
  <c r="N17"/>
  <c r="O17" s="1"/>
  <c r="P17" s="1"/>
  <c r="R17" s="1"/>
  <c r="Z16"/>
  <c r="AA16" s="1"/>
  <c r="AB16" s="1"/>
  <c r="AD16" s="1"/>
  <c r="T16"/>
  <c r="U16" s="1"/>
  <c r="V16" s="1"/>
  <c r="X16" s="1"/>
  <c r="N16"/>
  <c r="O16" s="1"/>
  <c r="P16" s="1"/>
  <c r="R16" s="1"/>
  <c r="H16"/>
  <c r="Z15"/>
  <c r="AA15" s="1"/>
  <c r="T15"/>
  <c r="U15" s="1"/>
  <c r="V15" s="1"/>
  <c r="X15" s="1"/>
  <c r="N15"/>
  <c r="O15" s="1"/>
  <c r="P15" s="1"/>
  <c r="R15" s="1"/>
  <c r="H15"/>
  <c r="I15" s="1"/>
  <c r="J15" s="1"/>
  <c r="Z14"/>
  <c r="AA14" s="1"/>
  <c r="AB14" s="1"/>
  <c r="AD14" s="1"/>
  <c r="T14"/>
  <c r="U14" s="1"/>
  <c r="V14" s="1"/>
  <c r="X14" s="1"/>
  <c r="N14"/>
  <c r="O14" s="1"/>
  <c r="P14" s="1"/>
  <c r="R14" s="1"/>
  <c r="H14"/>
  <c r="I14" s="1"/>
  <c r="J14" s="1"/>
  <c r="Z12"/>
  <c r="AA12" s="1"/>
  <c r="AB12" s="1"/>
  <c r="AD12" s="1"/>
  <c r="T12"/>
  <c r="U12" s="1"/>
  <c r="V12" s="1"/>
  <c r="X12" s="1"/>
  <c r="N12"/>
  <c r="O12" s="1"/>
  <c r="P12" s="1"/>
  <c r="R12" s="1"/>
  <c r="H12"/>
  <c r="Z11"/>
  <c r="AA11" s="1"/>
  <c r="AB11" s="1"/>
  <c r="AD11" s="1"/>
  <c r="T11"/>
  <c r="U11" s="1"/>
  <c r="V11" s="1"/>
  <c r="X11" s="1"/>
  <c r="N11"/>
  <c r="O11" s="1"/>
  <c r="P11" s="1"/>
  <c r="R11" s="1"/>
  <c r="H11"/>
  <c r="I11" s="1"/>
  <c r="Z10"/>
  <c r="AA10" s="1"/>
  <c r="T10"/>
  <c r="U10" s="1"/>
  <c r="V10" s="1"/>
  <c r="X10" s="1"/>
  <c r="N10"/>
  <c r="O10" s="1"/>
  <c r="P10" s="1"/>
  <c r="R10" s="1"/>
  <c r="H10"/>
  <c r="Z9"/>
  <c r="T9"/>
  <c r="N9"/>
  <c r="H9"/>
  <c r="Z8"/>
  <c r="T8"/>
  <c r="N8"/>
  <c r="H8"/>
  <c r="Z7"/>
  <c r="AA7" s="1"/>
  <c r="AB7" s="1"/>
  <c r="AD7" s="1"/>
  <c r="T7"/>
  <c r="U7" s="1"/>
  <c r="V7" s="1"/>
  <c r="X7" s="1"/>
  <c r="N7"/>
  <c r="O7" s="1"/>
  <c r="P7" s="1"/>
  <c r="R7" s="1"/>
  <c r="H7"/>
  <c r="I7" s="1"/>
  <c r="J7" s="1"/>
  <c r="Z6"/>
  <c r="T6"/>
  <c r="U6" s="1"/>
  <c r="V6" s="1"/>
  <c r="X6" s="1"/>
  <c r="N6"/>
  <c r="O6" s="1"/>
  <c r="P6" s="1"/>
  <c r="R6" s="1"/>
  <c r="H6"/>
  <c r="I6" s="1"/>
  <c r="J6" s="1"/>
  <c r="C40" i="98" l="1"/>
  <c r="I15" i="56"/>
  <c r="C34" i="98"/>
  <c r="G49" i="112"/>
  <c r="AA6" i="10"/>
  <c r="AB6" s="1"/>
  <c r="AD6" s="1"/>
  <c r="K44" i="46" s="1"/>
  <c r="K45" s="1"/>
  <c r="K46" s="1"/>
  <c r="I10" i="10"/>
  <c r="J10" s="1"/>
  <c r="L10" s="1"/>
  <c r="I12"/>
  <c r="J12" s="1"/>
  <c r="P71" i="24"/>
  <c r="L35" i="74" s="1"/>
  <c r="C35" i="99"/>
  <c r="G35" s="1"/>
  <c r="Q35" s="1"/>
  <c r="V71" i="24"/>
  <c r="O35" i="74" s="1"/>
  <c r="C35" i="100"/>
  <c r="C32" i="101"/>
  <c r="K32" s="1"/>
  <c r="Q32" s="1"/>
  <c r="C33"/>
  <c r="K33" s="1"/>
  <c r="Q33" s="1"/>
  <c r="P79" i="24"/>
  <c r="L43" i="74" s="1"/>
  <c r="C43" i="99"/>
  <c r="G43" s="1"/>
  <c r="Q43" s="1"/>
  <c r="P77" i="24"/>
  <c r="L41" i="74" s="1"/>
  <c r="C41" i="99"/>
  <c r="G41" s="1"/>
  <c r="Q41" s="1"/>
  <c r="V78" i="24"/>
  <c r="O42" i="74" s="1"/>
  <c r="C42" i="100"/>
  <c r="I42" s="1"/>
  <c r="Q42" s="1"/>
  <c r="AB79" i="24"/>
  <c r="R43" i="74" s="1"/>
  <c r="C43" i="101"/>
  <c r="K43" s="1"/>
  <c r="Q43" s="1"/>
  <c r="C37" i="98"/>
  <c r="E37" s="1"/>
  <c r="Q37" s="1"/>
  <c r="I115" i="10"/>
  <c r="I86"/>
  <c r="G23" i="112"/>
  <c r="I15" i="54"/>
  <c r="C23" i="98"/>
  <c r="E23" s="1"/>
  <c r="Q23" s="1"/>
  <c r="AB10" i="10"/>
  <c r="AD10" s="1"/>
  <c r="I54" i="46"/>
  <c r="C10" i="98"/>
  <c r="E10" s="1"/>
  <c r="Q10" s="1"/>
  <c r="I18" i="61"/>
  <c r="G24" i="112"/>
  <c r="I41" i="24"/>
  <c r="P74"/>
  <c r="L38" i="74" s="1"/>
  <c r="C38" i="99"/>
  <c r="G38" s="1"/>
  <c r="Q38" s="1"/>
  <c r="P72" i="24"/>
  <c r="L36" i="74" s="1"/>
  <c r="C36" i="99"/>
  <c r="G36" s="1"/>
  <c r="Q36" s="1"/>
  <c r="P70" i="24"/>
  <c r="C34" i="99"/>
  <c r="G34" s="1"/>
  <c r="Q34" s="1"/>
  <c r="V74" i="24"/>
  <c r="O38" i="74" s="1"/>
  <c r="C38" i="100"/>
  <c r="I38" s="1"/>
  <c r="Q38" s="1"/>
  <c r="V72" i="24"/>
  <c r="O36" i="74" s="1"/>
  <c r="C36" i="100"/>
  <c r="I36" s="1"/>
  <c r="Q36" s="1"/>
  <c r="V76" i="24"/>
  <c r="O40" i="74" s="1"/>
  <c r="C40" i="100"/>
  <c r="I40" s="1"/>
  <c r="Q40" s="1"/>
  <c r="AB74" i="24"/>
  <c r="R38" i="74" s="1"/>
  <c r="C38" i="101"/>
  <c r="K38" s="1"/>
  <c r="Q38" s="1"/>
  <c r="AB72" i="24"/>
  <c r="R36" i="74" s="1"/>
  <c r="C36" i="101"/>
  <c r="K36" s="1"/>
  <c r="Q36" s="1"/>
  <c r="P78" i="24"/>
  <c r="L42" i="74" s="1"/>
  <c r="C42" i="99"/>
  <c r="G42" s="1"/>
  <c r="Q42" s="1"/>
  <c r="V79" i="24"/>
  <c r="O43" i="74" s="1"/>
  <c r="C43" i="100"/>
  <c r="V77" i="24"/>
  <c r="O41" i="74" s="1"/>
  <c r="C41" i="100"/>
  <c r="I41" s="1"/>
  <c r="Q41" s="1"/>
  <c r="I72" i="24"/>
  <c r="J79"/>
  <c r="I43" i="74" s="1"/>
  <c r="C43" i="98"/>
  <c r="G4" i="112"/>
  <c r="C9" i="98"/>
  <c r="I6" i="61"/>
  <c r="C4" i="98"/>
  <c r="E4" s="1"/>
  <c r="Q4" s="1"/>
  <c r="E6"/>
  <c r="Q6" s="1"/>
  <c r="I12" i="61"/>
  <c r="G5" i="112"/>
  <c r="G16"/>
  <c r="J86" i="10"/>
  <c r="L86" s="1"/>
  <c r="L115" s="1"/>
  <c r="J115"/>
  <c r="I113"/>
  <c r="J113" s="1"/>
  <c r="J74" i="24"/>
  <c r="G57" i="112"/>
  <c r="J12" i="24"/>
  <c r="G11" i="112"/>
  <c r="J74" i="10"/>
  <c r="L74" s="1"/>
  <c r="E38" i="98"/>
  <c r="Q38" s="1"/>
  <c r="I43" i="24"/>
  <c r="I46" i="10"/>
  <c r="J46" s="1"/>
  <c r="I47"/>
  <c r="J47" s="1"/>
  <c r="L47" s="1"/>
  <c r="K20" i="58" s="1"/>
  <c r="I39" i="10"/>
  <c r="J39" s="1"/>
  <c r="L39" s="1"/>
  <c r="I37"/>
  <c r="J37" s="1"/>
  <c r="I38"/>
  <c r="J38" s="1"/>
  <c r="L38" s="1"/>
  <c r="I40"/>
  <c r="J40" s="1"/>
  <c r="L40" s="1"/>
  <c r="K12" i="58" s="1"/>
  <c r="K13" s="1"/>
  <c r="AA78" i="24"/>
  <c r="AA70"/>
  <c r="AA76"/>
  <c r="AA71"/>
  <c r="AA77"/>
  <c r="O76"/>
  <c r="L34" i="74"/>
  <c r="U70" i="24"/>
  <c r="G10" i="74"/>
  <c r="Z10" s="1"/>
  <c r="AL10" s="1"/>
  <c r="J23"/>
  <c r="AB23" s="1"/>
  <c r="AN23" s="1"/>
  <c r="G23" i="99"/>
  <c r="Q23" s="1"/>
  <c r="G27" i="74"/>
  <c r="Z27" s="1"/>
  <c r="AL27" s="1"/>
  <c r="E27" i="98"/>
  <c r="Q27" s="1"/>
  <c r="M32" i="74"/>
  <c r="AD32" s="1"/>
  <c r="AP32" s="1"/>
  <c r="I32" i="100"/>
  <c r="Q32" s="1"/>
  <c r="G14" i="74"/>
  <c r="Z14" s="1"/>
  <c r="AL14" s="1"/>
  <c r="E14" i="98"/>
  <c r="Q14" s="1"/>
  <c r="P26" i="74"/>
  <c r="AF26" s="1"/>
  <c r="AR26" s="1"/>
  <c r="K26" i="101"/>
  <c r="Q26" s="1"/>
  <c r="P28" i="74"/>
  <c r="AF28" s="1"/>
  <c r="AR28" s="1"/>
  <c r="K28" i="101"/>
  <c r="Q28" s="1"/>
  <c r="P36" i="74"/>
  <c r="AF36" s="1"/>
  <c r="AR36" s="1"/>
  <c r="E34" i="98"/>
  <c r="Q34" s="1"/>
  <c r="I10" i="56"/>
  <c r="P39" i="74"/>
  <c r="AF39" s="1"/>
  <c r="AR39" s="1"/>
  <c r="K39" i="101"/>
  <c r="Q39" s="1"/>
  <c r="G13" i="74"/>
  <c r="Z13" s="1"/>
  <c r="AL13" s="1"/>
  <c r="E13" i="98"/>
  <c r="Q13" s="1"/>
  <c r="P23" i="74"/>
  <c r="AF23" s="1"/>
  <c r="AR23" s="1"/>
  <c r="K23" i="101"/>
  <c r="Q23" s="1"/>
  <c r="M26" i="74"/>
  <c r="AD26" s="1"/>
  <c r="AP26" s="1"/>
  <c r="I26" i="100"/>
  <c r="Q26" s="1"/>
  <c r="M27" i="74"/>
  <c r="AD27" s="1"/>
  <c r="AP27" s="1"/>
  <c r="I27" i="100"/>
  <c r="Q27" s="1"/>
  <c r="M28" i="74"/>
  <c r="AD28" s="1"/>
  <c r="AP28" s="1"/>
  <c r="I28" i="100"/>
  <c r="Q28" s="1"/>
  <c r="M29" i="74"/>
  <c r="AD29" s="1"/>
  <c r="AP29" s="1"/>
  <c r="I29" i="100"/>
  <c r="Q29" s="1"/>
  <c r="J37" i="74"/>
  <c r="AB37" s="1"/>
  <c r="AN37" s="1"/>
  <c r="G37" i="99"/>
  <c r="Q37" s="1"/>
  <c r="M37" i="74"/>
  <c r="AD37" s="1"/>
  <c r="AP37" s="1"/>
  <c r="I37" i="100"/>
  <c r="Q37" s="1"/>
  <c r="M33" i="74"/>
  <c r="AD33" s="1"/>
  <c r="AP33" s="1"/>
  <c r="I33" i="100"/>
  <c r="Q33" s="1"/>
  <c r="J41" i="74"/>
  <c r="AB41" s="1"/>
  <c r="AN41" s="1"/>
  <c r="G37"/>
  <c r="Z37" s="1"/>
  <c r="AL37" s="1"/>
  <c r="M39"/>
  <c r="AD39" s="1"/>
  <c r="AP39" s="1"/>
  <c r="I39" i="100"/>
  <c r="Q39" s="1"/>
  <c r="G15" i="74"/>
  <c r="Z15" s="1"/>
  <c r="AL15" s="1"/>
  <c r="E15" i="98"/>
  <c r="Q15" s="1"/>
  <c r="G28" i="74"/>
  <c r="Z28" s="1"/>
  <c r="AL28" s="1"/>
  <c r="E28" i="98"/>
  <c r="Q28" s="1"/>
  <c r="G29" i="74"/>
  <c r="Z29" s="1"/>
  <c r="AL29" s="1"/>
  <c r="E29" i="98"/>
  <c r="Q29" s="1"/>
  <c r="J35" i="74"/>
  <c r="AB35" s="1"/>
  <c r="AN35" s="1"/>
  <c r="M35"/>
  <c r="AD35" s="1"/>
  <c r="AP35" s="1"/>
  <c r="J7" i="24"/>
  <c r="I5" i="74" s="1"/>
  <c r="E5" i="98"/>
  <c r="Q5" s="1"/>
  <c r="G9" i="74"/>
  <c r="Z9" s="1"/>
  <c r="AL9" s="1"/>
  <c r="E9" i="98"/>
  <c r="Q9" s="1"/>
  <c r="G23" i="74"/>
  <c r="Z23" s="1"/>
  <c r="AL23" s="1"/>
  <c r="P27"/>
  <c r="AF27" s="1"/>
  <c r="AR27" s="1"/>
  <c r="K27" i="101"/>
  <c r="Q27" s="1"/>
  <c r="P29" i="74"/>
  <c r="AF29" s="1"/>
  <c r="AR29" s="1"/>
  <c r="K29" i="101"/>
  <c r="Q29" s="1"/>
  <c r="J36" i="74"/>
  <c r="AB36" s="1"/>
  <c r="AN36" s="1"/>
  <c r="M36"/>
  <c r="AD36" s="1"/>
  <c r="AP36" s="1"/>
  <c r="G8"/>
  <c r="Z8" s="1"/>
  <c r="AL8" s="1"/>
  <c r="G22"/>
  <c r="Z22" s="1"/>
  <c r="AL22" s="1"/>
  <c r="P37"/>
  <c r="AF37" s="1"/>
  <c r="AR37" s="1"/>
  <c r="K37" i="101"/>
  <c r="Q37" s="1"/>
  <c r="G12" i="74"/>
  <c r="Z12" s="1"/>
  <c r="AL12" s="1"/>
  <c r="E12" i="98"/>
  <c r="Q12" s="1"/>
  <c r="M23" i="74"/>
  <c r="AD23" s="1"/>
  <c r="AP23" s="1"/>
  <c r="I23" i="100"/>
  <c r="Q23" s="1"/>
  <c r="J26" i="74"/>
  <c r="AB26" s="1"/>
  <c r="AN26" s="1"/>
  <c r="G26" i="99"/>
  <c r="Q26" s="1"/>
  <c r="J27" i="74"/>
  <c r="AB27" s="1"/>
  <c r="AN27" s="1"/>
  <c r="G27" i="99"/>
  <c r="Q27" s="1"/>
  <c r="J28" i="74"/>
  <c r="AB28" s="1"/>
  <c r="AN28" s="1"/>
  <c r="G28" i="99"/>
  <c r="Q28" s="1"/>
  <c r="J29" i="74"/>
  <c r="AB29" s="1"/>
  <c r="AN29" s="1"/>
  <c r="G29" i="99"/>
  <c r="Q29" s="1"/>
  <c r="J38" i="74"/>
  <c r="AB38" s="1"/>
  <c r="AN38" s="1"/>
  <c r="J34"/>
  <c r="AB34" s="1"/>
  <c r="AN34" s="1"/>
  <c r="M38"/>
  <c r="AD38" s="1"/>
  <c r="AP38" s="1"/>
  <c r="P38"/>
  <c r="AF38" s="1"/>
  <c r="AR38" s="1"/>
  <c r="J42"/>
  <c r="AB42" s="1"/>
  <c r="AN42" s="1"/>
  <c r="M41"/>
  <c r="AD41" s="1"/>
  <c r="AP41" s="1"/>
  <c r="G36"/>
  <c r="Z36" s="1"/>
  <c r="AL36" s="1"/>
  <c r="J39"/>
  <c r="AB39" s="1"/>
  <c r="AN39" s="1"/>
  <c r="G39" i="99"/>
  <c r="Q39" s="1"/>
  <c r="J43" i="74"/>
  <c r="AB43" s="1"/>
  <c r="AN43" s="1"/>
  <c r="M42"/>
  <c r="AD42" s="1"/>
  <c r="AP42" s="1"/>
  <c r="I12" i="56"/>
  <c r="E35" i="98"/>
  <c r="Q35" s="1"/>
  <c r="G39" i="74"/>
  <c r="Z39" s="1"/>
  <c r="AL39" s="1"/>
  <c r="K51" i="96"/>
  <c r="K48"/>
  <c r="I17"/>
  <c r="J87" i="24"/>
  <c r="L87" s="1"/>
  <c r="K49" i="96"/>
  <c r="K50"/>
  <c r="M40" i="74"/>
  <c r="AD40" s="1"/>
  <c r="AP40" s="1"/>
  <c r="Q18" i="56"/>
  <c r="M19" i="96" s="1"/>
  <c r="M10" i="95"/>
  <c r="I44"/>
  <c r="I56"/>
  <c r="M8"/>
  <c r="I22"/>
  <c r="K15" i="96"/>
  <c r="I42" i="95"/>
  <c r="I48"/>
  <c r="I20" i="60"/>
  <c r="I21" i="95"/>
  <c r="I14" i="96"/>
  <c r="I10" i="95"/>
  <c r="M6"/>
  <c r="M12"/>
  <c r="I46"/>
  <c r="I20"/>
  <c r="I57"/>
  <c r="I15"/>
  <c r="I16" i="96"/>
  <c r="AB49" i="24"/>
  <c r="AD49" s="1"/>
  <c r="P8" i="10"/>
  <c r="R8" s="1"/>
  <c r="S12" i="46" s="1"/>
  <c r="AA8" i="10"/>
  <c r="AB8" s="1"/>
  <c r="AD8" s="1"/>
  <c r="K50" i="46" s="1"/>
  <c r="K51" s="1"/>
  <c r="O9" i="10"/>
  <c r="P9" s="1"/>
  <c r="R9" s="1"/>
  <c r="S14" i="46" s="1"/>
  <c r="AA9" i="10"/>
  <c r="AB9" s="1"/>
  <c r="AD9" s="1"/>
  <c r="K52" i="46" s="1"/>
  <c r="K53" s="1"/>
  <c r="J8" i="10"/>
  <c r="U8"/>
  <c r="V8" s="1"/>
  <c r="X8" s="1"/>
  <c r="AA12" i="46" s="1"/>
  <c r="I9" i="10"/>
  <c r="J9" s="1"/>
  <c r="L9" s="1"/>
  <c r="U9"/>
  <c r="V9" s="1"/>
  <c r="X9" s="1"/>
  <c r="AA14" i="46" s="1"/>
  <c r="I9" i="24"/>
  <c r="C7" i="98" s="1"/>
  <c r="J84" i="24"/>
  <c r="L84" s="1"/>
  <c r="K6" i="117" s="1"/>
  <c r="J49" i="10"/>
  <c r="L49" s="1"/>
  <c r="P33" i="74"/>
  <c r="AF33" s="1"/>
  <c r="AR33" s="1"/>
  <c r="J86" i="24"/>
  <c r="L86" s="1"/>
  <c r="K7" i="117" s="1"/>
  <c r="P32" i="74"/>
  <c r="AF32" s="1"/>
  <c r="AR32" s="1"/>
  <c r="I69" i="24"/>
  <c r="C33" i="98" s="1"/>
  <c r="J71" i="24"/>
  <c r="I78"/>
  <c r="J70"/>
  <c r="L70" s="1"/>
  <c r="I68"/>
  <c r="J8"/>
  <c r="V42"/>
  <c r="P45"/>
  <c r="P46"/>
  <c r="P47"/>
  <c r="P48"/>
  <c r="K38" i="74"/>
  <c r="AC38" s="1"/>
  <c r="AO38" s="1"/>
  <c r="Q38"/>
  <c r="AG38" s="1"/>
  <c r="AS38" s="1"/>
  <c r="P42" i="24"/>
  <c r="Q23" i="54"/>
  <c r="K43" i="74"/>
  <c r="AC43" s="1"/>
  <c r="AO43" s="1"/>
  <c r="AB42" i="24"/>
  <c r="V45"/>
  <c r="V46"/>
  <c r="V47"/>
  <c r="V48"/>
  <c r="N38" i="74"/>
  <c r="AE38" s="1"/>
  <c r="AQ38" s="1"/>
  <c r="AB45" i="24"/>
  <c r="AB46"/>
  <c r="AB47"/>
  <c r="AB48"/>
  <c r="M23" i="54"/>
  <c r="J10" i="24"/>
  <c r="J15"/>
  <c r="I23" i="54"/>
  <c r="J14" i="24"/>
  <c r="J17"/>
  <c r="J11"/>
  <c r="I9" i="74" s="1"/>
  <c r="J16" i="24"/>
  <c r="L16" s="1"/>
  <c r="J42"/>
  <c r="J41"/>
  <c r="J46"/>
  <c r="J47"/>
  <c r="J48"/>
  <c r="D82" i="69"/>
  <c r="D89"/>
  <c r="F18"/>
  <c r="D90"/>
  <c r="I16" i="10"/>
  <c r="J16" s="1"/>
  <c r="L16" s="1"/>
  <c r="G5" i="74"/>
  <c r="Z5" s="1"/>
  <c r="AL5" s="1"/>
  <c r="O69" i="24"/>
  <c r="C33" i="99" s="1"/>
  <c r="J18" i="24"/>
  <c r="L18" s="1"/>
  <c r="I24" i="61"/>
  <c r="O68" i="24"/>
  <c r="C32" i="99" s="1"/>
  <c r="G4" i="74"/>
  <c r="Z4" s="1"/>
  <c r="AL4" s="1"/>
  <c r="AB15" i="10"/>
  <c r="AD15" s="1"/>
  <c r="I59" i="46"/>
  <c r="G18" i="62" s="1"/>
  <c r="S14" i="58"/>
  <c r="S15"/>
  <c r="S16"/>
  <c r="S21"/>
  <c r="K50"/>
  <c r="K51"/>
  <c r="K52"/>
  <c r="K57"/>
  <c r="I15"/>
  <c r="D68" i="62" s="1"/>
  <c r="J42" i="10"/>
  <c r="L42" s="1"/>
  <c r="K15" i="58" s="1"/>
  <c r="I45" i="24"/>
  <c r="C26" i="98" s="1"/>
  <c r="I14" i="58"/>
  <c r="D67" i="62" s="1"/>
  <c r="J41" i="10"/>
  <c r="L41" s="1"/>
  <c r="K14" i="58" s="1"/>
  <c r="I21"/>
  <c r="D74" i="62" s="1"/>
  <c r="J48" i="10"/>
  <c r="L48" s="1"/>
  <c r="K21" i="58" s="1"/>
  <c r="I50" i="60"/>
  <c r="Q19" i="56"/>
  <c r="M20" i="96" s="1"/>
  <c r="I77" i="24"/>
  <c r="D124" i="62"/>
  <c r="J77" i="10"/>
  <c r="L77" s="1"/>
  <c r="J78"/>
  <c r="L79"/>
  <c r="J11"/>
  <c r="K54" i="46"/>
  <c r="G45" i="62" s="1"/>
  <c r="K55" i="46"/>
  <c r="AA16"/>
  <c r="F45" i="62" s="1"/>
  <c r="AA17" i="46"/>
  <c r="S16"/>
  <c r="E45" i="62" s="1"/>
  <c r="S17" i="46"/>
  <c r="K61"/>
  <c r="AA23"/>
  <c r="S23"/>
  <c r="L17" i="10"/>
  <c r="S6" i="58"/>
  <c r="S7" s="1"/>
  <c r="E128" i="62"/>
  <c r="E18" i="69"/>
  <c r="I21" i="46"/>
  <c r="D18" i="62" s="1"/>
  <c r="V69" i="24"/>
  <c r="O33" i="74" s="1"/>
  <c r="AB69" i="24"/>
  <c r="R33" i="74" s="1"/>
  <c r="Q19" i="54"/>
  <c r="M19"/>
  <c r="V68" i="24"/>
  <c r="O32" i="74" s="1"/>
  <c r="AB68" i="24"/>
  <c r="R32" i="74" s="1"/>
  <c r="I55" i="58"/>
  <c r="G72" i="62" s="1"/>
  <c r="I56" i="58"/>
  <c r="G73" i="62" s="1"/>
  <c r="I20" i="54"/>
  <c r="I19"/>
  <c r="Q10"/>
  <c r="Q14"/>
  <c r="D123" i="62"/>
  <c r="Q6" i="54"/>
  <c r="M8"/>
  <c r="I15" i="60"/>
  <c r="I53"/>
  <c r="I19"/>
  <c r="I57"/>
  <c r="Q18" i="46"/>
  <c r="E15" i="62" s="1"/>
  <c r="I10" i="60"/>
  <c r="Q20"/>
  <c r="E183" i="62" s="1"/>
  <c r="I58" i="60"/>
  <c r="K56" i="46"/>
  <c r="I14" i="60"/>
  <c r="Y15"/>
  <c r="I52"/>
  <c r="Y18" i="46"/>
  <c r="F15" i="62" s="1"/>
  <c r="I16" i="46"/>
  <c r="D13" i="62" s="1"/>
  <c r="Q15" i="60"/>
  <c r="E178" i="62" s="1"/>
  <c r="Y14" i="60"/>
  <c r="Q18"/>
  <c r="E181" i="62" s="1"/>
  <c r="I21" i="60"/>
  <c r="Q21"/>
  <c r="E184" i="62" s="1"/>
  <c r="Q6" i="56"/>
  <c r="M6" i="96" s="1"/>
  <c r="Q8" i="56"/>
  <c r="M8" i="96" s="1"/>
  <c r="D127" i="62"/>
  <c r="Q6" i="61"/>
  <c r="Q12"/>
  <c r="Q16"/>
  <c r="Q18"/>
  <c r="Q20"/>
  <c r="Q21"/>
  <c r="Q23"/>
  <c r="S24"/>
  <c r="Q24"/>
  <c r="M6"/>
  <c r="M9"/>
  <c r="M12"/>
  <c r="M14"/>
  <c r="M16"/>
  <c r="M17"/>
  <c r="M18"/>
  <c r="M20"/>
  <c r="M21"/>
  <c r="M22"/>
  <c r="M23"/>
  <c r="O24"/>
  <c r="M24"/>
  <c r="Q9"/>
  <c r="Q14"/>
  <c r="Q17"/>
  <c r="Q22"/>
  <c r="I17"/>
  <c r="I20"/>
  <c r="I21"/>
  <c r="I22"/>
  <c r="I23"/>
  <c r="Q22" i="54"/>
  <c r="M22"/>
  <c r="K47" i="46"/>
  <c r="K48" s="1"/>
  <c r="K49" s="1"/>
  <c r="I47"/>
  <c r="G7" i="62" s="1"/>
  <c r="AA6" i="46"/>
  <c r="Y6"/>
  <c r="F5" i="62" s="1"/>
  <c r="S6" i="46"/>
  <c r="Q6"/>
  <c r="E5" i="62" s="1"/>
  <c r="S9" i="46"/>
  <c r="Q9"/>
  <c r="E7" i="62" s="1"/>
  <c r="I44" i="46"/>
  <c r="G5" i="62" s="1"/>
  <c r="AA9" i="46"/>
  <c r="Y9"/>
  <c r="F7" i="62" s="1"/>
  <c r="M14" i="54"/>
  <c r="M18"/>
  <c r="M20"/>
  <c r="M21" i="56"/>
  <c r="M6" i="54"/>
  <c r="N36" i="74"/>
  <c r="AE36" s="1"/>
  <c r="AQ36" s="1"/>
  <c r="Q14" i="56"/>
  <c r="Q36" i="74"/>
  <c r="AG36" s="1"/>
  <c r="AS36" s="1"/>
  <c r="P73" i="24"/>
  <c r="M15" i="56"/>
  <c r="V73" i="24"/>
  <c r="Q15" i="56"/>
  <c r="AB73" i="24"/>
  <c r="K41" i="74"/>
  <c r="AC41" s="1"/>
  <c r="AO41" s="1"/>
  <c r="M19" i="56"/>
  <c r="J73" i="24"/>
  <c r="L73" s="1"/>
  <c r="M12" i="54"/>
  <c r="M15"/>
  <c r="M16"/>
  <c r="M21"/>
  <c r="N42" i="74"/>
  <c r="AE42" s="1"/>
  <c r="AQ42" s="1"/>
  <c r="Q20" i="56"/>
  <c r="M21" i="96" s="1"/>
  <c r="Q8" i="54"/>
  <c r="K36" i="74"/>
  <c r="AC36" s="1"/>
  <c r="AO36" s="1"/>
  <c r="M14" i="56"/>
  <c r="M10" i="54"/>
  <c r="Q12"/>
  <c r="Q15"/>
  <c r="Q16"/>
  <c r="Q18"/>
  <c r="Q20"/>
  <c r="Q21"/>
  <c r="M16" i="56"/>
  <c r="Q16"/>
  <c r="K42" i="74"/>
  <c r="AC42" s="1"/>
  <c r="AO42" s="1"/>
  <c r="M20" i="56"/>
  <c r="N41" i="74"/>
  <c r="AE41" s="1"/>
  <c r="AQ41" s="1"/>
  <c r="J72" i="24"/>
  <c r="Q10" i="60"/>
  <c r="E173" i="62" s="1"/>
  <c r="Q12" i="60"/>
  <c r="E175" i="62" s="1"/>
  <c r="Y10" i="60"/>
  <c r="Y12"/>
  <c r="I48"/>
  <c r="AA8" i="58"/>
  <c r="AA9" s="1"/>
  <c r="Y8"/>
  <c r="F60" i="62" s="1"/>
  <c r="D84"/>
  <c r="Q30" i="58"/>
  <c r="E83" i="62" s="1"/>
  <c r="M32" i="54"/>
  <c r="Y28" i="58"/>
  <c r="F81" i="62" s="1"/>
  <c r="Q30" i="54"/>
  <c r="G79" i="62"/>
  <c r="Q35" i="58"/>
  <c r="E88" i="62" s="1"/>
  <c r="M37" i="54"/>
  <c r="G133" i="62"/>
  <c r="G134"/>
  <c r="E135"/>
  <c r="E136"/>
  <c r="G137"/>
  <c r="F142"/>
  <c r="E146"/>
  <c r="E113"/>
  <c r="E154"/>
  <c r="E121"/>
  <c r="G149"/>
  <c r="G116"/>
  <c r="I28" i="60"/>
  <c r="I32" i="56"/>
  <c r="Q24" i="60"/>
  <c r="E187" i="62" s="1"/>
  <c r="M28" i="56"/>
  <c r="Y24" i="60"/>
  <c r="M25" i="95" s="1"/>
  <c r="Q28" i="56"/>
  <c r="M25" i="96" s="1"/>
  <c r="S8" i="58"/>
  <c r="S9" s="1"/>
  <c r="Q8"/>
  <c r="E60" i="62" s="1"/>
  <c r="K48" i="58"/>
  <c r="K49" s="1"/>
  <c r="I48"/>
  <c r="G65" i="62" s="1"/>
  <c r="Q24" i="58"/>
  <c r="E77" i="62" s="1"/>
  <c r="M26" i="54"/>
  <c r="I60" i="58"/>
  <c r="G77" i="62" s="1"/>
  <c r="D78"/>
  <c r="I27" i="54"/>
  <c r="Q27" i="58"/>
  <c r="E80" i="62" s="1"/>
  <c r="M29" i="54"/>
  <c r="Y25" i="58"/>
  <c r="F78" i="62" s="1"/>
  <c r="Q27" i="54"/>
  <c r="I63" i="58"/>
  <c r="G80" i="62" s="1"/>
  <c r="Q34" i="58"/>
  <c r="E87" i="62" s="1"/>
  <c r="M36" i="54"/>
  <c r="F132" i="62"/>
  <c r="D139"/>
  <c r="F139"/>
  <c r="E143"/>
  <c r="Y27" i="60"/>
  <c r="M28" i="95" s="1"/>
  <c r="Q31" i="56"/>
  <c r="M28" i="96" s="1"/>
  <c r="S10" i="58"/>
  <c r="S11" s="1"/>
  <c r="Q10"/>
  <c r="E63" i="62" s="1"/>
  <c r="AA13" i="58"/>
  <c r="Y12"/>
  <c r="F65" i="62" s="1"/>
  <c r="I30" i="58"/>
  <c r="D83" i="62" s="1"/>
  <c r="I32" i="54"/>
  <c r="D79" i="62"/>
  <c r="I28" i="54"/>
  <c r="Q28" i="58"/>
  <c r="E81" i="62" s="1"/>
  <c r="M30" i="54"/>
  <c r="E84" i="62"/>
  <c r="Y30" i="58"/>
  <c r="F83" i="62" s="1"/>
  <c r="Q32" i="54"/>
  <c r="Y26" i="58"/>
  <c r="F79" i="62" s="1"/>
  <c r="Q28" i="54"/>
  <c r="I64" i="58"/>
  <c r="G81" i="62" s="1"/>
  <c r="G84"/>
  <c r="I35" i="58"/>
  <c r="D88" i="62" s="1"/>
  <c r="F88"/>
  <c r="F133"/>
  <c r="D134"/>
  <c r="F134"/>
  <c r="D135"/>
  <c r="F135"/>
  <c r="D136"/>
  <c r="F136"/>
  <c r="D137"/>
  <c r="F137"/>
  <c r="D138"/>
  <c r="F138"/>
  <c r="D142"/>
  <c r="D143"/>
  <c r="D146"/>
  <c r="D113"/>
  <c r="D152"/>
  <c r="D119"/>
  <c r="E149"/>
  <c r="E116"/>
  <c r="G146"/>
  <c r="G113"/>
  <c r="G154"/>
  <c r="G121"/>
  <c r="I26" i="60"/>
  <c r="I27" i="95" s="1"/>
  <c r="I30" i="56"/>
  <c r="I27" i="96" s="1"/>
  <c r="I30" i="60"/>
  <c r="I32" i="95" s="1"/>
  <c r="I34" i="56"/>
  <c r="I32" i="96" s="1"/>
  <c r="Q26" i="60"/>
  <c r="E189" i="62" s="1"/>
  <c r="M30" i="56"/>
  <c r="Q30" i="60"/>
  <c r="E193" i="62" s="1"/>
  <c r="M34" i="56"/>
  <c r="Y26" i="60"/>
  <c r="M27" i="95" s="1"/>
  <c r="Q30" i="56"/>
  <c r="M27" i="96" s="1"/>
  <c r="Y30" i="60"/>
  <c r="M32" i="95" s="1"/>
  <c r="Q34" i="56"/>
  <c r="M32" i="96" s="1"/>
  <c r="I64" i="60"/>
  <c r="I63" i="95" s="1"/>
  <c r="I68"/>
  <c r="Q17" i="56"/>
  <c r="AA6" i="58"/>
  <c r="AA7" s="1"/>
  <c r="Y6"/>
  <c r="F57" i="62" s="1"/>
  <c r="K46" i="58"/>
  <c r="K47" s="1"/>
  <c r="I46"/>
  <c r="G63" i="62" s="1"/>
  <c r="I28" i="58"/>
  <c r="D81" i="62" s="1"/>
  <c r="I30" i="54"/>
  <c r="Q26" i="58"/>
  <c r="E79" i="62" s="1"/>
  <c r="M28" i="54"/>
  <c r="F84" i="62"/>
  <c r="I66" i="58"/>
  <c r="G83" i="62" s="1"/>
  <c r="I71" i="58"/>
  <c r="G88" i="62" s="1"/>
  <c r="E133"/>
  <c r="E134"/>
  <c r="G135"/>
  <c r="G136"/>
  <c r="E137"/>
  <c r="E138"/>
  <c r="G138"/>
  <c r="F143"/>
  <c r="F152"/>
  <c r="F119"/>
  <c r="I24" i="60"/>
  <c r="I25" i="95" s="1"/>
  <c r="I28" i="56"/>
  <c r="I25" i="96" s="1"/>
  <c r="Q28" i="60"/>
  <c r="E191" i="62" s="1"/>
  <c r="M32" i="56"/>
  <c r="Y28" i="60"/>
  <c r="Q32" i="56"/>
  <c r="I62" i="60"/>
  <c r="I61" i="95" s="1"/>
  <c r="I66" i="60"/>
  <c r="AA10" i="58"/>
  <c r="AA11" s="1"/>
  <c r="Y10"/>
  <c r="F63" i="62" s="1"/>
  <c r="I29" i="58"/>
  <c r="D82" i="62" s="1"/>
  <c r="I31" i="54"/>
  <c r="Y29" i="58"/>
  <c r="F82" i="62" s="1"/>
  <c r="Q31" i="54"/>
  <c r="G87" i="62"/>
  <c r="E142"/>
  <c r="F146"/>
  <c r="F113"/>
  <c r="F154"/>
  <c r="F121"/>
  <c r="G152"/>
  <c r="G119"/>
  <c r="I27" i="60"/>
  <c r="I28" i="95" s="1"/>
  <c r="I31" i="56"/>
  <c r="I28" i="96" s="1"/>
  <c r="Q27" i="60"/>
  <c r="E190" i="62" s="1"/>
  <c r="M31" i="56"/>
  <c r="E194" i="62"/>
  <c r="K42" i="58"/>
  <c r="K43" s="1"/>
  <c r="I42"/>
  <c r="G57" i="62" s="1"/>
  <c r="K44" i="58"/>
  <c r="K45" s="1"/>
  <c r="I44"/>
  <c r="G60" i="62" s="1"/>
  <c r="S12" i="58"/>
  <c r="S13" s="1"/>
  <c r="Q12"/>
  <c r="E65" i="62" s="1"/>
  <c r="D77"/>
  <c r="Y24" i="58"/>
  <c r="F77" i="62" s="1"/>
  <c r="Q26" i="54"/>
  <c r="I27" i="58"/>
  <c r="D80" i="62" s="1"/>
  <c r="Q29" i="58"/>
  <c r="E82" i="62" s="1"/>
  <c r="M31" i="54"/>
  <c r="Q25" i="58"/>
  <c r="E78" i="62" s="1"/>
  <c r="M27" i="54"/>
  <c r="Y27" i="58"/>
  <c r="F80" i="62" s="1"/>
  <c r="Q29" i="54"/>
  <c r="I65" i="58"/>
  <c r="G82" i="62" s="1"/>
  <c r="I61" i="58"/>
  <c r="G78" i="62" s="1"/>
  <c r="I34" i="58"/>
  <c r="D87" i="62" s="1"/>
  <c r="Y34" i="58"/>
  <c r="F87" i="62" s="1"/>
  <c r="Q36" i="54"/>
  <c r="E132" i="62"/>
  <c r="G132"/>
  <c r="E139"/>
  <c r="G139"/>
  <c r="G142"/>
  <c r="G143"/>
  <c r="D154"/>
  <c r="D121"/>
  <c r="E152"/>
  <c r="E119"/>
  <c r="F149"/>
  <c r="F116"/>
  <c r="I25" i="60"/>
  <c r="I26" i="95" s="1"/>
  <c r="I29" i="56"/>
  <c r="I26" i="96" s="1"/>
  <c r="Q25" i="60"/>
  <c r="E188" i="62" s="1"/>
  <c r="M29" i="56"/>
  <c r="E192" i="62"/>
  <c r="M33" i="56"/>
  <c r="Y25" i="60"/>
  <c r="M26" i="95" s="1"/>
  <c r="Q29" i="56"/>
  <c r="M26" i="96" s="1"/>
  <c r="Q33" i="56"/>
  <c r="I63" i="60"/>
  <c r="I62" i="95" s="1"/>
  <c r="M17" i="56"/>
  <c r="I46" i="60"/>
  <c r="Y6"/>
  <c r="L6" i="10"/>
  <c r="L7"/>
  <c r="I9" i="46"/>
  <c r="D7" i="62" s="1"/>
  <c r="L18" i="10"/>
  <c r="V72"/>
  <c r="X72" s="1"/>
  <c r="P76"/>
  <c r="R76" s="1"/>
  <c r="AB72"/>
  <c r="AD72" s="1"/>
  <c r="AB77"/>
  <c r="AD77" s="1"/>
  <c r="O72"/>
  <c r="P78"/>
  <c r="R78" s="1"/>
  <c r="AB78"/>
  <c r="AD78" s="1"/>
  <c r="J85"/>
  <c r="L85" s="1"/>
  <c r="I58" i="46"/>
  <c r="G17" i="62" s="1"/>
  <c r="I60" i="46"/>
  <c r="G19" i="62" s="1"/>
  <c r="Y20" i="58"/>
  <c r="F73" i="62" s="1"/>
  <c r="Y20" i="46"/>
  <c r="F17" i="62" s="1"/>
  <c r="Y21" i="46"/>
  <c r="F18" i="62" s="1"/>
  <c r="Y22" i="46"/>
  <c r="F19" i="62" s="1"/>
  <c r="Q19" i="58"/>
  <c r="E72" i="62" s="1"/>
  <c r="Q20" i="58"/>
  <c r="E73" i="62" s="1"/>
  <c r="U76" i="10"/>
  <c r="U78"/>
  <c r="Y18" i="58"/>
  <c r="F71" i="62" s="1"/>
  <c r="Q20" i="46"/>
  <c r="E17" i="62" s="1"/>
  <c r="Q22" i="46"/>
  <c r="E19" i="62" s="1"/>
  <c r="J45" i="10"/>
  <c r="F127" i="62"/>
  <c r="AA76" i="10"/>
  <c r="O77"/>
  <c r="U77"/>
  <c r="I84"/>
  <c r="J73"/>
  <c r="L73" s="1"/>
  <c r="J72"/>
  <c r="L72" s="1"/>
  <c r="D149" i="62"/>
  <c r="G43" i="112" l="1"/>
  <c r="L72" i="24"/>
  <c r="I38" i="74"/>
  <c r="L74" i="24"/>
  <c r="I8" i="74"/>
  <c r="I6" i="56"/>
  <c r="C32" i="98"/>
  <c r="E32" s="1"/>
  <c r="Q32" s="1"/>
  <c r="J78" i="24"/>
  <c r="L78" s="1"/>
  <c r="I42" i="74" s="1"/>
  <c r="C42" i="98"/>
  <c r="E42" s="1"/>
  <c r="Q42" s="1"/>
  <c r="AB77" i="24"/>
  <c r="R41" i="74" s="1"/>
  <c r="C41" i="101"/>
  <c r="AB76" i="24"/>
  <c r="R40" i="74" s="1"/>
  <c r="C40" i="101"/>
  <c r="K40" s="1"/>
  <c r="Q40" s="1"/>
  <c r="AB78" i="24"/>
  <c r="R42" i="74" s="1"/>
  <c r="C42" i="101"/>
  <c r="K42" s="1"/>
  <c r="Q42" s="1"/>
  <c r="C22" i="98"/>
  <c r="E22" s="1"/>
  <c r="Q22" s="1"/>
  <c r="I14" i="54"/>
  <c r="G42" i="112"/>
  <c r="J77" i="24"/>
  <c r="C41" i="98"/>
  <c r="E41" s="1"/>
  <c r="Q41" s="1"/>
  <c r="V70" i="24"/>
  <c r="O34" i="74" s="1"/>
  <c r="C34" i="100"/>
  <c r="I34" s="1"/>
  <c r="Q34" s="1"/>
  <c r="P76" i="24"/>
  <c r="L40" i="74" s="1"/>
  <c r="C40" i="99"/>
  <c r="G40" s="1"/>
  <c r="Q40" s="1"/>
  <c r="AB71" i="24"/>
  <c r="R35" i="74" s="1"/>
  <c r="C35" i="101"/>
  <c r="AB70" i="24"/>
  <c r="R34" i="74" s="1"/>
  <c r="C34" i="101"/>
  <c r="K34" s="1"/>
  <c r="Q34" s="1"/>
  <c r="C24" i="98"/>
  <c r="E24" s="1"/>
  <c r="Q24" s="1"/>
  <c r="I16" i="54"/>
  <c r="I14" i="56"/>
  <c r="C36" i="98"/>
  <c r="E36" s="1"/>
  <c r="Q36" s="1"/>
  <c r="C8"/>
  <c r="E8" s="1"/>
  <c r="Q8"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I6"/>
  <c r="H36"/>
  <c r="AA36" s="1"/>
  <c r="AM36" s="1"/>
  <c r="I36"/>
  <c r="H28"/>
  <c r="AA28" s="1"/>
  <c r="AM28" s="1"/>
  <c r="I28"/>
  <c r="H22"/>
  <c r="AA22" s="1"/>
  <c r="AM22" s="1"/>
  <c r="I22"/>
  <c r="H14"/>
  <c r="AA14" s="1"/>
  <c r="AM14" s="1"/>
  <c r="I14"/>
  <c r="H15"/>
  <c r="AA15" s="1"/>
  <c r="AM15" s="1"/>
  <c r="I15"/>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I16" i="95"/>
  <c r="D71" i="69"/>
  <c r="G30" i="112"/>
  <c r="J43" i="24"/>
  <c r="I10" i="58"/>
  <c r="D63" i="62" s="1"/>
  <c r="K35" i="101"/>
  <c r="Q35" s="1"/>
  <c r="H38" i="74"/>
  <c r="AA38" s="1"/>
  <c r="AM38" s="1"/>
  <c r="I16" i="56"/>
  <c r="D124" i="69" s="1"/>
  <c r="G38" i="74"/>
  <c r="Z38" s="1"/>
  <c r="AL38" s="1"/>
  <c r="I8" i="58"/>
  <c r="D60" i="62" s="1"/>
  <c r="I19" i="58"/>
  <c r="D72" i="62" s="1"/>
  <c r="I20" i="58"/>
  <c r="D73" i="62" s="1"/>
  <c r="P34" i="74"/>
  <c r="AF34" s="1"/>
  <c r="AR34" s="1"/>
  <c r="I6" i="58"/>
  <c r="D57" i="62" s="1"/>
  <c r="P35" i="74"/>
  <c r="AF35" s="1"/>
  <c r="AR35" s="1"/>
  <c r="M34"/>
  <c r="AD34" s="1"/>
  <c r="AP34" s="1"/>
  <c r="K41" i="101"/>
  <c r="Q41" s="1"/>
  <c r="I52" i="46"/>
  <c r="G11" i="62" s="1"/>
  <c r="P42" i="74"/>
  <c r="AF42" s="1"/>
  <c r="AR42" s="1"/>
  <c r="P40"/>
  <c r="AF40" s="1"/>
  <c r="AR40" s="1"/>
  <c r="Y12" i="46"/>
  <c r="F9" i="62" s="1"/>
  <c r="M18" i="56"/>
  <c r="E126" i="69" s="1"/>
  <c r="I14" i="46"/>
  <c r="D11" i="62" s="1"/>
  <c r="L12" i="10"/>
  <c r="K18" i="46" s="1"/>
  <c r="I18"/>
  <c r="D15" i="62" s="1"/>
  <c r="E40" i="98"/>
  <c r="Q40" s="1"/>
  <c r="J76" i="24"/>
  <c r="L76" s="1"/>
  <c r="J40" i="74"/>
  <c r="AB40" s="1"/>
  <c r="AN40" s="1"/>
  <c r="O10" i="56"/>
  <c r="O11" s="1"/>
  <c r="S10"/>
  <c r="S11" s="1"/>
  <c r="I35" i="100"/>
  <c r="Q35" s="1"/>
  <c r="Q14" i="46"/>
  <c r="E11" i="62" s="1"/>
  <c r="N40" i="74"/>
  <c r="AE40" s="1"/>
  <c r="AQ40" s="1"/>
  <c r="S18" i="56"/>
  <c r="O19" i="96" s="1"/>
  <c r="M43" i="74"/>
  <c r="AD43" s="1"/>
  <c r="AP43" s="1"/>
  <c r="I43" i="100"/>
  <c r="Q43" s="1"/>
  <c r="G26" i="74"/>
  <c r="Z26" s="1"/>
  <c r="AL26" s="1"/>
  <c r="E26" i="98"/>
  <c r="Q26" s="1"/>
  <c r="J33" i="74"/>
  <c r="AB33" s="1"/>
  <c r="AN33" s="1"/>
  <c r="G33" i="99"/>
  <c r="Q33" s="1"/>
  <c r="J68" i="24"/>
  <c r="L68" s="1"/>
  <c r="I18" i="56"/>
  <c r="E43" i="98"/>
  <c r="Q43" s="1"/>
  <c r="J9" i="24"/>
  <c r="E7" i="98"/>
  <c r="Q7" s="1"/>
  <c r="I50" i="46"/>
  <c r="G9" i="62" s="1"/>
  <c r="Y14" i="46"/>
  <c r="F11" i="62" s="1"/>
  <c r="K40" i="74"/>
  <c r="AC40" s="1"/>
  <c r="AO40" s="1"/>
  <c r="O18" i="56"/>
  <c r="J32" i="74"/>
  <c r="AB32" s="1"/>
  <c r="AN32" s="1"/>
  <c r="G32" i="99"/>
  <c r="Q32" s="1"/>
  <c r="J69" i="24"/>
  <c r="I33" i="74" s="1"/>
  <c r="E33" i="98"/>
  <c r="Q33" s="1"/>
  <c r="K17" i="96"/>
  <c r="Q12" i="46"/>
  <c r="E9" i="62" s="1"/>
  <c r="G7" i="74"/>
  <c r="Z7" s="1"/>
  <c r="AL7" s="1"/>
  <c r="I12" i="96"/>
  <c r="K16" i="95"/>
  <c r="I14"/>
  <c r="K15"/>
  <c r="O12"/>
  <c r="O13" s="1"/>
  <c r="I6"/>
  <c r="K44"/>
  <c r="K45" s="1"/>
  <c r="M20"/>
  <c r="K57"/>
  <c r="I8"/>
  <c r="K42"/>
  <c r="K43" s="1"/>
  <c r="J76" i="10"/>
  <c r="L76" s="1"/>
  <c r="K18" i="60" s="1"/>
  <c r="I19" i="95"/>
  <c r="AA21" i="60"/>
  <c r="M22" i="95"/>
  <c r="K59" i="60"/>
  <c r="I58" i="95"/>
  <c r="K20"/>
  <c r="I12" i="60"/>
  <c r="D175" i="62" s="1"/>
  <c r="I12" i="95"/>
  <c r="I55"/>
  <c r="M19"/>
  <c r="K46"/>
  <c r="K47" s="1"/>
  <c r="K56"/>
  <c r="K48"/>
  <c r="K49" s="1"/>
  <c r="O6"/>
  <c r="O7" s="1"/>
  <c r="O8"/>
  <c r="O9" s="1"/>
  <c r="K16" i="96"/>
  <c r="K14"/>
  <c r="M21" i="95"/>
  <c r="K22"/>
  <c r="H9" i="74"/>
  <c r="AA9" s="1"/>
  <c r="AM9" s="1"/>
  <c r="H8"/>
  <c r="AA8" s="1"/>
  <c r="AM8" s="1"/>
  <c r="N33"/>
  <c r="AE33" s="1"/>
  <c r="AQ33" s="1"/>
  <c r="G42"/>
  <c r="Z42" s="1"/>
  <c r="AL42" s="1"/>
  <c r="Q33"/>
  <c r="AG33" s="1"/>
  <c r="AS33" s="1"/>
  <c r="N32"/>
  <c r="AE32" s="1"/>
  <c r="AQ32" s="1"/>
  <c r="G32"/>
  <c r="Z32" s="1"/>
  <c r="AL32" s="1"/>
  <c r="G35"/>
  <c r="Z35" s="1"/>
  <c r="AL35" s="1"/>
  <c r="G43"/>
  <c r="Z43" s="1"/>
  <c r="AL43" s="1"/>
  <c r="P43"/>
  <c r="AF43" s="1"/>
  <c r="AR43" s="1"/>
  <c r="Q40"/>
  <c r="AG40" s="1"/>
  <c r="AS40" s="1"/>
  <c r="G34"/>
  <c r="Z34" s="1"/>
  <c r="AL34" s="1"/>
  <c r="G33"/>
  <c r="Z33" s="1"/>
  <c r="AL33" s="1"/>
  <c r="Q42"/>
  <c r="AG42" s="1"/>
  <c r="AS42" s="1"/>
  <c r="Q41"/>
  <c r="AG41" s="1"/>
  <c r="AS41" s="1"/>
  <c r="Q32"/>
  <c r="AG32" s="1"/>
  <c r="AS32" s="1"/>
  <c r="G41"/>
  <c r="Z41" s="1"/>
  <c r="AL41" s="1"/>
  <c r="G40"/>
  <c r="Z40" s="1"/>
  <c r="AL40" s="1"/>
  <c r="I20" i="56"/>
  <c r="G6" i="74"/>
  <c r="Z6" s="1"/>
  <c r="AL6" s="1"/>
  <c r="I8" i="56"/>
  <c r="I35" i="74"/>
  <c r="D11" i="69"/>
  <c r="G24" i="74"/>
  <c r="Z24" s="1"/>
  <c r="AL24" s="1"/>
  <c r="S22" i="54"/>
  <c r="O22"/>
  <c r="M6" i="56"/>
  <c r="E114" i="69" s="1"/>
  <c r="P69" i="24"/>
  <c r="L33" i="74" s="1"/>
  <c r="O15" i="56"/>
  <c r="E155" i="69" s="1"/>
  <c r="K24" i="61"/>
  <c r="I9"/>
  <c r="J49" i="24"/>
  <c r="L49" s="1"/>
  <c r="J6"/>
  <c r="I14" i="61"/>
  <c r="J45" i="24"/>
  <c r="I26" i="74" s="1"/>
  <c r="I22" i="46"/>
  <c r="D19" i="62" s="1"/>
  <c r="J71" i="10"/>
  <c r="L71" s="1"/>
  <c r="I16" i="58"/>
  <c r="D69" i="62" s="1"/>
  <c r="H5" i="74"/>
  <c r="AA5" s="1"/>
  <c r="AM5" s="1"/>
  <c r="Q21" i="56"/>
  <c r="M22" i="96" s="1"/>
  <c r="P68" i="24"/>
  <c r="L32" i="74" s="1"/>
  <c r="E133" i="69"/>
  <c r="F89"/>
  <c r="E139"/>
  <c r="D84"/>
  <c r="F80"/>
  <c r="D80"/>
  <c r="E79"/>
  <c r="D136"/>
  <c r="D86"/>
  <c r="F67"/>
  <c r="E76"/>
  <c r="E127"/>
  <c r="E73"/>
  <c r="F13"/>
  <c r="E63"/>
  <c r="F65"/>
  <c r="D75"/>
  <c r="E84"/>
  <c r="E81"/>
  <c r="D122"/>
  <c r="F76"/>
  <c r="F70"/>
  <c r="F126"/>
  <c r="F63"/>
  <c r="E67"/>
  <c r="E61"/>
  <c r="E75"/>
  <c r="F16"/>
  <c r="F19"/>
  <c r="F5"/>
  <c r="F69"/>
  <c r="D74"/>
  <c r="F127"/>
  <c r="F137"/>
  <c r="E137"/>
  <c r="D137"/>
  <c r="F79"/>
  <c r="E135"/>
  <c r="E134"/>
  <c r="F85"/>
  <c r="E86"/>
  <c r="D81"/>
  <c r="E132"/>
  <c r="F83"/>
  <c r="E85"/>
  <c r="E128"/>
  <c r="E124"/>
  <c r="F71"/>
  <c r="E70"/>
  <c r="D123"/>
  <c r="E123"/>
  <c r="F21"/>
  <c r="F20"/>
  <c r="F11"/>
  <c r="D69"/>
  <c r="M8" i="56"/>
  <c r="D79" i="69"/>
  <c r="F84"/>
  <c r="D125"/>
  <c r="E138"/>
  <c r="F90"/>
  <c r="F81"/>
  <c r="E83"/>
  <c r="D85"/>
  <c r="E89"/>
  <c r="E82"/>
  <c r="E90"/>
  <c r="F75"/>
  <c r="F128"/>
  <c r="F123"/>
  <c r="E129"/>
  <c r="F17"/>
  <c r="F114"/>
  <c r="F74"/>
  <c r="F86"/>
  <c r="D83"/>
  <c r="F125"/>
  <c r="E125"/>
  <c r="F82"/>
  <c r="E80"/>
  <c r="F136"/>
  <c r="E136"/>
  <c r="F124"/>
  <c r="F73"/>
  <c r="E65"/>
  <c r="E122"/>
  <c r="E71"/>
  <c r="F122"/>
  <c r="D70"/>
  <c r="E69"/>
  <c r="F8"/>
  <c r="F22"/>
  <c r="F15"/>
  <c r="F116"/>
  <c r="F61"/>
  <c r="I18" i="54"/>
  <c r="I22"/>
  <c r="I19" i="56"/>
  <c r="I20" i="96" s="1"/>
  <c r="E99" i="62"/>
  <c r="G91"/>
  <c r="F99"/>
  <c r="E94"/>
  <c r="G97"/>
  <c r="G94"/>
  <c r="F97"/>
  <c r="E97"/>
  <c r="G99"/>
  <c r="F94"/>
  <c r="E91"/>
  <c r="F91"/>
  <c r="I57" i="58"/>
  <c r="G74" i="62" s="1"/>
  <c r="I52" i="58"/>
  <c r="G69" i="62" s="1"/>
  <c r="I50" i="58"/>
  <c r="G67" i="62" s="1"/>
  <c r="Y16" i="58"/>
  <c r="F69" i="62" s="1"/>
  <c r="Y14" i="58"/>
  <c r="F67" i="62" s="1"/>
  <c r="Q18" i="58"/>
  <c r="E71" i="62" s="1"/>
  <c r="Q15" i="58"/>
  <c r="E68" i="62" s="1"/>
  <c r="I54" i="58"/>
  <c r="G71" i="62" s="1"/>
  <c r="I51" i="58"/>
  <c r="G68" i="62" s="1"/>
  <c r="Y21" i="58"/>
  <c r="F74" i="62" s="1"/>
  <c r="Y15" i="58"/>
  <c r="F68" i="62" s="1"/>
  <c r="Q21" i="58"/>
  <c r="E74" i="62" s="1"/>
  <c r="Q16" i="58"/>
  <c r="E69" i="62" s="1"/>
  <c r="Q14" i="58"/>
  <c r="E67" i="62" s="1"/>
  <c r="L11" i="10"/>
  <c r="K17" i="46" s="1"/>
  <c r="I59" i="60"/>
  <c r="G184" i="62" s="1"/>
  <c r="G124"/>
  <c r="L78" i="10"/>
  <c r="D125" i="62"/>
  <c r="F123"/>
  <c r="Q21" i="46"/>
  <c r="E18" i="62" s="1"/>
  <c r="I21" i="56"/>
  <c r="I22" i="96" s="1"/>
  <c r="I17" i="46"/>
  <c r="D14" i="62" s="1"/>
  <c r="I18" i="60"/>
  <c r="D181" i="62" s="1"/>
  <c r="Q17" i="46"/>
  <c r="E14" i="62" s="1"/>
  <c r="F125"/>
  <c r="D129"/>
  <c r="Y21" i="60"/>
  <c r="F184" i="62" s="1"/>
  <c r="Y17" i="46"/>
  <c r="F14" i="62" s="1"/>
  <c r="G125"/>
  <c r="E125"/>
  <c r="E124"/>
  <c r="G123"/>
  <c r="E123"/>
  <c r="F124"/>
  <c r="I55" i="46"/>
  <c r="G14" i="62" s="1"/>
  <c r="I21" i="54"/>
  <c r="I61" i="46"/>
  <c r="G20" i="62" s="1"/>
  <c r="Q16" i="46"/>
  <c r="E13" i="62" s="1"/>
  <c r="Y16" i="46"/>
  <c r="F13" i="62" s="1"/>
  <c r="G13"/>
  <c r="Q23" i="46"/>
  <c r="E20" i="62" s="1"/>
  <c r="I23" i="46"/>
  <c r="D20" i="62" s="1"/>
  <c r="Y23" i="46"/>
  <c r="F20" i="62" s="1"/>
  <c r="I18" i="58"/>
  <c r="D71" i="62" s="1"/>
  <c r="L45" i="10"/>
  <c r="K18" i="58" s="1"/>
  <c r="E39" i="62"/>
  <c r="S10" i="46"/>
  <c r="S11" s="1"/>
  <c r="E40" i="62" s="1"/>
  <c r="F43"/>
  <c r="AA15" i="46"/>
  <c r="E41" i="62"/>
  <c r="S13" i="46"/>
  <c r="E42" i="62" s="1"/>
  <c r="E37"/>
  <c r="S7" i="46"/>
  <c r="S8" s="1"/>
  <c r="E38" i="62" s="1"/>
  <c r="F37"/>
  <c r="AA7" i="46"/>
  <c r="AA8" s="1"/>
  <c r="F38" i="62" s="1"/>
  <c r="F39"/>
  <c r="AA10" i="46"/>
  <c r="AA11" s="1"/>
  <c r="F40" i="62" s="1"/>
  <c r="G37"/>
  <c r="G38"/>
  <c r="G43"/>
  <c r="E43"/>
  <c r="S15" i="46"/>
  <c r="F41" i="62"/>
  <c r="AA13" i="46"/>
  <c r="F42" i="62" s="1"/>
  <c r="G41"/>
  <c r="G42"/>
  <c r="G39"/>
  <c r="G40"/>
  <c r="I12" i="58"/>
  <c r="D65" i="62" s="1"/>
  <c r="D158"/>
  <c r="S19" i="54"/>
  <c r="O19"/>
  <c r="Y19" i="58"/>
  <c r="F72" i="62" s="1"/>
  <c r="L37" i="10"/>
  <c r="K20" i="54"/>
  <c r="L43" i="10"/>
  <c r="S18" i="46"/>
  <c r="E47" i="62" s="1"/>
  <c r="K55" i="58"/>
  <c r="Q6"/>
  <c r="E57" i="62" s="1"/>
  <c r="D128"/>
  <c r="E13" i="69"/>
  <c r="D16"/>
  <c r="E22"/>
  <c r="E17"/>
  <c r="E15"/>
  <c r="E11"/>
  <c r="E5"/>
  <c r="E74"/>
  <c r="E16"/>
  <c r="E8"/>
  <c r="D22"/>
  <c r="D20"/>
  <c r="E20"/>
  <c r="D21"/>
  <c r="D19"/>
  <c r="D15"/>
  <c r="E21"/>
  <c r="E19"/>
  <c r="D138"/>
  <c r="F139"/>
  <c r="D139"/>
  <c r="F133"/>
  <c r="D133"/>
  <c r="F134"/>
  <c r="D134"/>
  <c r="D135"/>
  <c r="F138"/>
  <c r="F135"/>
  <c r="D132"/>
  <c r="F132"/>
  <c r="L15" i="10"/>
  <c r="K21" i="46" s="1"/>
  <c r="D156" i="62"/>
  <c r="K56" i="58"/>
  <c r="I8" i="60"/>
  <c r="D170" i="62" s="1"/>
  <c r="L46" i="10"/>
  <c r="K19" i="58" s="1"/>
  <c r="D106" i="62" s="1"/>
  <c r="G194"/>
  <c r="F194"/>
  <c r="G191"/>
  <c r="G190"/>
  <c r="G192"/>
  <c r="G193"/>
  <c r="G187"/>
  <c r="G188"/>
  <c r="G189"/>
  <c r="F192"/>
  <c r="F193"/>
  <c r="F191"/>
  <c r="F190"/>
  <c r="F187"/>
  <c r="F188"/>
  <c r="F189"/>
  <c r="D191"/>
  <c r="D187"/>
  <c r="D192"/>
  <c r="D190"/>
  <c r="D193"/>
  <c r="D188"/>
  <c r="D189"/>
  <c r="D194"/>
  <c r="G182"/>
  <c r="G170"/>
  <c r="G178"/>
  <c r="G173"/>
  <c r="G177"/>
  <c r="G175"/>
  <c r="G183"/>
  <c r="F175"/>
  <c r="F177"/>
  <c r="F178"/>
  <c r="F173"/>
  <c r="F167"/>
  <c r="D184"/>
  <c r="D178"/>
  <c r="D183"/>
  <c r="D177"/>
  <c r="D179"/>
  <c r="D173"/>
  <c r="D182"/>
  <c r="AA18" i="46"/>
  <c r="F47" i="62" s="1"/>
  <c r="I56" i="46"/>
  <c r="G15" i="62" s="1"/>
  <c r="Y19" i="60"/>
  <c r="K58"/>
  <c r="K19"/>
  <c r="I6"/>
  <c r="J68" i="10"/>
  <c r="L68" s="1"/>
  <c r="AA12" i="60"/>
  <c r="AA13" s="1"/>
  <c r="S21"/>
  <c r="AA15"/>
  <c r="K15"/>
  <c r="I56"/>
  <c r="K48"/>
  <c r="K49" s="1"/>
  <c r="S10"/>
  <c r="AA14"/>
  <c r="K53"/>
  <c r="Y20"/>
  <c r="Q14"/>
  <c r="E177" i="62" s="1"/>
  <c r="S18" i="60"/>
  <c r="E215" i="62" s="1"/>
  <c r="K21" i="60"/>
  <c r="K57"/>
  <c r="S15"/>
  <c r="E212" i="62" s="1"/>
  <c r="K14" i="60"/>
  <c r="Q19"/>
  <c r="E182" i="62" s="1"/>
  <c r="Y18" i="60"/>
  <c r="S20"/>
  <c r="E217" i="62" s="1"/>
  <c r="K52" i="60"/>
  <c r="K50"/>
  <c r="K51" s="1"/>
  <c r="J69" i="10"/>
  <c r="L69" s="1"/>
  <c r="S6" i="56"/>
  <c r="S7" s="1"/>
  <c r="S8"/>
  <c r="S9" s="1"/>
  <c r="G52" i="62"/>
  <c r="D162"/>
  <c r="G101"/>
  <c r="G158"/>
  <c r="F162"/>
  <c r="F158"/>
  <c r="G157"/>
  <c r="E103"/>
  <c r="G102"/>
  <c r="G156"/>
  <c r="E162"/>
  <c r="D161"/>
  <c r="D102"/>
  <c r="F156"/>
  <c r="F46"/>
  <c r="G47"/>
  <c r="F161"/>
  <c r="E158"/>
  <c r="G108"/>
  <c r="E102"/>
  <c r="G162"/>
  <c r="D157"/>
  <c r="F52"/>
  <c r="F157"/>
  <c r="D107"/>
  <c r="D108"/>
  <c r="G46"/>
  <c r="E157"/>
  <c r="E46"/>
  <c r="E156"/>
  <c r="E108"/>
  <c r="G103"/>
  <c r="D101"/>
  <c r="E101"/>
  <c r="E52"/>
  <c r="G160"/>
  <c r="E160"/>
  <c r="D160"/>
  <c r="E179"/>
  <c r="F153"/>
  <c r="D155"/>
  <c r="G153"/>
  <c r="G155"/>
  <c r="E155"/>
  <c r="E153"/>
  <c r="F155"/>
  <c r="D153"/>
  <c r="K22" i="61"/>
  <c r="K20"/>
  <c r="K17"/>
  <c r="S17"/>
  <c r="S9"/>
  <c r="O23"/>
  <c r="O21"/>
  <c r="O18"/>
  <c r="O16"/>
  <c r="O12"/>
  <c r="O6"/>
  <c r="S23"/>
  <c r="S20"/>
  <c r="S16"/>
  <c r="S6"/>
  <c r="K23"/>
  <c r="K21"/>
  <c r="K18"/>
  <c r="K12"/>
  <c r="S22"/>
  <c r="S14"/>
  <c r="O22"/>
  <c r="O20"/>
  <c r="O17"/>
  <c r="O14"/>
  <c r="O9"/>
  <c r="S21"/>
  <c r="S18"/>
  <c r="S12"/>
  <c r="S21" i="46"/>
  <c r="E127" i="62"/>
  <c r="F129"/>
  <c r="F128"/>
  <c r="G128"/>
  <c r="G127"/>
  <c r="E129"/>
  <c r="G129"/>
  <c r="G98"/>
  <c r="G100"/>
  <c r="E100"/>
  <c r="E98"/>
  <c r="F98"/>
  <c r="F100"/>
  <c r="K14" i="56"/>
  <c r="O20"/>
  <c r="S16"/>
  <c r="S20" i="54"/>
  <c r="S15"/>
  <c r="S12"/>
  <c r="S13" s="1"/>
  <c r="K21"/>
  <c r="S6"/>
  <c r="O19" i="56"/>
  <c r="S10" i="54"/>
  <c r="S11" s="1"/>
  <c r="K15"/>
  <c r="O18"/>
  <c r="M12" i="56"/>
  <c r="S19"/>
  <c r="O20" i="96" s="1"/>
  <c r="O16" i="56"/>
  <c r="S21" i="54"/>
  <c r="S16"/>
  <c r="S14"/>
  <c r="O10"/>
  <c r="O11" s="1"/>
  <c r="O14" i="56"/>
  <c r="K14" i="54"/>
  <c r="S20" i="56"/>
  <c r="O21" i="96" s="1"/>
  <c r="O21" i="54"/>
  <c r="O16"/>
  <c r="O12"/>
  <c r="O13" s="1"/>
  <c r="O8"/>
  <c r="S14" i="56"/>
  <c r="O21"/>
  <c r="O20" i="54"/>
  <c r="O14"/>
  <c r="M10" i="56"/>
  <c r="S18" i="54"/>
  <c r="S8"/>
  <c r="O15"/>
  <c r="K15" i="56"/>
  <c r="S15"/>
  <c r="O6" i="54"/>
  <c r="Q10" i="56"/>
  <c r="M10" i="96" s="1"/>
  <c r="Q12" i="56"/>
  <c r="M12" i="96" s="1"/>
  <c r="Q8" i="60"/>
  <c r="E170" i="62" s="1"/>
  <c r="I44" i="60"/>
  <c r="Y8"/>
  <c r="AA14" i="58"/>
  <c r="AA19"/>
  <c r="AA21"/>
  <c r="AA16"/>
  <c r="S18"/>
  <c r="K54"/>
  <c r="AA15"/>
  <c r="AA8" i="60"/>
  <c r="AA9" s="1"/>
  <c r="K46"/>
  <c r="K47" s="1"/>
  <c r="I12" i="46"/>
  <c r="D9" i="62" s="1"/>
  <c r="L8" i="10"/>
  <c r="K12" i="46" s="1"/>
  <c r="I6"/>
  <c r="D5" i="62" s="1"/>
  <c r="K22" i="46"/>
  <c r="K6"/>
  <c r="K59"/>
  <c r="AA22"/>
  <c r="S20"/>
  <c r="AA20"/>
  <c r="K14"/>
  <c r="S22"/>
  <c r="AA21"/>
  <c r="K58"/>
  <c r="K60"/>
  <c r="K16"/>
  <c r="D45" i="62" s="1"/>
  <c r="K9" i="46"/>
  <c r="K23"/>
  <c r="L14" i="10"/>
  <c r="I20" i="46"/>
  <c r="D17" i="62" s="1"/>
  <c r="V77" i="10"/>
  <c r="X77" s="1"/>
  <c r="J84"/>
  <c r="L84" s="1"/>
  <c r="L113" s="1"/>
  <c r="V76"/>
  <c r="X76" s="1"/>
  <c r="AB76"/>
  <c r="AD76" s="1"/>
  <c r="V78"/>
  <c r="X78" s="1"/>
  <c r="P77"/>
  <c r="R77" s="1"/>
  <c r="P72"/>
  <c r="R72" s="1"/>
  <c r="J70"/>
  <c r="L70" s="1"/>
  <c r="S19" i="58"/>
  <c r="S20"/>
  <c r="K10"/>
  <c r="K11" s="1"/>
  <c r="K8"/>
  <c r="K9" s="1"/>
  <c r="I32" i="74" l="1"/>
  <c r="L6" i="24"/>
  <c r="I4" i="74" s="1"/>
  <c r="K10" i="56"/>
  <c r="K11" s="1"/>
  <c r="I34" i="74"/>
  <c r="H24"/>
  <c r="AA24" s="1"/>
  <c r="AM24" s="1"/>
  <c r="I24"/>
  <c r="H7"/>
  <c r="AA7" s="1"/>
  <c r="AM7" s="1"/>
  <c r="I7"/>
  <c r="K16" i="56"/>
  <c r="D156" i="69" s="1"/>
  <c r="K16" i="58"/>
  <c r="D103" i="62" s="1"/>
  <c r="S11" i="60"/>
  <c r="E208" i="62" s="1"/>
  <c r="O8" i="96"/>
  <c r="O9"/>
  <c r="O6"/>
  <c r="O7"/>
  <c r="K16" i="54"/>
  <c r="D103" i="69" s="1"/>
  <c r="K12" i="56"/>
  <c r="K13" s="1"/>
  <c r="D120" i="69"/>
  <c r="K20" i="56"/>
  <c r="K21" i="96" s="1"/>
  <c r="O19" i="95"/>
  <c r="D128" i="69"/>
  <c r="I21" i="96"/>
  <c r="O22" i="95"/>
  <c r="O20"/>
  <c r="K14"/>
  <c r="K21"/>
  <c r="D114" i="69"/>
  <c r="I6" i="96"/>
  <c r="D126" i="69"/>
  <c r="I19" i="96"/>
  <c r="K58" i="95"/>
  <c r="K8"/>
  <c r="K9" s="1"/>
  <c r="K6"/>
  <c r="K7" s="1"/>
  <c r="D116" i="69"/>
  <c r="I8" i="96"/>
  <c r="O21" i="95"/>
  <c r="K10"/>
  <c r="K11" s="1"/>
  <c r="K55"/>
  <c r="O10"/>
  <c r="O11" s="1"/>
  <c r="K12"/>
  <c r="K13" s="1"/>
  <c r="D118" i="69"/>
  <c r="I10" i="96"/>
  <c r="K19" i="95"/>
  <c r="K34" i="74"/>
  <c r="AC34" s="1"/>
  <c r="AO34" s="1"/>
  <c r="N34"/>
  <c r="AE34" s="1"/>
  <c r="AQ34" s="1"/>
  <c r="K11" i="96"/>
  <c r="K35" i="74"/>
  <c r="AC35" s="1"/>
  <c r="AO35" s="1"/>
  <c r="K32"/>
  <c r="AC32" s="1"/>
  <c r="AO32" s="1"/>
  <c r="K33"/>
  <c r="AC33" s="1"/>
  <c r="AO33" s="1"/>
  <c r="H42"/>
  <c r="AA42" s="1"/>
  <c r="AM42" s="1"/>
  <c r="Q34"/>
  <c r="AG34" s="1"/>
  <c r="AS34" s="1"/>
  <c r="N35"/>
  <c r="AE35" s="1"/>
  <c r="AQ35" s="1"/>
  <c r="Q35"/>
  <c r="AG35" s="1"/>
  <c r="AS35" s="1"/>
  <c r="K8" i="56"/>
  <c r="K9" s="1"/>
  <c r="H35" i="74"/>
  <c r="AA35" s="1"/>
  <c r="AM35" s="1"/>
  <c r="I40"/>
  <c r="H33"/>
  <c r="AA33" s="1"/>
  <c r="AM33" s="1"/>
  <c r="H34"/>
  <c r="AA34" s="1"/>
  <c r="AM34" s="1"/>
  <c r="H32"/>
  <c r="AA32" s="1"/>
  <c r="AM32" s="1"/>
  <c r="H43"/>
  <c r="AA43" s="1"/>
  <c r="AM43" s="1"/>
  <c r="H4"/>
  <c r="AA4" s="1"/>
  <c r="AM4" s="1"/>
  <c r="Q43"/>
  <c r="AG43" s="1"/>
  <c r="AS43" s="1"/>
  <c r="H26"/>
  <c r="AA26" s="1"/>
  <c r="AM26" s="1"/>
  <c r="N43"/>
  <c r="AE43" s="1"/>
  <c r="AQ43" s="1"/>
  <c r="S21" i="56"/>
  <c r="O8"/>
  <c r="O9" s="1"/>
  <c r="O6"/>
  <c r="O7" s="1"/>
  <c r="D8" i="69"/>
  <c r="D13"/>
  <c r="K14" i="61"/>
  <c r="K22" i="54"/>
  <c r="K6" i="61"/>
  <c r="K9"/>
  <c r="K18" i="54"/>
  <c r="D105" i="69" s="1"/>
  <c r="F129"/>
  <c r="K12" i="60"/>
  <c r="F158" i="69"/>
  <c r="E118"/>
  <c r="E108"/>
  <c r="F156"/>
  <c r="F118"/>
  <c r="E161"/>
  <c r="E120"/>
  <c r="F102"/>
  <c r="F55"/>
  <c r="S7" i="61"/>
  <c r="S8" s="1"/>
  <c r="F53" i="69"/>
  <c r="S10" i="61"/>
  <c r="S11" s="1"/>
  <c r="D76" i="69"/>
  <c r="D129"/>
  <c r="D127"/>
  <c r="E116"/>
  <c r="E103"/>
  <c r="D101"/>
  <c r="E156"/>
  <c r="F159"/>
  <c r="D102"/>
  <c r="E159"/>
  <c r="E160"/>
  <c r="D107"/>
  <c r="F106"/>
  <c r="F105"/>
  <c r="F160"/>
  <c r="S7" i="54"/>
  <c r="D154" i="69"/>
  <c r="F120"/>
  <c r="F155"/>
  <c r="E102"/>
  <c r="E101"/>
  <c r="F103"/>
  <c r="F51"/>
  <c r="D155"/>
  <c r="S9" i="54"/>
  <c r="E107" i="69"/>
  <c r="F154"/>
  <c r="E154"/>
  <c r="F101"/>
  <c r="F108"/>
  <c r="E105"/>
  <c r="E158"/>
  <c r="D108"/>
  <c r="F107"/>
  <c r="S13" i="61"/>
  <c r="F54" i="69"/>
  <c r="S15" i="61"/>
  <c r="F49" i="69"/>
  <c r="F56"/>
  <c r="F50"/>
  <c r="E106"/>
  <c r="D73"/>
  <c r="F148"/>
  <c r="F146"/>
  <c r="K20" i="60"/>
  <c r="D217" i="62" s="1"/>
  <c r="E93" i="69"/>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D41"/>
  <c r="K13" i="46"/>
  <c r="D42" i="62" s="1"/>
  <c r="E97" i="69"/>
  <c r="E99"/>
  <c r="K19" i="54"/>
  <c r="D218" i="62"/>
  <c r="E50" i="69"/>
  <c r="F39"/>
  <c r="E54"/>
  <c r="D50"/>
  <c r="D55"/>
  <c r="F93"/>
  <c r="F45"/>
  <c r="E53"/>
  <c r="F47"/>
  <c r="D51"/>
  <c r="D56"/>
  <c r="E51"/>
  <c r="E56"/>
  <c r="D53"/>
  <c r="F97"/>
  <c r="E55"/>
  <c r="D49"/>
  <c r="D54"/>
  <c r="E49"/>
  <c r="F42"/>
  <c r="F95"/>
  <c r="F99"/>
  <c r="D17"/>
  <c r="E207" i="62"/>
  <c r="G212"/>
  <c r="G211"/>
  <c r="G210"/>
  <c r="G209"/>
  <c r="G207"/>
  <c r="G181"/>
  <c r="G216"/>
  <c r="G179"/>
  <c r="G167"/>
  <c r="F211"/>
  <c r="F179"/>
  <c r="F212"/>
  <c r="F170"/>
  <c r="F181"/>
  <c r="F218"/>
  <c r="F183"/>
  <c r="F182"/>
  <c r="F204"/>
  <c r="F209"/>
  <c r="E218"/>
  <c r="D215"/>
  <c r="D167"/>
  <c r="D211"/>
  <c r="D212"/>
  <c r="D213"/>
  <c r="D216"/>
  <c r="G218"/>
  <c r="K10" i="60"/>
  <c r="K11" s="1"/>
  <c r="K8"/>
  <c r="K9" s="1"/>
  <c r="K6"/>
  <c r="K7" s="1"/>
  <c r="S14"/>
  <c r="E211" i="62" s="1"/>
  <c r="AA18" i="60"/>
  <c r="G217" i="62"/>
  <c r="AA20" i="60"/>
  <c r="S19"/>
  <c r="AA19"/>
  <c r="K56"/>
  <c r="K6" i="56"/>
  <c r="K7" s="1"/>
  <c r="D105" i="62"/>
  <c r="F160"/>
  <c r="G204"/>
  <c r="F106"/>
  <c r="E44"/>
  <c r="D99"/>
  <c r="E105"/>
  <c r="E93"/>
  <c r="E92"/>
  <c r="E50"/>
  <c r="E106"/>
  <c r="D47"/>
  <c r="D46"/>
  <c r="G50"/>
  <c r="G106"/>
  <c r="G107"/>
  <c r="F50"/>
  <c r="D51"/>
  <c r="F102"/>
  <c r="F103"/>
  <c r="F44"/>
  <c r="F108"/>
  <c r="F93"/>
  <c r="F92"/>
  <c r="F96"/>
  <c r="F95"/>
  <c r="G93"/>
  <c r="G92"/>
  <c r="G44"/>
  <c r="D50"/>
  <c r="E107"/>
  <c r="E161"/>
  <c r="D52"/>
  <c r="G51"/>
  <c r="E51"/>
  <c r="F51"/>
  <c r="G105"/>
  <c r="G161"/>
  <c r="F101"/>
  <c r="E96"/>
  <c r="E95"/>
  <c r="G96"/>
  <c r="G95"/>
  <c r="G151"/>
  <c r="G150"/>
  <c r="G148"/>
  <c r="G147"/>
  <c r="F151"/>
  <c r="F150"/>
  <c r="F148"/>
  <c r="F147"/>
  <c r="E148"/>
  <c r="E147"/>
  <c r="E151"/>
  <c r="E150"/>
  <c r="D151"/>
  <c r="D150"/>
  <c r="D148"/>
  <c r="D147"/>
  <c r="E49"/>
  <c r="G49"/>
  <c r="F49"/>
  <c r="D100"/>
  <c r="D98"/>
  <c r="O12" i="56"/>
  <c r="O13" s="1"/>
  <c r="S12"/>
  <c r="S13" s="1"/>
  <c r="K44" i="60"/>
  <c r="K45" s="1"/>
  <c r="AA10"/>
  <c r="AA11" s="1"/>
  <c r="S12"/>
  <c r="S13" s="1"/>
  <c r="S8"/>
  <c r="S9" s="1"/>
  <c r="AA18" i="58"/>
  <c r="AA6" i="60"/>
  <c r="AA7" s="1"/>
  <c r="AA20" i="58"/>
  <c r="K20" i="46"/>
  <c r="K19" i="56" l="1"/>
  <c r="K20" i="96" s="1"/>
  <c r="I41" i="74"/>
  <c r="D92" i="62"/>
  <c r="K13" i="60"/>
  <c r="D210" i="62" s="1"/>
  <c r="E204"/>
  <c r="E205"/>
  <c r="K6" i="96"/>
  <c r="K7"/>
  <c r="D160" i="69"/>
  <c r="K12" i="96"/>
  <c r="K18" i="56"/>
  <c r="O12" i="96"/>
  <c r="O13"/>
  <c r="O10"/>
  <c r="O11"/>
  <c r="D152" i="69"/>
  <c r="K13" i="96"/>
  <c r="D150" i="69"/>
  <c r="K10" i="96"/>
  <c r="D148" i="69"/>
  <c r="K8" i="96"/>
  <c r="F161" i="69"/>
  <c r="O22" i="96"/>
  <c r="H41" i="74"/>
  <c r="AA41" s="1"/>
  <c r="AM41" s="1"/>
  <c r="E148" i="69"/>
  <c r="H40" i="74"/>
  <c r="AA40" s="1"/>
  <c r="AM40" s="1"/>
  <c r="K21" i="56"/>
  <c r="D39" i="69"/>
  <c r="D47"/>
  <c r="E146"/>
  <c r="K15" i="61"/>
  <c r="D48" i="69" s="1"/>
  <c r="D42"/>
  <c r="K10" i="61"/>
  <c r="K11" s="1"/>
  <c r="K7"/>
  <c r="K8" s="1"/>
  <c r="D209" i="62"/>
  <c r="F149" i="69"/>
  <c r="F48"/>
  <c r="E100"/>
  <c r="E98"/>
  <c r="F44"/>
  <c r="E96"/>
  <c r="F147"/>
  <c r="D106"/>
  <c r="E94"/>
  <c r="D159"/>
  <c r="D151"/>
  <c r="F98"/>
  <c r="F46"/>
  <c r="F100"/>
  <c r="F41"/>
  <c r="D91" i="62"/>
  <c r="D146" i="69"/>
  <c r="F152"/>
  <c r="F150"/>
  <c r="E46"/>
  <c r="F96"/>
  <c r="E147"/>
  <c r="F94"/>
  <c r="E48"/>
  <c r="E149"/>
  <c r="E150"/>
  <c r="E152"/>
  <c r="D46"/>
  <c r="E41"/>
  <c r="E44"/>
  <c r="G208" i="62"/>
  <c r="G205"/>
  <c r="G215"/>
  <c r="F215"/>
  <c r="F201"/>
  <c r="F205"/>
  <c r="F216"/>
  <c r="F217"/>
  <c r="F210"/>
  <c r="E216"/>
  <c r="D207"/>
  <c r="G213"/>
  <c r="D204"/>
  <c r="D201"/>
  <c r="E213"/>
  <c r="F213"/>
  <c r="F105"/>
  <c r="E210"/>
  <c r="E209"/>
  <c r="F207"/>
  <c r="F107"/>
  <c r="G201"/>
  <c r="D49"/>
  <c r="D96"/>
  <c r="D93"/>
  <c r="D153" i="69" l="1"/>
  <c r="D161"/>
  <c r="K22" i="96"/>
  <c r="D158" i="69"/>
  <c r="K19" i="96"/>
  <c r="D149" i="69"/>
  <c r="K9" i="96"/>
  <c r="D41" i="69"/>
  <c r="D44"/>
  <c r="E151"/>
  <c r="D147"/>
  <c r="F151"/>
  <c r="F153"/>
  <c r="E153"/>
  <c r="G206" i="62"/>
  <c r="G202"/>
  <c r="F208"/>
  <c r="F202"/>
  <c r="F206"/>
  <c r="D203"/>
  <c r="D208"/>
  <c r="D202"/>
  <c r="D205"/>
  <c r="E206"/>
  <c r="G203" l="1"/>
  <c r="F203"/>
  <c r="D206"/>
  <c r="I75" i="46" l="1"/>
  <c r="G34" i="62" s="1"/>
  <c r="AA32" i="24"/>
  <c r="O31"/>
  <c r="Q36" i="46"/>
  <c r="E33" i="62" s="1"/>
  <c r="I37" i="46"/>
  <c r="D34" i="62" s="1"/>
  <c r="I32" i="24"/>
  <c r="AM32"/>
  <c r="Y75" i="46"/>
  <c r="I34" i="62" s="1"/>
  <c r="AG31" i="24"/>
  <c r="I31"/>
  <c r="O32"/>
  <c r="M39" i="61"/>
  <c r="Q74" i="46"/>
  <c r="H33" i="62" s="1"/>
  <c r="I74" i="46"/>
  <c r="G33" i="62" s="1"/>
  <c r="AA31" i="24"/>
  <c r="C16" i="101" s="1"/>
  <c r="Q39" i="61"/>
  <c r="U32" i="24"/>
  <c r="Y37" i="46"/>
  <c r="F34" i="62" s="1"/>
  <c r="Y74" i="46"/>
  <c r="I33" i="62" s="1"/>
  <c r="AM31" i="24"/>
  <c r="M38" i="61"/>
  <c r="AG32" i="24"/>
  <c r="Q75" i="46"/>
  <c r="H34" i="62" s="1"/>
  <c r="Q38" i="61"/>
  <c r="Y36" i="46"/>
  <c r="F33" i="62" s="1"/>
  <c r="U31" i="24"/>
  <c r="Q37" i="46"/>
  <c r="E34" i="62" s="1"/>
  <c r="I36" i="46"/>
  <c r="D33" i="62" s="1"/>
  <c r="I39" i="61"/>
  <c r="V16" i="74" l="1"/>
  <c r="AJ16" s="1"/>
  <c r="AV16" s="1"/>
  <c r="O16" i="104"/>
  <c r="Q16" s="1"/>
  <c r="V17" i="74"/>
  <c r="AJ17" s="1"/>
  <c r="AV17" s="1"/>
  <c r="O17" i="104"/>
  <c r="Q17" s="1"/>
  <c r="P16" i="74"/>
  <c r="AF16" s="1"/>
  <c r="AR16" s="1"/>
  <c r="K16" i="101"/>
  <c r="Q16" s="1"/>
  <c r="S16" i="74"/>
  <c r="AH16" s="1"/>
  <c r="AT16" s="1"/>
  <c r="M16" i="102"/>
  <c r="Q16" s="1"/>
  <c r="M17" i="74"/>
  <c r="AD17" s="1"/>
  <c r="AP17" s="1"/>
  <c r="I17" i="100"/>
  <c r="Q17" s="1"/>
  <c r="J17" i="74"/>
  <c r="AB17" s="1"/>
  <c r="AN17" s="1"/>
  <c r="G17" i="99"/>
  <c r="Q17" s="1"/>
  <c r="J16" i="74"/>
  <c r="AB16" s="1"/>
  <c r="AN16" s="1"/>
  <c r="G16" i="99"/>
  <c r="Q16" s="1"/>
  <c r="M16" i="74"/>
  <c r="AD16" s="1"/>
  <c r="AP16" s="1"/>
  <c r="I16" i="100"/>
  <c r="Q16" s="1"/>
  <c r="S17" i="74"/>
  <c r="AH17" s="1"/>
  <c r="AT17" s="1"/>
  <c r="M17" i="102"/>
  <c r="Q17" s="1"/>
  <c r="G16" i="74"/>
  <c r="Z16" s="1"/>
  <c r="AL16" s="1"/>
  <c r="E16" i="98"/>
  <c r="Q16" s="1"/>
  <c r="G17" i="74"/>
  <c r="Z17" s="1"/>
  <c r="AL17" s="1"/>
  <c r="E17" i="98"/>
  <c r="Q17" s="1"/>
  <c r="P17" i="74"/>
  <c r="AF17" s="1"/>
  <c r="AR17" s="1"/>
  <c r="K17" i="101"/>
  <c r="Q17" s="1"/>
  <c r="F35" i="69"/>
  <c r="E35"/>
  <c r="E36"/>
  <c r="D36"/>
  <c r="F36"/>
  <c r="D35"/>
  <c r="U107" i="24"/>
  <c r="R44" i="74"/>
  <c r="O107" i="24"/>
  <c r="I108"/>
  <c r="E45" i="98" s="1"/>
  <c r="Q45" s="1"/>
  <c r="AM107" i="24"/>
  <c r="T44" i="74" s="1"/>
  <c r="AI44" s="1"/>
  <c r="AU44" s="1"/>
  <c r="E44" i="98"/>
  <c r="Q44" s="1"/>
  <c r="AG108" i="24"/>
  <c r="Q45" i="74" s="1"/>
  <c r="AG45" s="1"/>
  <c r="AS45" s="1"/>
  <c r="O108" i="24"/>
  <c r="V44" i="74" l="1"/>
  <c r="AJ44" s="1"/>
  <c r="AV44" s="1"/>
  <c r="O44" i="104"/>
  <c r="Q44" s="1"/>
  <c r="V45" i="74"/>
  <c r="AJ45" s="1"/>
  <c r="AV45" s="1"/>
  <c r="O45" i="104"/>
  <c r="Q45" s="1"/>
  <c r="J44" i="74"/>
  <c r="AB44" s="1"/>
  <c r="AN44" s="1"/>
  <c r="G44" i="99"/>
  <c r="Q44" s="1"/>
  <c r="G44" i="74"/>
  <c r="Z44" s="1"/>
  <c r="AL44" s="1"/>
  <c r="P44"/>
  <c r="AF44" s="1"/>
  <c r="AR44" s="1"/>
  <c r="K44" i="101"/>
  <c r="Q44" s="1"/>
  <c r="S45" i="74"/>
  <c r="AH45" s="1"/>
  <c r="AT45" s="1"/>
  <c r="M45" i="102"/>
  <c r="Q45" s="1"/>
  <c r="P45" i="74"/>
  <c r="AF45" s="1"/>
  <c r="AR45" s="1"/>
  <c r="K45" i="101"/>
  <c r="Q45" s="1"/>
  <c r="M44" i="74"/>
  <c r="AD44" s="1"/>
  <c r="AP44" s="1"/>
  <c r="I44" i="100"/>
  <c r="Q44" s="1"/>
  <c r="M45" i="74"/>
  <c r="AD45" s="1"/>
  <c r="AP45" s="1"/>
  <c r="I45" i="100"/>
  <c r="Q45" s="1"/>
  <c r="J45" i="74"/>
  <c r="AB45" s="1"/>
  <c r="AN45" s="1"/>
  <c r="G45" i="99"/>
  <c r="Q45" s="1"/>
  <c r="G45" i="74"/>
  <c r="Z45" s="1"/>
  <c r="AL45" s="1"/>
  <c r="S44"/>
  <c r="AH44" s="1"/>
  <c r="AT44" s="1"/>
  <c r="M44" i="102"/>
  <c r="Q44" s="1"/>
  <c r="Q75" i="60"/>
  <c r="H198" i="62" s="1"/>
  <c r="I75" i="60"/>
  <c r="G198" i="62" s="1"/>
  <c r="Y36" i="60"/>
  <c r="F197" i="62" s="1"/>
  <c r="Q37" i="60"/>
  <c r="E198" i="62" s="1"/>
  <c r="Q74" i="60"/>
  <c r="H197" i="62" s="1"/>
  <c r="Y74" i="60"/>
  <c r="I197" i="62" s="1"/>
  <c r="Q36" i="60"/>
  <c r="E197" i="62" s="1"/>
  <c r="I41" i="56"/>
  <c r="D143" i="69" s="1"/>
  <c r="I40" i="56"/>
  <c r="D142" i="69" s="1"/>
  <c r="I36" i="60"/>
  <c r="D197" i="62" s="1"/>
  <c r="I37" i="60"/>
  <c r="D198" i="62" s="1"/>
  <c r="I74" i="60"/>
  <c r="G197" i="62" s="1"/>
  <c r="Y75" i="60"/>
  <c r="I198" i="62" s="1"/>
  <c r="M41" i="56"/>
  <c r="Y37" i="60"/>
  <c r="F198" i="62" s="1"/>
  <c r="Q40" i="56"/>
  <c r="M40"/>
  <c r="F143" i="69" l="1"/>
  <c r="E143"/>
  <c r="E142"/>
  <c r="F142"/>
  <c r="Q17" i="58" l="1"/>
  <c r="E70" i="62" s="1"/>
  <c r="I17" i="58"/>
  <c r="D70" i="62" s="1"/>
  <c r="Y17" i="58"/>
  <c r="F70" i="62" s="1"/>
  <c r="Q53" i="58"/>
  <c r="H70" i="62" s="1"/>
  <c r="I53" i="58"/>
  <c r="G70" i="62" s="1"/>
  <c r="Q17" i="54"/>
  <c r="F72" i="69" s="1"/>
  <c r="Y53" i="58"/>
  <c r="I70" i="62" s="1"/>
  <c r="M25" i="102"/>
  <c r="Q25" s="1"/>
  <c r="M17" i="54"/>
  <c r="E72" i="69" s="1"/>
  <c r="D72"/>
  <c r="S25" i="74" l="1"/>
  <c r="AH25" s="1"/>
  <c r="AT25" s="1"/>
  <c r="P25"/>
  <c r="AF25" s="1"/>
  <c r="AR25" s="1"/>
  <c r="G25" i="99"/>
  <c r="Q25" s="1"/>
  <c r="J25" i="74"/>
  <c r="AB25" s="1"/>
  <c r="AN25" s="1"/>
  <c r="I25" i="100"/>
  <c r="Q25" s="1"/>
  <c r="K25" i="101"/>
  <c r="Q25" s="1"/>
  <c r="O25" i="104"/>
  <c r="Q25" s="1"/>
  <c r="V25" i="74"/>
  <c r="AJ25" s="1"/>
  <c r="AV25" s="1"/>
  <c r="G25"/>
  <c r="Z25" s="1"/>
  <c r="AL25" s="1"/>
  <c r="E25" i="98"/>
  <c r="Q25" s="1"/>
  <c r="M25" i="74"/>
  <c r="AD25" s="1"/>
  <c r="AP25" s="1"/>
  <c r="D18" i="69"/>
  <c r="I19" i="46"/>
  <c r="D16" i="62" s="1"/>
  <c r="G11" i="74" l="1"/>
  <c r="Z11" s="1"/>
  <c r="AL11" s="1"/>
  <c r="E11" i="98"/>
  <c r="Q11" s="1"/>
</calcChain>
</file>

<file path=xl/comments1.xml><?xml version="1.0" encoding="utf-8"?>
<comments xmlns="http://schemas.openxmlformats.org/spreadsheetml/2006/main">
  <authors>
    <author>SALES</author>
  </authors>
  <commentList>
    <comment ref="R18" authorId="0">
      <text>
        <r>
          <rPr>
            <b/>
            <sz val="9"/>
            <color indexed="81"/>
            <rFont val="Tahoma"/>
            <family val="2"/>
          </rPr>
          <t>OK ĐANG DÙNG</t>
        </r>
      </text>
    </comment>
    <comment ref="R21" authorId="0">
      <text>
        <r>
          <rPr>
            <b/>
            <sz val="9"/>
            <color indexed="81"/>
            <rFont val="Tahoma"/>
            <family val="2"/>
          </rPr>
          <t>OK ĐANG DÙNG</t>
        </r>
      </text>
    </comment>
    <comment ref="R27" authorId="0">
      <text>
        <r>
          <rPr>
            <b/>
            <sz val="9"/>
            <color indexed="81"/>
            <rFont val="Tahoma"/>
            <family val="2"/>
          </rPr>
          <t>F,G</t>
        </r>
      </text>
    </comment>
    <comment ref="R30" authorId="0">
      <text>
        <r>
          <rPr>
            <b/>
            <sz val="9"/>
            <color indexed="81"/>
            <rFont val="Tahoma"/>
            <family val="2"/>
          </rPr>
          <t>CHỜ SỬA</t>
        </r>
      </text>
    </comment>
  </commentList>
</comments>
</file>

<file path=xl/comments2.xml><?xml version="1.0" encoding="utf-8"?>
<comments xmlns="http://schemas.openxmlformats.org/spreadsheetml/2006/main">
  <authors>
    <author>Khuon4</author>
  </authors>
  <commentList>
    <comment ref="B11" authorId="0">
      <text>
        <r>
          <rPr>
            <b/>
            <sz val="14"/>
            <color indexed="81"/>
            <rFont val="Times New Roman"/>
            <family val="1"/>
          </rPr>
          <t xml:space="preserve">CHCl*VHCl=CNaOH*VNaOH
CM=(10*C%*D)/M
CNaOH=1N
VHCl=1
D=1.15
M=36.5
=&gt;C%=(VNaOH*CNaOH*M)/(VHCl*10*D)
             =(VNaOH*1*36.5)/(1*10*1.15)
</t>
        </r>
      </text>
    </comment>
  </commentList>
</comments>
</file>

<file path=xl/sharedStrings.xml><?xml version="1.0" encoding="utf-8"?>
<sst xmlns="http://schemas.openxmlformats.org/spreadsheetml/2006/main" count="13979" uniqueCount="1580">
  <si>
    <t>NaOH</t>
    <phoneticPr fontId="6"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</si>
  <si>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</si>
  <si>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</si>
  <si>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</si>
  <si>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</si>
  <si>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</si>
  <si>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</si>
  <si>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</si>
  <si>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</si>
  <si>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</si>
  <si>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</si>
  <si>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</si>
  <si>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</si>
  <si>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</si>
  <si>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</si>
  <si>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</si>
  <si>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</si>
  <si>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</si>
  <si>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t>HCl Đặc  1</t>
  </si>
  <si>
    <t>HCl Đặc  2</t>
  </si>
  <si>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</si>
  <si>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</si>
  <si>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</si>
  <si>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</si>
  <si>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</si>
  <si>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</si>
  <si>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</si>
  <si>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</si>
  <si>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</si>
  <si>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</si>
  <si>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</si>
  <si>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</si>
  <si>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</si>
  <si>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</si>
  <si>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</si>
  <si>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</si>
  <si>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</si>
  <si>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</si>
  <si>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1 (13,14)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</si>
  <si>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</si>
  <si>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</si>
  <si>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</si>
  <si>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</si>
  <si>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</si>
  <si>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</si>
  <si>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</si>
  <si>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</si>
  <si>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</si>
  <si>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</si>
  <si>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pcs</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</si>
  <si>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</si>
  <si>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</si>
  <si>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</si>
  <si>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</si>
  <si>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</si>
  <si>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</si>
  <si>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</si>
  <si>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</si>
  <si>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</si>
  <si>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</si>
  <si>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</si>
  <si>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</si>
  <si>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</si>
  <si>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</si>
  <si>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</si>
  <si>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</si>
  <si>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</si>
  <si>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</si>
  <si>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</si>
  <si>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</si>
  <si>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</si>
  <si>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</si>
  <si>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</si>
  <si>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</si>
  <si>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</si>
  <si>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</si>
  <si>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</si>
  <si>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</si>
  <si>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</si>
  <si>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</si>
  <si>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</si>
  <si>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</si>
  <si>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</si>
  <si>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 xml:space="preserve"> Xà bông  脫脂 (2,3,4)</t>
  </si>
  <si>
    <t>NaOH (26-37)
氫氧化鈉</t>
  </si>
  <si>
    <t>Zn  鋅 (26-37)
(1 pcs Zn=25kg)</t>
  </si>
  <si>
    <t>Nồng độ acid loãng (12)
稀酸 濃度</t>
  </si>
  <si>
    <t>Điện giải  電解  (20,21)</t>
  </si>
  <si>
    <t>Điện giải  電解 (8)</t>
  </si>
  <si>
    <t>Nồng độ acid đặc (13,14)
鹽酸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</si>
  <si>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</si>
  <si>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</si>
  <si>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</si>
  <si>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 xml:space="preserve">  Cr2O3 （K) (49)
三價鉻</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</si>
  <si>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</si>
  <si>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</si>
  <si>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</si>
  <si>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</si>
  <si>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</si>
  <si>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</si>
  <si>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</si>
  <si>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</si>
  <si>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</si>
  <si>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</si>
  <si>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</si>
  <si>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</si>
  <si>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</si>
  <si>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</si>
  <si>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</si>
  <si>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</si>
  <si>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</si>
  <si>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</si>
  <si>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</si>
  <si>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</si>
  <si>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</si>
  <si>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</si>
  <si>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</si>
  <si>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</si>
  <si>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</si>
  <si>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</si>
  <si>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</si>
  <si>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</si>
  <si>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</si>
  <si>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</si>
  <si>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</si>
  <si>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nước nóng siêm âm
超音波熱水洗槽</t>
  </si>
  <si>
    <t>1.7~1.9g/L
(1.8 ± 0.1g/L)</t>
  </si>
  <si>
    <t>Nhiệt độ bồn xi Zn-Niken
 Zn-Niken 鍍鋅槽溫度</t>
  </si>
  <si>
    <t>Zn (bồn Zn-Niken)</t>
  </si>
  <si>
    <t>Niken (bồn Zn-Niken)</t>
  </si>
  <si>
    <t>NaOH (bồn Zn-Niken)</t>
  </si>
  <si>
    <t>PH</t>
  </si>
  <si>
    <t>Nhiệt độ bồn màu Cr2O3 (Niken)
三價鉻 溫度</t>
  </si>
  <si>
    <t>鋅鎳合金電鍍槽
Zn-Niken Plating</t>
  </si>
  <si>
    <t>Ni</t>
  </si>
  <si>
    <t xml:space="preserve"> Noàng ñoä   Cr2O3 (Niken)
三價鉻</t>
  </si>
  <si>
    <t>Đơn vị
單位</t>
  </si>
  <si>
    <t>Zn-208HT</t>
  </si>
  <si>
    <t>125~135g/L
(130g/L)</t>
  </si>
  <si>
    <t>19.03.2019 TGĐ  yêu cầu biểu đồ kiểm soát chỉ khống chế từ cận giữa trở lên</t>
  </si>
  <si>
    <t>tiêu chuẩn khống chế để bổ sung</t>
  </si>
  <si>
    <t>L.Yen</t>
  </si>
  <si>
    <t>Xà bông  脫脂  (5,6)</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</si>
  <si>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</si>
  <si>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</si>
  <si>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</si>
  <si>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</si>
  <si>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</si>
  <si>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</si>
  <si>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</si>
  <si>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</si>
  <si>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</si>
  <si>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</si>
  <si>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</si>
  <si>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</si>
  <si>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</si>
  <si>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</si>
  <si>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</si>
  <si>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</si>
  <si>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</si>
  <si>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</si>
  <si>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</si>
  <si>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</si>
  <si>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</si>
  <si>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</si>
  <si>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</si>
  <si>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</si>
  <si>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</si>
  <si>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</si>
  <si>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</si>
  <si>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</si>
  <si>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</si>
  <si>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</si>
  <si>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</si>
  <si>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</si>
  <si>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</si>
  <si>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</si>
  <si>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</si>
  <si>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</si>
  <si>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</si>
  <si>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</si>
  <si>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</si>
  <si>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</si>
  <si>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</si>
  <si>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</si>
  <si>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</si>
  <si>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</si>
  <si>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</si>
  <si>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</si>
  <si>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</si>
  <si>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</si>
  <si>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</si>
  <si>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</si>
  <si>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</si>
  <si>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</si>
  <si>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</si>
  <si>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</si>
  <si>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</si>
  <si>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</si>
  <si>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</si>
  <si>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</si>
  <si>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</si>
  <si>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</si>
  <si>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</si>
  <si>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</si>
  <si>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</si>
  <si>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</si>
  <si>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</si>
  <si>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Zn-Niken Plating-         Ni</t>
  </si>
  <si>
    <t xml:space="preserve">Zn-Niken Plating-        NaOH </t>
  </si>
  <si>
    <t>Zn-Niken Plating-          Zn</t>
  </si>
  <si>
    <t>Zn-Niken Plating-       208HT</t>
  </si>
  <si>
    <t>Cr2O3   三價鉻Ni-       PH</t>
  </si>
  <si>
    <t xml:space="preserve">                  XT-000C  </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</si>
  <si>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</si>
  <si>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</si>
  <si>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</si>
  <si>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</si>
  <si>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</si>
  <si>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</si>
  <si>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</si>
  <si>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</si>
  <si>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</si>
  <si>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</si>
  <si>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</si>
  <si>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</si>
  <si>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</si>
  <si>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</si>
  <si>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</si>
  <si>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</si>
  <si>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</si>
  <si>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</si>
  <si>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</si>
  <si>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</si>
  <si>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</si>
  <si>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</si>
  <si>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</si>
  <si>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</si>
  <si>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</si>
  <si>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6:15</t>
  </si>
  <si>
    <t>10:15</t>
  </si>
  <si>
    <t>14:15</t>
  </si>
  <si>
    <t>18:15</t>
  </si>
  <si>
    <t>22:15</t>
  </si>
  <si>
    <t>02:15</t>
  </si>
  <si>
    <t>06:15</t>
  </si>
  <si>
    <t xml:space="preserve">pha mới máy G: 200 lít dẻo +5 lít bóng </t>
  </si>
  <si>
    <t xml:space="preserve">chất bóng: </t>
  </si>
  <si>
    <t>lít</t>
  </si>
  <si>
    <t xml:space="preserve">chất dẻo: </t>
  </si>
  <si>
    <t>Haïng muïc kieåm tra bôm thuoác töï ñoäng 藥液自動添加</t>
  </si>
  <si>
    <t>XT</t>
  </si>
  <si>
    <t>表面處理生產製程管控記錄表</t>
  </si>
  <si>
    <t>chất mềm (250 base)
開缸劑</t>
  </si>
  <si>
    <t>chaát boùng (250 brightener)
光亮劑</t>
  </si>
  <si>
    <t>40~60g/L
(50±5g/L)</t>
  </si>
  <si>
    <t>300-360</t>
  </si>
  <si>
    <t>30-50</t>
  </si>
  <si>
    <t>CT-21A</t>
  </si>
  <si>
    <t>CT-21B</t>
  </si>
  <si>
    <t>EC-508A</t>
  </si>
  <si>
    <t>EC-508B</t>
  </si>
  <si>
    <t>Nồng độ   Cr2O3 （K)
三價鉻
FINIDIP 124</t>
  </si>
  <si>
    <t>開缸劑
250 Base</t>
  </si>
  <si>
    <t>光亮劑
250 Brightener</t>
  </si>
  <si>
    <t>ml/1000AH</t>
  </si>
  <si>
    <t>BÁO CÁO KẾT QUẢ HÓA NGHIỆM HÀNG NGÀY</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</si>
  <si>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</si>
  <si>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</si>
  <si>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</si>
  <si>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</si>
  <si>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</si>
  <si>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</si>
  <si>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</si>
  <si>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</si>
  <si>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</si>
  <si>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</si>
  <si>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</si>
  <si>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</si>
  <si>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</si>
  <si>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</si>
  <si>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</si>
  <si>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</si>
  <si>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</si>
  <si>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</si>
  <si>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</si>
  <si>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</si>
  <si>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</si>
  <si>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</si>
  <si>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</si>
  <si>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</si>
  <si>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</si>
  <si>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</si>
  <si>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</si>
  <si>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</si>
  <si>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</si>
  <si>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</si>
  <si>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</si>
  <si>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</si>
  <si>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</si>
  <si>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</si>
  <si>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</si>
  <si>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</si>
  <si>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</si>
  <si>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</si>
  <si>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</si>
  <si>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</si>
  <si>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</si>
  <si>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</si>
  <si>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</si>
  <si>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</si>
  <si>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</si>
  <si>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</si>
  <si>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</si>
  <si>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</si>
  <si>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</si>
  <si>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</si>
  <si>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</si>
  <si>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</si>
  <si>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</si>
  <si>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</si>
  <si>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</si>
  <si>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</si>
  <si>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</si>
  <si>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</si>
  <si>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</si>
  <si>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</si>
  <si>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</si>
  <si>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</si>
  <si>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</si>
  <si>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</si>
  <si>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</si>
  <si>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</si>
  <si>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</si>
  <si>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</si>
  <si>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</si>
  <si>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</si>
  <si>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</si>
  <si>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XTNI-NI</t>
  </si>
  <si>
    <t>XTNI-NAOH</t>
  </si>
  <si>
    <t>XTNI-HT</t>
  </si>
  <si>
    <t>XTNI-CR3PH</t>
  </si>
  <si>
    <t>XTNI-TEMBX</t>
  </si>
  <si>
    <t>XTNI-TEMSIEUAM</t>
  </si>
  <si>
    <t>XT-TEMCR3NI</t>
  </si>
  <si>
    <t>XT-TEMBX</t>
  </si>
  <si>
    <t>1E-TEMBX</t>
  </si>
  <si>
    <t>1F-TEMBX</t>
  </si>
  <si>
    <t>Hạng mục kiểm tra nồng độ
化驗檢查項目</t>
  </si>
  <si>
    <t>Nồng độ   Cr2O3 （K)</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</si>
  <si>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</si>
  <si>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</si>
  <si>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</si>
  <si>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</si>
  <si>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</si>
  <si>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</si>
  <si>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</si>
  <si>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</si>
  <si>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</si>
  <si>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</si>
  <si>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</si>
  <si>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</si>
  <si>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</si>
  <si>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</si>
  <si>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</si>
  <si>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</si>
  <si>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</si>
  <si>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</si>
  <si>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</si>
  <si>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</si>
  <si>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</si>
  <si>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</si>
  <si>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</si>
  <si>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</si>
  <si>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</si>
  <si>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</si>
  <si>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</si>
  <si>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</si>
  <si>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</si>
  <si>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</si>
  <si>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</si>
  <si>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</si>
  <si>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</si>
  <si>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</si>
  <si>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</si>
  <si>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</si>
  <si>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</si>
  <si>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</si>
  <si>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</si>
  <si>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</si>
  <si>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</si>
  <si>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</si>
  <si>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</si>
  <si>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</si>
  <si>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</si>
  <si>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</si>
  <si>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</si>
  <si>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</si>
  <si>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</si>
  <si>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</si>
  <si>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</si>
  <si>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</si>
  <si>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</si>
  <si>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</si>
  <si>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</si>
  <si>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</si>
  <si>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</si>
  <si>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</si>
  <si>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</si>
  <si>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</si>
  <si>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</si>
  <si>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</si>
  <si>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</si>
  <si>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</si>
  <si>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</si>
  <si>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</si>
  <si>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</si>
  <si>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</si>
  <si>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</si>
  <si>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</si>
  <si>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</si>
  <si>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</si>
  <si>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</si>
  <si>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</si>
  <si>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</si>
  <si>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</si>
  <si>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</si>
  <si>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</si>
  <si>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</si>
  <si>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</si>
  <si>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</si>
  <si>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</si>
  <si>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</si>
  <si>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</si>
  <si>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</si>
  <si>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</si>
  <si>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</si>
  <si>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13:00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</si>
  <si>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</si>
  <si>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</si>
  <si>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</si>
  <si>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</si>
  <si>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</si>
  <si>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</si>
  <si>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</si>
  <si>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</si>
  <si>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</si>
  <si>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</si>
  <si>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</si>
  <si>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</si>
  <si>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</si>
  <si>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</si>
  <si>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</si>
  <si>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</si>
  <si>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</si>
  <si>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</si>
  <si>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8:00</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</si>
  <si>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</si>
  <si>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</si>
  <si>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</si>
  <si>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</si>
  <si>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</si>
  <si>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</si>
  <si>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</si>
  <si>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</si>
  <si>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</si>
  <si>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</si>
  <si>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</si>
  <si>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</si>
  <si>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</si>
  <si>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</si>
  <si>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</si>
  <si>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</si>
  <si>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</si>
  <si>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</si>
  <si>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</si>
  <si>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</si>
  <si>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</si>
  <si>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</si>
  <si>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</si>
  <si>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</si>
  <si>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</si>
  <si>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</si>
  <si>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</si>
  <si>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</si>
  <si>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</si>
  <si>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</si>
  <si>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</si>
  <si>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</si>
  <si>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</si>
  <si>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</si>
  <si>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</si>
  <si>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</si>
  <si>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</si>
  <si>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</si>
  <si>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</si>
  <si>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</si>
  <si>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</si>
  <si>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</si>
  <si>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</si>
  <si>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</si>
  <si>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</si>
  <si>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</si>
  <si>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</si>
  <si>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</si>
  <si>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</si>
  <si>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</si>
  <si>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</si>
  <si>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</si>
  <si>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</si>
  <si>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</si>
  <si>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</si>
  <si>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</si>
  <si>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</si>
  <si>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</si>
  <si>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</si>
  <si>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</si>
  <si>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</si>
  <si>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</si>
  <si>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</si>
  <si>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</si>
  <si>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</si>
  <si>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</si>
  <si>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</si>
  <si>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</si>
  <si>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</si>
  <si>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</si>
  <si>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</si>
  <si>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</si>
  <si>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</si>
  <si>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</si>
  <si>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</si>
  <si>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</si>
  <si>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</si>
  <si>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</si>
  <si>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</si>
  <si>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</si>
  <si>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</si>
  <si>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</si>
  <si>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</si>
  <si>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</si>
  <si>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</si>
  <si>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</si>
  <si>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</si>
  <si>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</si>
  <si>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</si>
  <si>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</si>
  <si>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</si>
  <si>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</si>
  <si>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</si>
  <si>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</si>
  <si>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</si>
  <si>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</si>
  <si>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</si>
  <si>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</si>
  <si>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</si>
  <si>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</si>
  <si>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</si>
  <si>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</si>
  <si>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</si>
  <si>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</si>
  <si>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</si>
  <si>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</si>
  <si>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</si>
  <si>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</si>
  <si>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</si>
  <si>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</si>
  <si>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</si>
  <si>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</si>
  <si>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</si>
  <si>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</si>
  <si>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</si>
  <si>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</si>
  <si>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</si>
  <si>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</si>
  <si>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</si>
  <si>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</si>
  <si>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</si>
  <si>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</si>
  <si>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</si>
  <si>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</si>
  <si>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</si>
  <si>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</si>
  <si>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</si>
  <si>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</si>
  <si>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</si>
  <si>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5.4~5.8
(5.6±0.1)</t>
  </si>
  <si>
    <t>DC-GAY07</t>
  </si>
  <si>
    <t xml:space="preserve"> 染色Màu- Gey-07</t>
  </si>
  <si>
    <t>5.4~5.8</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</si>
  <si>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</si>
  <si>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</si>
  <si>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</si>
  <si>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</si>
  <si>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</si>
  <si>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</si>
  <si>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</si>
  <si>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</si>
  <si>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</si>
  <si>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</si>
  <si>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</si>
  <si>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</si>
  <si>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</si>
  <si>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</si>
  <si>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</si>
  <si>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</si>
  <si>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</si>
  <si>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</si>
  <si>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</si>
  <si>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</si>
  <si>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</si>
  <si>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</si>
  <si>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</si>
  <si>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</si>
  <si>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</si>
  <si>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</si>
  <si>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</si>
  <si>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</si>
  <si>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</si>
  <si>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</si>
  <si>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</si>
  <si>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</si>
  <si>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</si>
  <si>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</si>
  <si>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</si>
  <si>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</si>
  <si>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</si>
  <si>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</si>
  <si>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7" type="noConversion"/>
  </si>
  <si>
    <t>Yen</t>
    <phoneticPr fontId="7" type="noConversion"/>
  </si>
  <si>
    <t>NO</t>
    <phoneticPr fontId="7"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</si>
  <si>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</si>
  <si>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</si>
  <si>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</si>
  <si>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</si>
  <si>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</si>
  <si>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</si>
  <si>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7" type="noConversion"/>
  </si>
  <si>
    <t>Noàng ñoä  axit HCl (1)</t>
  </si>
  <si>
    <t>%</t>
    <phoneticPr fontId="7" type="noConversion"/>
  </si>
  <si>
    <t>10~15%  
(12.5%)</t>
  </si>
  <si>
    <t>+</t>
    <phoneticPr fontId="7" type="noConversion"/>
  </si>
  <si>
    <t>IS18</t>
    <phoneticPr fontId="7" type="noConversion"/>
  </si>
  <si>
    <t>Noàng ñoä  axit HCl (2)</t>
  </si>
  <si>
    <r>
      <t xml:space="preserve">Muối axit Phosphoric 1
</t>
    </r>
    <r>
      <rPr>
        <sz val="9"/>
        <rFont val="細明體"/>
        <family val="3"/>
        <charset val="136"/>
      </rPr>
      <t>磷酸鹽 1</t>
    </r>
  </si>
  <si>
    <t>Tổng chua TA 
40~60 (50)</t>
  </si>
  <si>
    <t>+</t>
    <phoneticPr fontId="7" type="noConversion"/>
  </si>
  <si>
    <t>kg</t>
    <phoneticPr fontId="7" type="noConversion"/>
  </si>
  <si>
    <t>IS16</t>
    <phoneticPr fontId="7" type="noConversion"/>
  </si>
  <si>
    <t>tỷ lệ axit
5.2~7.8 (6.5)</t>
  </si>
  <si>
    <t>IS14</t>
    <phoneticPr fontId="7"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</si>
  <si>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</si>
  <si>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</si>
  <si>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</si>
  <si>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7" type="noConversion"/>
  </si>
  <si>
    <t>kg</t>
    <phoneticPr fontId="7" type="noConversion"/>
  </si>
  <si>
    <t>pH</t>
    <phoneticPr fontId="7" type="noConversion"/>
  </si>
  <si>
    <t>8.5~10</t>
  </si>
  <si>
    <r>
      <t xml:space="preserve">Haïng muïc kieåm tra nhieät ñoä </t>
    </r>
    <r>
      <rPr>
        <sz val="9"/>
        <rFont val="細明體"/>
        <family val="3"/>
        <charset val="136"/>
      </rPr>
      <t>檢查溫度</t>
    </r>
  </si>
  <si>
    <t>No</t>
    <phoneticPr fontId="7"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</si>
  <si>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</si>
  <si>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</si>
  <si>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</si>
  <si>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</si>
  <si>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</si>
  <si>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</si>
  <si>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</si>
  <si>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7" type="noConversion"/>
  </si>
  <si>
    <t>NO</t>
    <phoneticPr fontId="7" type="noConversion"/>
  </si>
  <si>
    <t>Q3-CXVN
-PC01-</t>
    <phoneticPr fontId="7" type="noConversion"/>
  </si>
  <si>
    <t>IS18</t>
    <phoneticPr fontId="7" type="noConversion"/>
  </si>
  <si>
    <t>IS19</t>
  </si>
  <si>
    <r>
      <t xml:space="preserve">Muối axit Phosphoric 
</t>
    </r>
    <r>
      <rPr>
        <sz val="9"/>
        <rFont val="細明體"/>
        <family val="3"/>
        <charset val="136"/>
      </rPr>
      <t>磷酸鹽</t>
    </r>
  </si>
  <si>
    <t>IS16</t>
    <phoneticPr fontId="7" type="noConversion"/>
  </si>
  <si>
    <t>IS14</t>
    <phoneticPr fontId="7" type="noConversion"/>
  </si>
  <si>
    <t>+</t>
    <phoneticPr fontId="7" type="noConversion"/>
  </si>
  <si>
    <t>kg</t>
    <phoneticPr fontId="7" type="noConversion"/>
  </si>
  <si>
    <t>No</t>
    <phoneticPr fontId="7" type="noConversion"/>
  </si>
  <si>
    <r>
      <t xml:space="preserve">laäp bieåu
 </t>
    </r>
    <r>
      <rPr>
        <sz val="11"/>
        <rFont val="細明體"/>
        <family val="3"/>
        <charset val="136"/>
      </rPr>
      <t>作成</t>
    </r>
  </si>
  <si>
    <t>Yen</t>
    <phoneticPr fontId="7" type="noConversion"/>
  </si>
  <si>
    <t>NO</t>
    <phoneticPr fontId="7"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</si>
  <si>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</si>
  <si>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</si>
  <si>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</si>
  <si>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</si>
  <si>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</si>
  <si>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</si>
  <si>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7" type="noConversion"/>
  </si>
  <si>
    <r>
      <t xml:space="preserve">Khử dầu
</t>
    </r>
    <r>
      <rPr>
        <sz val="10"/>
        <rFont val="細明體"/>
        <family val="3"/>
        <charset val="136"/>
      </rPr>
      <t>脫脂</t>
    </r>
  </si>
  <si>
    <t>Point</t>
    <phoneticPr fontId="7" type="noConversion"/>
  </si>
  <si>
    <t>+</t>
    <phoneticPr fontId="7" type="noConversion"/>
  </si>
  <si>
    <t>kg</t>
    <phoneticPr fontId="7" type="noConversion"/>
  </si>
  <si>
    <t>PC01-IS18</t>
    <phoneticPr fontId="7" type="noConversion"/>
  </si>
  <si>
    <t xml:space="preserve">Rua acid </t>
    <phoneticPr fontId="7" type="noConversion"/>
  </si>
  <si>
    <t>%</t>
    <phoneticPr fontId="7" type="noConversion"/>
  </si>
  <si>
    <t>+</t>
    <phoneticPr fontId="7" type="noConversion"/>
  </si>
  <si>
    <t>L</t>
    <phoneticPr fontId="7" type="noConversion"/>
  </si>
  <si>
    <t>PC01-IS15</t>
    <phoneticPr fontId="7" type="noConversion"/>
  </si>
  <si>
    <r>
      <t xml:space="preserve">Muối axit Phosphoric  </t>
    </r>
    <r>
      <rPr>
        <sz val="10"/>
        <rFont val="細明體"/>
        <family val="3"/>
        <charset val="136"/>
      </rPr>
      <t>磷酸鹽</t>
    </r>
  </si>
  <si>
    <t>PC01-IS16</t>
    <phoneticPr fontId="7" type="noConversion"/>
  </si>
  <si>
    <t>PC01-IS14</t>
    <phoneticPr fontId="7" type="noConversion"/>
  </si>
  <si>
    <r>
      <t xml:space="preserve">Xà bông
</t>
    </r>
    <r>
      <rPr>
        <sz val="10"/>
        <rFont val="細明體"/>
        <family val="3"/>
        <charset val="136"/>
      </rPr>
      <t>潤滑皂</t>
    </r>
  </si>
  <si>
    <t>PC01-IS22</t>
    <phoneticPr fontId="7" type="noConversion"/>
  </si>
  <si>
    <t>pH</t>
    <phoneticPr fontId="7" type="noConversion"/>
  </si>
  <si>
    <r>
      <t xml:space="preserve">Haïng muïc kieåm tra nhieät ñoä </t>
    </r>
    <r>
      <rPr>
        <sz val="14"/>
        <rFont val="細明體"/>
        <family val="3"/>
        <charset val="136"/>
      </rPr>
      <t>檢查溫度</t>
    </r>
  </si>
  <si>
    <t>No</t>
    <phoneticPr fontId="7"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</si>
  <si>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</si>
  <si>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</si>
  <si>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</si>
  <si>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</si>
  <si>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</si>
  <si>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</si>
  <si>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</si>
  <si>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</si>
  <si>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</si>
  <si>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</si>
  <si>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</si>
  <si>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7" type="noConversion"/>
  </si>
  <si>
    <t>kg</t>
    <phoneticPr fontId="7" type="noConversion"/>
  </si>
  <si>
    <t>%</t>
    <phoneticPr fontId="7" type="noConversion"/>
  </si>
  <si>
    <t>L</t>
    <phoneticPr fontId="7" type="noConversion"/>
  </si>
  <si>
    <r>
      <t xml:space="preserve">Muối axit Phosphoric  
</t>
    </r>
    <r>
      <rPr>
        <sz val="10"/>
        <rFont val="細明體"/>
        <family val="3"/>
        <charset val="136"/>
      </rPr>
      <t>磷酸鹽</t>
    </r>
  </si>
  <si>
    <t>Point</t>
    <phoneticPr fontId="7" type="noConversion"/>
  </si>
  <si>
    <t>pH</t>
    <phoneticPr fontId="7" type="noConversion"/>
  </si>
  <si>
    <t>No</t>
    <phoneticPr fontId="7" type="noConversion"/>
  </si>
  <si>
    <r>
      <t xml:space="preserve">Muối axit Phosphoric 
</t>
    </r>
    <r>
      <rPr>
        <sz val="10"/>
        <rFont val="細明體"/>
        <family val="3"/>
        <charset val="136"/>
      </rPr>
      <t>磷酸鹽</t>
    </r>
  </si>
  <si>
    <t>Q3-CXVN-</t>
    <phoneticPr fontId="7" type="noConversion"/>
  </si>
  <si>
    <t>PC01-IS15</t>
    <phoneticPr fontId="7" type="noConversion"/>
  </si>
  <si>
    <r>
      <t xml:space="preserve">Muối axit Phosphoric  (1)
</t>
    </r>
    <r>
      <rPr>
        <sz val="10"/>
        <rFont val="細明體"/>
        <family val="3"/>
        <charset val="136"/>
      </rPr>
      <t>磷酸鹽</t>
    </r>
  </si>
  <si>
    <t>PC01-IS16</t>
    <phoneticPr fontId="7" type="noConversion"/>
  </si>
  <si>
    <t>PC01-IS14</t>
    <phoneticPr fontId="7" type="noConversion"/>
  </si>
  <si>
    <r>
      <t>Muối axit Phosphoric  (2)
磷酸鹽</t>
    </r>
    <r>
      <rPr>
        <sz val="9"/>
        <rFont val="細明體"/>
        <family val="3"/>
        <charset val="136"/>
      </rPr>
      <t/>
    </r>
  </si>
  <si>
    <t>PC01-IS18</t>
    <phoneticPr fontId="7"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</si>
  <si>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</si>
  <si>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</si>
  <si>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</si>
  <si>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</si>
  <si>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</si>
  <si>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</si>
  <si>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</si>
  <si>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</si>
  <si>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</si>
  <si>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</si>
  <si>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</si>
  <si>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</si>
  <si>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</si>
  <si>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</si>
  <si>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</si>
  <si>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</si>
  <si>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</si>
  <si>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</si>
  <si>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</si>
  <si>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</si>
  <si>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0"/>
        <rFont val="VN-NTime"/>
        <family val="1"/>
      </rPr>
      <t>45</t>
    </r>
    <r>
      <rPr>
        <sz val="10"/>
        <rFont val="VNI-Times"/>
      </rPr>
      <t>~65</t>
    </r>
    <r>
      <rPr>
        <sz val="10"/>
        <rFont val="Times New Roman"/>
        <family val="1"/>
      </rPr>
      <t>º</t>
    </r>
    <r>
      <rPr>
        <sz val="10"/>
        <rFont val="VN-NTime"/>
        <family val="1"/>
      </rPr>
      <t>C
(55±8</t>
    </r>
    <r>
      <rPr>
        <vertAlign val="superscript"/>
        <sz val="10"/>
        <rFont val="VN-NTime"/>
        <family val="1"/>
      </rPr>
      <t>o</t>
    </r>
    <r>
      <rPr>
        <sz val="10"/>
        <rFont val="VN-NTime"/>
        <family val="1"/>
      </rPr>
      <t>C)</t>
    </r>
  </si>
  <si>
    <r>
      <rPr>
        <sz val="10"/>
        <rFont val="VN-NTime"/>
        <family val="1"/>
      </rPr>
      <t>18</t>
    </r>
    <r>
      <rPr>
        <sz val="10"/>
        <rFont val="VNI-Times"/>
      </rPr>
      <t>~25</t>
    </r>
    <r>
      <rPr>
        <sz val="10"/>
        <rFont val="Times New Roman"/>
        <family val="1"/>
      </rPr>
      <t>º</t>
    </r>
    <r>
      <rPr>
        <sz val="10"/>
        <rFont val="VN-NTime"/>
        <family val="1"/>
      </rPr>
      <t>C
(22±2</t>
    </r>
    <r>
      <rPr>
        <vertAlign val="superscript"/>
        <sz val="10"/>
        <rFont val="VN-NTime"/>
        <family val="1"/>
      </rPr>
      <t>o</t>
    </r>
    <r>
      <rPr>
        <sz val="10"/>
        <rFont val="VN-NTime"/>
        <family val="1"/>
      </rPr>
      <t>C)</t>
    </r>
  </si>
  <si>
    <r>
      <rPr>
        <sz val="11"/>
        <rFont val="細明體"/>
        <family val="3"/>
        <charset val="136"/>
      </rPr>
      <t>封孔</t>
    </r>
    <r>
      <rPr>
        <sz val="11"/>
        <rFont val="VNI-Times"/>
      </rPr>
      <t xml:space="preserve"> ñoùng loã 1 (HK-101A1)</t>
    </r>
  </si>
  <si>
    <r>
      <rPr>
        <sz val="10"/>
        <rFont val="VN-NTime"/>
        <family val="1"/>
      </rPr>
      <t>30</t>
    </r>
    <r>
      <rPr>
        <sz val="10"/>
        <rFont val="VNI-Times"/>
      </rPr>
      <t>~60</t>
    </r>
    <r>
      <rPr>
        <sz val="10"/>
        <rFont val="Times New Roman"/>
        <family val="1"/>
      </rPr>
      <t>º</t>
    </r>
    <r>
      <rPr>
        <sz val="10"/>
        <rFont val="VN-NTime"/>
        <family val="1"/>
      </rPr>
      <t>C
(45±5</t>
    </r>
    <r>
      <rPr>
        <vertAlign val="superscript"/>
        <sz val="10"/>
        <rFont val="VN-NTime"/>
        <family val="1"/>
      </rPr>
      <t>o</t>
    </r>
    <r>
      <rPr>
        <sz val="10"/>
        <rFont val="VN-NTime"/>
        <family val="1"/>
      </rPr>
      <t>C)</t>
    </r>
  </si>
  <si>
    <r>
      <rPr>
        <sz val="10"/>
        <rFont val="VN-NTime"/>
        <family val="1"/>
      </rPr>
      <t>42</t>
    </r>
    <r>
      <rPr>
        <sz val="10"/>
        <rFont val="VNI-Times"/>
      </rPr>
      <t>~47</t>
    </r>
    <r>
      <rPr>
        <sz val="10"/>
        <rFont val="Times New Roman"/>
        <family val="1"/>
      </rPr>
      <t>º</t>
    </r>
    <r>
      <rPr>
        <sz val="10"/>
        <rFont val="VN-NTime"/>
        <family val="1"/>
      </rPr>
      <t>C
(44±2</t>
    </r>
    <r>
      <rPr>
        <vertAlign val="superscript"/>
        <sz val="10"/>
        <rFont val="VN-NTime"/>
        <family val="1"/>
      </rPr>
      <t>o</t>
    </r>
    <r>
      <rPr>
        <sz val="10"/>
        <rFont val="VN-NTime"/>
        <family val="1"/>
      </rPr>
      <t>C)</t>
    </r>
  </si>
  <si>
    <r>
      <rPr>
        <sz val="10"/>
        <rFont val="VN-NTime"/>
        <family val="1"/>
      </rPr>
      <t>55</t>
    </r>
    <r>
      <rPr>
        <sz val="10"/>
        <rFont val="VNI-Times"/>
      </rPr>
      <t>~65</t>
    </r>
    <r>
      <rPr>
        <sz val="10"/>
        <rFont val="Times New Roman"/>
        <family val="1"/>
      </rPr>
      <t>º</t>
    </r>
    <r>
      <rPr>
        <sz val="10"/>
        <rFont val="VN-NTime"/>
        <family val="1"/>
      </rPr>
      <t>C
(60±3</t>
    </r>
    <r>
      <rPr>
        <vertAlign val="superscript"/>
        <sz val="10"/>
        <rFont val="VN-NTime"/>
        <family val="1"/>
      </rPr>
      <t>o</t>
    </r>
    <r>
      <rPr>
        <sz val="10"/>
        <rFont val="VN-NTime"/>
        <family val="1"/>
      </rPr>
      <t>C)</t>
    </r>
  </si>
  <si>
    <r>
      <rPr>
        <sz val="11"/>
        <rFont val="細明體"/>
        <family val="3"/>
        <charset val="136"/>
      </rPr>
      <t>烘乾</t>
    </r>
    <r>
      <rPr>
        <sz val="11"/>
        <rFont val="VNI-Times"/>
      </rPr>
      <t xml:space="preserve"> maùy saáy</t>
    </r>
  </si>
  <si>
    <r>
      <rPr>
        <sz val="10"/>
        <rFont val="VN-NTime"/>
        <family val="1"/>
      </rPr>
      <t>100</t>
    </r>
    <r>
      <rPr>
        <sz val="10"/>
        <rFont val="VNI-Times"/>
      </rPr>
      <t>~110</t>
    </r>
    <r>
      <rPr>
        <sz val="10"/>
        <rFont val="Times New Roman"/>
        <family val="1"/>
      </rPr>
      <t>º</t>
    </r>
    <r>
      <rPr>
        <sz val="10"/>
        <rFont val="VN-NTime"/>
        <family val="1"/>
      </rPr>
      <t>C
(100±5</t>
    </r>
    <r>
      <rPr>
        <vertAlign val="superscript"/>
        <sz val="10"/>
        <rFont val="VN-NTime"/>
        <family val="1"/>
      </rPr>
      <t>o</t>
    </r>
    <r>
      <rPr>
        <sz val="10"/>
        <rFont val="VN-NTime"/>
        <family val="1"/>
      </rPr>
      <t>C)</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</si>
  <si>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</si>
  <si>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</si>
  <si>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</si>
  <si>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</si>
  <si>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</si>
  <si>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</si>
  <si>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</si>
  <si>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</si>
  <si>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</si>
  <si>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</si>
  <si>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</si>
  <si>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</si>
  <si>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</si>
  <si>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</si>
  <si>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</si>
  <si>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</si>
  <si>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</si>
  <si>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</si>
  <si>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</si>
  <si>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</si>
  <si>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</si>
  <si>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</si>
  <si>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</si>
  <si>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</si>
  <si>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</si>
  <si>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</si>
  <si>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</si>
  <si>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</si>
  <si>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</si>
  <si>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</si>
  <si>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</si>
  <si>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</si>
  <si>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</si>
  <si>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</si>
  <si>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</si>
  <si>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</si>
  <si>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</si>
  <si>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</si>
  <si>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r>
      <t xml:space="preserve">Keát quaû kieåm tra </t>
    </r>
    <r>
      <rPr>
        <sz val="16"/>
        <color theme="1"/>
        <rFont val="細明體"/>
        <family val="3"/>
        <charset val="136"/>
      </rPr>
      <t>檢查結果</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</si>
  <si>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</si>
  <si>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</si>
  <si>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</si>
  <si>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</si>
  <si>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</si>
  <si>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</si>
  <si>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</si>
  <si>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</si>
  <si>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</si>
  <si>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</si>
  <si>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</si>
  <si>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</si>
  <si>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</si>
  <si>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</si>
  <si>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</si>
  <si>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</si>
  <si>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</si>
  <si>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</si>
  <si>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</si>
  <si>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</si>
  <si>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</si>
  <si>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</si>
  <si>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</si>
  <si>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</si>
  <si>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</si>
  <si>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</si>
  <si>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</si>
  <si>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</si>
  <si>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</si>
  <si>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</si>
  <si>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</si>
  <si>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</si>
  <si>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</si>
  <si>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</si>
  <si>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</si>
  <si>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</si>
  <si>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</si>
  <si>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</si>
  <si>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</si>
  <si>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</si>
  <si>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</si>
  <si>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</si>
  <si>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</si>
  <si>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</si>
  <si>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</si>
  <si>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</si>
  <si>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</si>
  <si>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</si>
  <si>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</si>
  <si>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</si>
  <si>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</si>
  <si>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</si>
  <si>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</si>
  <si>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</si>
  <si>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</si>
  <si>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</si>
  <si>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</si>
  <si>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</si>
  <si>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</si>
  <si>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</si>
  <si>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</si>
  <si>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</si>
  <si>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</si>
  <si>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</si>
  <si>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</si>
  <si>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</si>
  <si>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3.XT-C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</si>
  <si>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</si>
  <si>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</si>
  <si>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</si>
  <si>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</si>
  <si>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</si>
  <si>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</si>
  <si>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</si>
  <si>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</si>
  <si>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</si>
  <si>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</si>
  <si>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</si>
  <si>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</si>
  <si>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</si>
  <si>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</si>
  <si>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</si>
  <si>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</si>
  <si>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</si>
  <si>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</si>
  <si>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</si>
  <si>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</si>
  <si>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</si>
  <si>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</si>
  <si>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</si>
  <si>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</si>
  <si>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</si>
  <si>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</si>
  <si>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</si>
  <si>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</si>
  <si>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</si>
  <si>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</si>
  <si>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</si>
  <si>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</si>
  <si>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</si>
  <si>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</si>
  <si>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</si>
  <si>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</si>
  <si>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</si>
  <si>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6" type="noConversion"/>
  </si>
  <si>
    <t xml:space="preserve">Rua acid </t>
    <phoneticPr fontId="6" type="noConversion"/>
  </si>
  <si>
    <r>
      <t xml:space="preserve">BẢNG KIỂM TRA DUNG DỊCH MUỐI AXIT PHOSPHORIC   _ RL-F
XỬ LÝ LỚP VỎ BÊN NGOÀI  </t>
    </r>
    <r>
      <rPr>
        <b/>
        <sz val="12"/>
        <rFont val="細明體"/>
        <family val="3"/>
        <charset val="136"/>
      </rPr>
      <t>磷酸鹽皮膜處理液管理表</t>
    </r>
    <phoneticPr fontId="6" type="noConversion"/>
  </si>
  <si>
    <r>
      <t xml:space="preserve">Keát quaû kieåm tra
</t>
    </r>
    <r>
      <rPr>
        <sz val="9"/>
        <rFont val="細明體"/>
        <family val="3"/>
        <charset val="136"/>
      </rPr>
      <t>檢查結果</t>
    </r>
    <r>
      <rPr>
        <sz val="9"/>
        <rFont val="VNI-Times"/>
      </rPr>
      <t xml:space="preserve"> (RL-F)</t>
    </r>
    <phoneticPr fontId="6" type="noConversion"/>
  </si>
  <si>
    <t>+</t>
    <phoneticPr fontId="7" type="noConversion"/>
  </si>
  <si>
    <t>kg</t>
    <phoneticPr fontId="7" type="noConversion"/>
  </si>
  <si>
    <t>L</t>
    <phoneticPr fontId="7" type="noConversion"/>
  </si>
  <si>
    <r>
      <t xml:space="preserve">Khử dầu 
</t>
    </r>
    <r>
      <rPr>
        <sz val="10"/>
        <rFont val="細明體"/>
        <family val="3"/>
        <charset val="136"/>
      </rPr>
      <t>脫脂</t>
    </r>
    <phoneticPr fontId="6" type="noConversion"/>
  </si>
  <si>
    <r>
      <t xml:space="preserve">Muối axit Phosphoric 
</t>
    </r>
    <r>
      <rPr>
        <sz val="10"/>
        <rFont val="細明體"/>
        <family val="3"/>
        <charset val="136"/>
      </rPr>
      <t>磷酸鹽</t>
    </r>
    <r>
      <rPr>
        <sz val="9"/>
        <rFont val="細明體"/>
        <family val="3"/>
        <charset val="136"/>
      </rPr>
      <t/>
    </r>
    <phoneticPr fontId="6" type="noConversion"/>
  </si>
  <si>
    <r>
      <t xml:space="preserve">Khử dầu 
</t>
    </r>
    <r>
      <rPr>
        <sz val="10"/>
        <rFont val="細明體"/>
        <family val="3"/>
        <charset val="136"/>
      </rPr>
      <t>脫脂</t>
    </r>
    <phoneticPr fontId="6" type="noConversion"/>
  </si>
  <si>
    <t>IMPORT</t>
    <phoneticPr fontId="6" type="noConversion"/>
  </si>
  <si>
    <t>RLF-HCL1</t>
  </si>
  <si>
    <t>RLF-KD</t>
  </si>
  <si>
    <t>RLF-PP1TA</t>
  </si>
  <si>
    <t>RLF-PP1AX</t>
  </si>
  <si>
    <t>RLF-PP1PL</t>
  </si>
  <si>
    <t>RLF-XB</t>
  </si>
  <si>
    <t>RLF-XBPH</t>
  </si>
  <si>
    <t>1</t>
    <phoneticPr fontId="6" type="noConversion"/>
  </si>
  <si>
    <t>2</t>
    <phoneticPr fontId="6" type="noConversion"/>
  </si>
  <si>
    <t>3</t>
    <phoneticPr fontId="6" type="noConversion"/>
  </si>
  <si>
    <t>4</t>
    <phoneticPr fontId="6" type="noConversion"/>
  </si>
  <si>
    <t>5</t>
    <phoneticPr fontId="6" type="noConversion"/>
  </si>
  <si>
    <t>6</t>
    <phoneticPr fontId="6" type="noConversion"/>
  </si>
  <si>
    <r>
      <t xml:space="preserve">đánh </t>
    </r>
    <r>
      <rPr>
        <sz val="12"/>
        <color rgb="FFC00000"/>
        <rFont val="Times New Roman"/>
        <family val="1"/>
      </rPr>
      <t>năm/tháng/ngày</t>
    </r>
    <r>
      <rPr>
        <sz val="12"/>
        <color theme="1"/>
        <rFont val="Times New Roman"/>
        <family val="1"/>
      </rPr>
      <t xml:space="preserve"> 
vào ô bên</t>
    </r>
    <phoneticPr fontId="6" type="noConversion"/>
  </si>
  <si>
    <t>7</t>
    <phoneticPr fontId="6" type="noConversion"/>
  </si>
  <si>
    <t>8</t>
    <phoneticPr fontId="6" type="noConversion"/>
  </si>
  <si>
    <t>8:15-8:45</t>
    <phoneticPr fontId="6" type="noConversion"/>
  </si>
  <si>
    <t>10:15-10:45</t>
    <phoneticPr fontId="6" type="noConversion"/>
  </si>
  <si>
    <t>16:30-17:00</t>
    <phoneticPr fontId="6" type="noConversion"/>
  </si>
  <si>
    <t>20:15-20:45</t>
    <phoneticPr fontId="6" type="noConversion"/>
  </si>
  <si>
    <t>22:15-22:45</t>
    <phoneticPr fontId="6" type="noConversion"/>
  </si>
  <si>
    <t>15:00-15:30</t>
    <phoneticPr fontId="6" type="noConversion"/>
  </si>
  <si>
    <t>4:30-5:00</t>
    <phoneticPr fontId="6" type="noConversion"/>
  </si>
  <si>
    <t>khoảng thời gian
 Import</t>
    <phoneticPr fontId="6" type="noConversion"/>
  </si>
  <si>
    <t>2:30-3:00</t>
    <phoneticPr fontId="6" type="noConversion"/>
  </si>
  <si>
    <r>
      <t>THỜI GIAN IMPORT CÁC CHUY</t>
    </r>
    <r>
      <rPr>
        <sz val="11"/>
        <color theme="1"/>
        <rFont val="細明體"/>
        <family val="3"/>
        <charset val="136"/>
      </rPr>
      <t>Ề</t>
    </r>
    <r>
      <rPr>
        <sz val="11"/>
        <color theme="1"/>
        <rFont val="Times New Roman"/>
        <family val="1"/>
      </rPr>
      <t>N</t>
    </r>
    <phoneticPr fontId="182" type="noConversion"/>
  </si>
  <si>
    <r>
      <t>chuy</t>
    </r>
    <r>
      <rPr>
        <sz val="11"/>
        <color theme="1"/>
        <rFont val="細明體"/>
        <family val="3"/>
        <charset val="136"/>
      </rPr>
      <t>ề</t>
    </r>
    <r>
      <rPr>
        <sz val="11"/>
        <color theme="1"/>
        <rFont val="Times New Roman"/>
        <family val="1"/>
      </rPr>
      <t>n</t>
    </r>
    <phoneticPr fontId="182" type="noConversion"/>
  </si>
  <si>
    <t>THỜI GIAN</t>
    <phoneticPr fontId="182" type="noConversion"/>
  </si>
  <si>
    <t>XI MẠ</t>
    <phoneticPr fontId="182" type="noConversion"/>
  </si>
  <si>
    <t>XL-001E</t>
    <phoneticPr fontId="182" type="noConversion"/>
  </si>
  <si>
    <t>8:15-8:45</t>
    <phoneticPr fontId="182" type="noConversion"/>
  </si>
  <si>
    <t>10:15-10:45</t>
    <phoneticPr fontId="182" type="noConversion"/>
  </si>
  <si>
    <t>15:00-15:30</t>
    <phoneticPr fontId="182" type="noConversion"/>
  </si>
  <si>
    <t>20:15-20:45</t>
    <phoneticPr fontId="182" type="noConversion"/>
  </si>
  <si>
    <t>22:15-22:45</t>
    <phoneticPr fontId="182" type="noConversion"/>
  </si>
  <si>
    <t>2:30-3:00</t>
    <phoneticPr fontId="182" type="noConversion"/>
  </si>
  <si>
    <t>4:30-5:00</t>
    <phoneticPr fontId="182" type="noConversion"/>
  </si>
  <si>
    <t>XL-001F</t>
    <phoneticPr fontId="182" type="noConversion"/>
  </si>
  <si>
    <t>XI TREO</t>
    <phoneticPr fontId="182" type="noConversion"/>
  </si>
  <si>
    <t>XT-001C</t>
    <phoneticPr fontId="182" type="noConversion"/>
  </si>
  <si>
    <t>RỬA LiỆU</t>
    <phoneticPr fontId="182" type="noConversion"/>
  </si>
  <si>
    <t>RL-E</t>
    <phoneticPr fontId="182" type="noConversion"/>
  </si>
  <si>
    <t>16:30-17:00</t>
    <phoneticPr fontId="182" type="noConversion"/>
  </si>
  <si>
    <t>RL-F</t>
    <phoneticPr fontId="182" type="noConversion"/>
  </si>
  <si>
    <t>RL-C</t>
    <phoneticPr fontId="182" type="noConversion"/>
  </si>
  <si>
    <t>DƯƠNG CỰC</t>
    <phoneticPr fontId="182" type="noConversion"/>
  </si>
  <si>
    <t>DC</t>
    <phoneticPr fontId="182" type="noConversion"/>
  </si>
  <si>
    <t>XI ĐEN</t>
    <phoneticPr fontId="182" type="noConversion"/>
  </si>
  <si>
    <t>XD</t>
    <phoneticPr fontId="182" type="noConversion"/>
  </si>
  <si>
    <t>tg import</t>
    <phoneticPr fontId="6"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</si>
  <si>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6" type="noConversion"/>
  </si>
  <si>
    <t>RL-G</t>
    <phoneticPr fontId="6" type="noConversion"/>
  </si>
  <si>
    <t>RL-F</t>
    <phoneticPr fontId="6" type="noConversion"/>
  </si>
  <si>
    <t>KHU DAU</t>
    <phoneticPr fontId="6" type="noConversion"/>
  </si>
  <si>
    <t>KHU DAU</t>
    <phoneticPr fontId="6" type="noConversion"/>
  </si>
  <si>
    <t>RL-G</t>
    <phoneticPr fontId="6" type="noConversion"/>
  </si>
  <si>
    <t>RL-F</t>
    <phoneticPr fontId="6"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</si>
  <si>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6" type="noConversion"/>
  </si>
  <si>
    <r>
      <t xml:space="preserve">Keát quaû kieåm tra
</t>
    </r>
    <r>
      <rPr>
        <sz val="10"/>
        <rFont val="細明體"/>
        <family val="3"/>
        <charset val="136"/>
      </rPr>
      <t>檢查結果</t>
    </r>
    <r>
      <rPr>
        <sz val="10"/>
        <rFont val="VNI-Times"/>
      </rPr>
      <t xml:space="preserve"> </t>
    </r>
    <phoneticPr fontId="6" type="noConversion"/>
  </si>
  <si>
    <r>
      <t xml:space="preserve">Keát quaû kieåm tra
</t>
    </r>
    <r>
      <rPr>
        <sz val="9"/>
        <rFont val="細明體"/>
        <family val="3"/>
        <charset val="136"/>
      </rPr>
      <t>檢查結果</t>
    </r>
    <r>
      <rPr>
        <sz val="9"/>
        <rFont val="VNI-Times"/>
      </rPr>
      <t xml:space="preserve"> </t>
    </r>
    <phoneticPr fontId="6"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</si>
  <si>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6" type="noConversion"/>
  </si>
  <si>
    <r>
      <t xml:space="preserve">Keát quaû kieåm tra
</t>
    </r>
    <r>
      <rPr>
        <sz val="9"/>
        <rFont val="細明體"/>
        <family val="3"/>
        <charset val="136"/>
      </rPr>
      <t>檢查結果</t>
    </r>
    <r>
      <rPr>
        <sz val="9"/>
        <rFont val="VNI-Times"/>
      </rPr>
      <t xml:space="preserve"> (RL-E)</t>
    </r>
    <phoneticPr fontId="6" type="noConversion"/>
  </si>
  <si>
    <r>
      <t xml:space="preserve">Keát quaû kieåm tra
</t>
    </r>
    <r>
      <rPr>
        <sz val="9"/>
        <rFont val="細明體"/>
        <family val="3"/>
        <charset val="136"/>
      </rPr>
      <t>檢查結果</t>
    </r>
    <r>
      <rPr>
        <sz val="9"/>
        <rFont val="VNI-Times"/>
      </rPr>
      <t xml:space="preserve"> </t>
    </r>
    <phoneticPr fontId="6"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</si>
  <si>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6"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</si>
  <si>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6" type="noConversion"/>
  </si>
  <si>
    <r>
      <t xml:space="preserve">Keát quaû kieåm tra
</t>
    </r>
    <r>
      <rPr>
        <sz val="9"/>
        <rFont val="細明體"/>
        <family val="3"/>
        <charset val="136"/>
      </rPr>
      <t>檢查結果</t>
    </r>
    <phoneticPr fontId="6"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</si>
  <si>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6" type="noConversion"/>
  </si>
  <si>
    <t>RLG-KD</t>
  </si>
  <si>
    <t>RLG-HCL1</t>
  </si>
  <si>
    <t>RLG-HCL1</t>
    <phoneticPr fontId="6" type="noConversion"/>
  </si>
  <si>
    <t>RLG-XB</t>
  </si>
  <si>
    <t>RLG-XBPH</t>
  </si>
  <si>
    <t>RLG-PPTA</t>
  </si>
  <si>
    <t>RLG-PPTA</t>
    <phoneticPr fontId="6"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</si>
  <si>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</si>
  <si>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</si>
  <si>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</si>
  <si>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6" type="noConversion"/>
  </si>
  <si>
    <t>KQ bổ sung sau 1H</t>
    <phoneticPr fontId="6" type="noConversion"/>
  </si>
  <si>
    <t xml:space="preserve">濃度 </t>
    <phoneticPr fontId="6" type="noConversion"/>
  </si>
  <si>
    <t>KQ bổ sung sau 1H</t>
    <phoneticPr fontId="6" type="noConversion"/>
  </si>
  <si>
    <r>
      <rPr>
        <sz val="11"/>
        <color rgb="FF0000FF"/>
        <rFont val="細明體"/>
        <family val="3"/>
        <charset val="136"/>
      </rPr>
      <t>濃度</t>
    </r>
    <r>
      <rPr>
        <sz val="11"/>
        <color rgb="FF0000FF"/>
        <rFont val="Times New Roman"/>
        <family val="1"/>
      </rPr>
      <t xml:space="preserve"> </t>
    </r>
    <phoneticPr fontId="6" type="noConversion"/>
  </si>
  <si>
    <r>
      <rPr>
        <sz val="11"/>
        <color rgb="FF0000FF"/>
        <rFont val="細明體"/>
        <family val="3"/>
        <charset val="136"/>
      </rPr>
      <t>濃度</t>
    </r>
    <r>
      <rPr>
        <sz val="11"/>
        <color rgb="FF0000FF"/>
        <rFont val="Times New Roman"/>
        <family val="1"/>
      </rPr>
      <t xml:space="preserve"> </t>
    </r>
    <phoneticPr fontId="6" type="noConversion"/>
  </si>
  <si>
    <t>KQ bổ sung sau 1H</t>
    <phoneticPr fontId="6" type="noConversion"/>
  </si>
  <si>
    <r>
      <rPr>
        <sz val="11"/>
        <color rgb="FF0000FF"/>
        <rFont val="細明體"/>
        <family val="3"/>
        <charset val="136"/>
      </rPr>
      <t>濃度</t>
    </r>
    <r>
      <rPr>
        <sz val="11"/>
        <color rgb="FF0000FF"/>
        <rFont val="Times New Roman"/>
        <family val="1"/>
      </rPr>
      <t xml:space="preserve"> </t>
    </r>
    <phoneticPr fontId="6"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</si>
  <si>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</si>
  <si>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</si>
  <si>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</si>
  <si>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6"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</si>
  <si>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</si>
  <si>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</si>
  <si>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</si>
  <si>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</si>
  <si>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</si>
  <si>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</si>
  <si>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</si>
  <si>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 xml:space="preserve">Noàng ñoä  axit ñaëc 1 (13,14)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</si>
  <si>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2 (15,16,17)
</t>
    </r>
    <r>
      <rPr>
        <sz val="11"/>
        <color theme="1"/>
        <rFont val="標楷體"/>
        <family val="4"/>
        <charset val="136"/>
      </rPr>
      <t>鹽酸</t>
    </r>
    <r>
      <rPr>
        <sz val="11"/>
        <color theme="1"/>
        <rFont val="VNI-Times"/>
      </rPr>
      <t xml:space="preserve"> </t>
    </r>
    <r>
      <rPr>
        <sz val="11"/>
        <color theme="1"/>
        <rFont val="標楷體"/>
        <family val="4"/>
        <charset val="136"/>
      </rPr>
      <t>濃度</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</si>
  <si>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</si>
  <si>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</si>
  <si>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</si>
  <si>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</si>
  <si>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</si>
  <si>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</si>
  <si>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</si>
  <si>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</si>
  <si>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</si>
  <si>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</si>
  <si>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</si>
  <si>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</si>
  <si>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</si>
  <si>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</si>
  <si>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</si>
  <si>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</si>
  <si>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6" type="noConversion"/>
  </si>
  <si>
    <t>8.5~10</t>
    <phoneticPr fontId="6" type="noConversion"/>
  </si>
  <si>
    <t>5~15
(10)</t>
    <phoneticPr fontId="6" type="noConversion"/>
  </si>
  <si>
    <t>\</t>
    <phoneticPr fontId="6" type="noConversion"/>
  </si>
  <si>
    <t>\</t>
    <phoneticPr fontId="6"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</si>
  <si>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</si>
  <si>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t>EC-508A: 25±1kg/EC-508B:8±1Lit</t>
    <phoneticPr fontId="6" type="noConversion"/>
  </si>
  <si>
    <r>
      <t xml:space="preserve">Noàng ñoä  axit ñaëc 1 (13,14)
</t>
    </r>
    <r>
      <rPr>
        <sz val="11"/>
        <rFont val="標楷體"/>
        <family val="4"/>
        <charset val="136"/>
      </rPr>
      <t>鹽酸</t>
    </r>
    <r>
      <rPr>
        <sz val="11"/>
        <rFont val="VNI-Times"/>
      </rPr>
      <t xml:space="preserve"> </t>
    </r>
    <r>
      <rPr>
        <sz val="11"/>
        <rFont val="標楷體"/>
        <family val="4"/>
        <charset val="136"/>
      </rPr>
      <t>濃度</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</si>
  <si>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</si>
  <si>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</si>
  <si>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</si>
  <si>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</si>
  <si>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</si>
  <si>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 xml:space="preserve">BAÙO CAÙO KEÁT QUAÛ HOÙA NGHIEÄM HAÈNG NGAØY Zn-Ni
 </t>
    </r>
    <r>
      <rPr>
        <sz val="16"/>
        <rFont val="細明體"/>
        <family val="3"/>
        <charset val="136"/>
      </rPr>
      <t>吊電化驗結果報告</t>
    </r>
    <phoneticPr fontId="6" type="noConversion"/>
  </si>
  <si>
    <r>
      <t xml:space="preserve">BAÙO CAÙO KEÁT QUAÛ HOÙA NGHIEÄM HAÈNG NGAØY Zn-Ni
 </t>
    </r>
    <r>
      <rPr>
        <sz val="16"/>
        <rFont val="細明體"/>
        <family val="3"/>
        <charset val="136"/>
      </rPr>
      <t>吊電化驗結果報告</t>
    </r>
    <phoneticPr fontId="6"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</si>
  <si>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6" type="noConversion"/>
  </si>
  <si>
    <t>\</t>
    <phoneticPr fontId="6" type="noConversion"/>
  </si>
  <si>
    <t>kg</t>
    <phoneticPr fontId="6" type="noConversion"/>
  </si>
  <si>
    <t>CT-21A: 25kg/CT-21B: 5-10Lit</t>
    <phoneticPr fontId="6" type="noConversion"/>
  </si>
  <si>
    <t>EC-508A: 25kg/EC-508B:4-10Lit</t>
    <phoneticPr fontId="6"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</si>
  <si>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6" type="noConversion"/>
  </si>
  <si>
    <t>kg</t>
    <phoneticPr fontId="6" type="noConversion"/>
  </si>
  <si>
    <r>
      <t xml:space="preserve">BAÙO CAÙO KEÁT QUAÛ HOÙA NGHIEÄM HAÈNG NGAØY Zn-Ni
 </t>
    </r>
    <r>
      <rPr>
        <sz val="16"/>
        <rFont val="細明體"/>
        <family val="3"/>
        <charset val="136"/>
      </rPr>
      <t>吊電化驗結果報告</t>
    </r>
    <phoneticPr fontId="6" type="noConversion"/>
  </si>
  <si>
    <r>
      <t xml:space="preserve">BAÙO CAÙO KEÁT QUAÛ HOÙA NGHIEÄM HAÈNG NGAØY Zn-Ni
 </t>
    </r>
    <r>
      <rPr>
        <sz val="16"/>
        <rFont val="細明體"/>
        <family val="3"/>
        <charset val="136"/>
      </rPr>
      <t>吊電化驗結果報告</t>
    </r>
    <phoneticPr fontId="6"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</si>
  <si>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6" type="noConversion"/>
  </si>
  <si>
    <t>%</t>
    <phoneticPr fontId="6" type="noConversion"/>
  </si>
  <si>
    <t>%</t>
    <phoneticPr fontId="6" type="noConversion"/>
  </si>
  <si>
    <t>CHCl*VHCl=CNaOH*VNaOH</t>
  </si>
  <si>
    <t>CM=(10*C%*D)/M</t>
  </si>
  <si>
    <t>CNaOH=1N</t>
  </si>
  <si>
    <t>VHCl=1</t>
  </si>
  <si>
    <t>M=36.5</t>
  </si>
  <si>
    <t>=&gt;C%=(VNaOH*CNaOH*M)/(VHCl*10*D)</t>
  </si>
  <si>
    <t>CÁCH TÍNH</t>
    <phoneticPr fontId="6" type="noConversion"/>
  </si>
  <si>
    <t>D=1.16</t>
    <phoneticPr fontId="6" type="noConversion"/>
  </si>
  <si>
    <t xml:space="preserve">             =(VNaOH*1*36.5)/(1*10*1.16)</t>
    <phoneticPr fontId="6" type="noConversion"/>
  </si>
  <si>
    <t>PP HÓA NGHIỆM</t>
    <phoneticPr fontId="6"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</si>
  <si>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</si>
  <si>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6" type="noConversion"/>
  </si>
  <si>
    <t>NCC</t>
    <phoneticPr fontId="6" type="noConversion"/>
  </si>
  <si>
    <t>JASCO</t>
    <phoneticPr fontId="6" type="noConversion"/>
  </si>
  <si>
    <r>
      <t>D:\2. Data hoa nghiem\1. PP HÓA NGHIỆM CÁC BỒN-XLBM\HCL-</t>
    </r>
    <r>
      <rPr>
        <u/>
        <sz val="12"/>
        <color theme="10"/>
        <rFont val="Times New Roman"/>
        <family val="1"/>
      </rPr>
      <t>đ</t>
    </r>
    <r>
      <rPr>
        <u/>
        <sz val="12"/>
        <color theme="10"/>
        <rFont val="新細明體"/>
        <family val="1"/>
        <charset val="136"/>
      </rPr>
      <t>ặc, loãng-XM.pdf</t>
    </r>
  </si>
  <si>
    <r>
      <t>H</t>
    </r>
    <r>
      <rPr>
        <sz val="12"/>
        <rFont val="新細明體"/>
        <family val="1"/>
        <charset val="136"/>
      </rPr>
      <t>ALO</t>
    </r>
    <phoneticPr fontId="6" type="noConversion"/>
  </si>
  <si>
    <t>D:\2. Data hoa nghiem\1. PP HÓA NGHIỆM CÁC BỒN-XLBM\HCL hoạt hóa-xt,xm.pdf</t>
  </si>
  <si>
    <t>D:\2. Data hoa nghiem\1. PP HÓA NGHIỆM CÁC BỒN-XLBM\HNO3-XM.pdf</t>
  </si>
  <si>
    <t>CX</t>
    <phoneticPr fontId="6" type="noConversion"/>
  </si>
  <si>
    <r>
      <t>Z</t>
    </r>
    <r>
      <rPr>
        <sz val="12"/>
        <rFont val="新細明體"/>
        <family val="1"/>
        <charset val="136"/>
      </rPr>
      <t>N,JASCO</t>
    </r>
    <phoneticPr fontId="6" type="noConversion"/>
  </si>
  <si>
    <r>
      <rPr>
        <sz val="12"/>
        <rFont val="新細明體"/>
        <family val="1"/>
        <charset val="136"/>
      </rPr>
      <t>NAOH,</t>
    </r>
    <r>
      <rPr>
        <sz val="12"/>
        <rFont val="新細明體"/>
        <family val="1"/>
        <charset val="136"/>
      </rPr>
      <t>H</t>
    </r>
    <r>
      <rPr>
        <sz val="12"/>
        <rFont val="新細明體"/>
        <family val="1"/>
        <charset val="136"/>
      </rPr>
      <t>ALO</t>
    </r>
    <phoneticPr fontId="6" type="noConversion"/>
  </si>
  <si>
    <t>D:\2. Data hoa nghiem\1. PP HÓA NGHIỆM CÁC BỒN-XLBM\HNO3-XT.pdf</t>
  </si>
  <si>
    <t>D:\2. Data hoa nghiem\1. PP HÓA NGHIỆM CÁC BỒN-XLBM\HCL đặc, loãng-XT.pdf</t>
  </si>
  <si>
    <t>D:\2. Data hoa nghiem\1. PP HÓA NGHIỆM CÁC BỒN-XLBM\JASCO-CR3+XT,XL-1E.pdf</t>
  </si>
  <si>
    <t>D:\2. Data hoa nghiem\1. PP HÓA NGHIỆM CÁC BỒN-XLBM\HALO-PPPT_CT-21A-XB-XT,XM-1F.pdf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</si>
  <si>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</si>
  <si>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</si>
  <si>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</si>
  <si>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</si>
  <si>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</si>
  <si>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</si>
  <si>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</si>
  <si>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</si>
  <si>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</si>
  <si>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</si>
  <si>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</si>
  <si>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</si>
  <si>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6" type="noConversion"/>
  </si>
  <si>
    <t>25.09.2022 XT tất cả đổi hóa chất Halo</t>
    <phoneticPr fontId="6" type="noConversion"/>
  </si>
  <si>
    <t>MÀU NIKEN-PH</t>
    <phoneticPr fontId="6" type="noConversion"/>
  </si>
  <si>
    <t>Rua acid (1)</t>
    <phoneticPr fontId="7" type="noConversion"/>
  </si>
  <si>
    <t>pH                     8~10</t>
    <phoneticPr fontId="7" type="noConversion"/>
  </si>
  <si>
    <t>RUA LIEU  G</t>
    <phoneticPr fontId="7" type="noConversion"/>
  </si>
  <si>
    <t>khu dau</t>
    <phoneticPr fontId="7" type="noConversion"/>
  </si>
  <si>
    <t>RUA LIEU  F</t>
    <phoneticPr fontId="7" type="noConversion"/>
  </si>
  <si>
    <t>MANG LOA</t>
    <phoneticPr fontId="7" type="noConversion"/>
  </si>
  <si>
    <t>xà bông 1</t>
    <phoneticPr fontId="7" type="noConversion"/>
  </si>
  <si>
    <t>HNO3</t>
    <phoneticPr fontId="7" type="noConversion"/>
  </si>
  <si>
    <t>đóng lỗ 1 (HK-101A1)</t>
    <phoneticPr fontId="7" type="noConversion"/>
  </si>
  <si>
    <t>đóng lỗ 2 (HK-101A1)</t>
    <phoneticPr fontId="7" type="noConversion"/>
  </si>
  <si>
    <t>Quy đổi nồng độ acid HCl 32% đậm đặc từ %V/V sang nồng độ %</t>
    <phoneticPr fontId="6"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</si>
  <si>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</si>
  <si>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</si>
  <si>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6" type="noConversion"/>
  </si>
  <si>
    <t>100%V/V</t>
    <phoneticPr fontId="6"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</si>
  <si>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</si>
  <si>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</si>
  <si>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6" type="noConversion"/>
  </si>
  <si>
    <t>30%V/V</t>
    <phoneticPr fontId="6" type="noConversion"/>
  </si>
  <si>
    <r>
      <t>Zn</t>
    </r>
    <r>
      <rPr>
        <sz val="11"/>
        <rFont val="細明體"/>
        <family val="3"/>
        <charset val="136"/>
      </rPr>
      <t>鋅</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</si>
  <si>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6" type="noConversion"/>
  </si>
  <si>
    <r>
      <t xml:space="preserve">HCl Đặc </t>
    </r>
    <r>
      <rPr>
        <sz val="11"/>
        <rFont val="細明體"/>
        <family val="3"/>
        <charset val="136"/>
      </rPr>
      <t>濃酸洗</t>
    </r>
    <phoneticPr fontId="6" type="noConversion"/>
  </si>
  <si>
    <t>60%V/V</t>
    <phoneticPr fontId="6" type="noConversion"/>
  </si>
  <si>
    <t>100%V/V</t>
    <phoneticPr fontId="6" type="noConversion"/>
  </si>
  <si>
    <r>
      <t>HCl Loãng</t>
    </r>
    <r>
      <rPr>
        <sz val="11"/>
        <rFont val="細明體"/>
        <family val="3"/>
        <charset val="136"/>
      </rPr>
      <t>弱酸洗</t>
    </r>
    <phoneticPr fontId="6" type="noConversion"/>
  </si>
  <si>
    <t>HCl hoat hoa</t>
    <phoneticPr fontId="6" type="noConversion"/>
  </si>
  <si>
    <r>
      <t>HNO</t>
    </r>
    <r>
      <rPr>
        <vertAlign val="subscript"/>
        <sz val="11"/>
        <rFont val="VNI-Times"/>
      </rPr>
      <t>3</t>
    </r>
    <r>
      <rPr>
        <sz val="11"/>
        <rFont val="VNI-Times"/>
      </rPr>
      <t xml:space="preserve"> </t>
    </r>
    <r>
      <rPr>
        <sz val="11"/>
        <rFont val="細明體"/>
        <family val="3"/>
        <charset val="136"/>
      </rPr>
      <t>硝酸中和</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</si>
  <si>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</si>
  <si>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6" type="noConversion"/>
  </si>
  <si>
    <r>
      <t>Xà bông (2)</t>
    </r>
    <r>
      <rPr>
        <sz val="11"/>
        <rFont val="細明體"/>
        <family val="3"/>
        <charset val="136"/>
      </rPr>
      <t>脫脂</t>
    </r>
  </si>
  <si>
    <r>
      <t>NaOH</t>
    </r>
    <r>
      <rPr>
        <sz val="11"/>
        <rFont val="細明體"/>
        <family val="3"/>
        <charset val="136"/>
      </rPr>
      <t>氫氧化鈉</t>
    </r>
    <phoneticPr fontId="6" type="noConversion"/>
  </si>
  <si>
    <r>
      <t>Zn</t>
    </r>
    <r>
      <rPr>
        <sz val="11"/>
        <rFont val="細明體"/>
        <family val="3"/>
        <charset val="136"/>
      </rPr>
      <t>鋅</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</si>
  <si>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6" type="noConversion"/>
  </si>
  <si>
    <t>Zn</t>
    <phoneticPr fontId="6" type="noConversion"/>
  </si>
  <si>
    <t>HCl Loãng (%)</t>
    <phoneticPr fontId="6" type="noConversion"/>
  </si>
  <si>
    <r>
      <t>HNO</t>
    </r>
    <r>
      <rPr>
        <vertAlign val="subscript"/>
        <sz val="11"/>
        <rFont val="VNI-Times"/>
      </rPr>
      <t>3</t>
    </r>
    <r>
      <rPr>
        <sz val="11"/>
        <rFont val="VNI-Times"/>
      </rPr>
      <t xml:space="preserve"> (%)</t>
    </r>
    <phoneticPr fontId="6" type="noConversion"/>
  </si>
  <si>
    <t>Niken (bồn Zn-Niken)</t>
    <phoneticPr fontId="6" type="noConversion"/>
  </si>
  <si>
    <t xml:space="preserve">PP HÓA NGHIỆM </t>
    <phoneticPr fontId="6"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</si>
  <si>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</si>
  <si>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</si>
  <si>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</si>
  <si>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</si>
  <si>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</si>
  <si>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6" type="noConversion"/>
  </si>
  <si>
    <t>RLG-KD</t>
    <phoneticPr fontId="6" type="noConversion"/>
  </si>
  <si>
    <t>RLG-HCL1</t>
    <phoneticPr fontId="6" type="noConversion"/>
  </si>
  <si>
    <t>RLG-PPTA</t>
    <phoneticPr fontId="6" type="noConversion"/>
  </si>
  <si>
    <t>RLG-PPAX</t>
    <phoneticPr fontId="6" type="noConversion"/>
  </si>
  <si>
    <t>RLG-PPPL</t>
    <phoneticPr fontId="6" type="noConversion"/>
  </si>
  <si>
    <t>RLG-XB</t>
    <phoneticPr fontId="6" type="noConversion"/>
  </si>
  <si>
    <t>RLG-XBPH</t>
    <phoneticPr fontId="6" type="noConversion"/>
  </si>
  <si>
    <t>RLG-TEMKD</t>
    <phoneticPr fontId="6" type="noConversion"/>
  </si>
  <si>
    <r>
      <t>55~65</t>
    </r>
    <r>
      <rPr>
        <vertAlign val="superscript"/>
        <sz val="12"/>
        <color theme="1"/>
        <rFont val="Times New Roman"/>
        <family val="1"/>
      </rPr>
      <t>O</t>
    </r>
    <r>
      <rPr>
        <sz val="12"/>
        <color theme="1"/>
        <rFont val="Times New Roman"/>
        <family val="1"/>
      </rPr>
      <t>C</t>
    </r>
  </si>
  <si>
    <t>RLG-TEMPP</t>
    <phoneticPr fontId="6" type="noConversion"/>
  </si>
  <si>
    <t>RLG-XB</t>
    <phoneticPr fontId="6"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</si>
  <si>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6" type="noConversion"/>
  </si>
  <si>
    <t xml:space="preserve">PP HÓA NGHIỆM </t>
    <phoneticPr fontId="6" type="noConversion"/>
  </si>
  <si>
    <t>RLF-KD</t>
    <phoneticPr fontId="6" type="noConversion"/>
  </si>
  <si>
    <t>RLF-HCL1</t>
    <phoneticPr fontId="6" type="noConversion"/>
  </si>
  <si>
    <t>RLF-PP1TA</t>
    <phoneticPr fontId="6" type="noConversion"/>
  </si>
  <si>
    <t>RLF-PP1AX</t>
    <phoneticPr fontId="6" type="noConversion"/>
  </si>
  <si>
    <t>RLF-PP1PL</t>
    <phoneticPr fontId="6" type="noConversion"/>
  </si>
  <si>
    <t>RLF-XB</t>
    <phoneticPr fontId="6" type="noConversion"/>
  </si>
  <si>
    <t>RLF-XBPH</t>
    <phoneticPr fontId="6" type="noConversion"/>
  </si>
  <si>
    <t>RLF-TEMKD</t>
    <phoneticPr fontId="6" type="noConversion"/>
  </si>
  <si>
    <t>RLF-TEMPP2</t>
    <phoneticPr fontId="6" type="noConversion"/>
  </si>
  <si>
    <t>RLF-TEMXB</t>
    <phoneticPr fontId="6" type="noConversion"/>
  </si>
  <si>
    <r>
      <rPr>
        <sz val="12"/>
        <color theme="1"/>
        <rFont val="細明體"/>
        <family val="3"/>
        <charset val="136"/>
      </rPr>
      <t>生產線別：</t>
    </r>
    <r>
      <rPr>
        <sz val="12"/>
        <color theme="1"/>
        <rFont val="Times New Roman"/>
        <family val="1"/>
      </rPr>
      <t>XI ĐEN - epoxy</t>
    </r>
    <phoneticPr fontId="6" type="noConversion"/>
  </si>
  <si>
    <t xml:space="preserve">PP HÓA NGHIỆM </t>
    <phoneticPr fontId="6" type="noConversion"/>
  </si>
  <si>
    <t>HALO</t>
    <phoneticPr fontId="6" type="noConversion"/>
  </si>
  <si>
    <t>5~15
(10)</t>
    <phoneticPr fontId="6" type="noConversion"/>
  </si>
  <si>
    <t>\</t>
    <phoneticPr fontId="6" type="noConversion"/>
  </si>
  <si>
    <t>\</t>
    <phoneticPr fontId="6" type="noConversion"/>
  </si>
  <si>
    <t xml:space="preserve">PP HÓA NGHIỆM </t>
    <phoneticPr fontId="6" type="noConversion"/>
  </si>
  <si>
    <t>L</t>
    <phoneticPr fontId="6" type="noConversion"/>
  </si>
  <si>
    <r>
      <rPr>
        <sz val="12"/>
        <color theme="1"/>
        <rFont val="細明體"/>
        <family val="3"/>
        <charset val="136"/>
      </rPr>
      <t>陽極處理槽</t>
    </r>
    <r>
      <rPr>
        <sz val="12"/>
        <color theme="1"/>
        <rFont val="Times New Roman"/>
        <family val="1"/>
      </rPr>
      <t xml:space="preserve">  dương cực  H2SO4 (18)</t>
    </r>
    <phoneticPr fontId="6" type="noConversion"/>
  </si>
  <si>
    <r>
      <rPr>
        <sz val="12"/>
        <color theme="1"/>
        <rFont val="細明體"/>
        <family val="3"/>
        <charset val="136"/>
      </rPr>
      <t>陽極處理槽</t>
    </r>
    <r>
      <rPr>
        <sz val="12"/>
        <color theme="1"/>
        <rFont val="Times New Roman"/>
        <family val="1"/>
      </rPr>
      <t xml:space="preserve"> dương cực Al3+ (18)</t>
    </r>
    <phoneticPr fontId="6" type="noConversion"/>
  </si>
  <si>
    <r>
      <rPr>
        <sz val="12"/>
        <color theme="1"/>
        <rFont val="細明體"/>
        <family val="3"/>
        <charset val="136"/>
      </rPr>
      <t>陽極處理槽</t>
    </r>
    <r>
      <rPr>
        <sz val="12"/>
        <color theme="1"/>
        <rFont val="Times New Roman"/>
        <family val="1"/>
      </rPr>
      <t xml:space="preserve">  dương cực  H2SO4 (19)</t>
    </r>
    <phoneticPr fontId="6" type="noConversion"/>
  </si>
  <si>
    <r>
      <rPr>
        <sz val="12"/>
        <color theme="1"/>
        <rFont val="細明體"/>
        <family val="3"/>
        <charset val="136"/>
      </rPr>
      <t>陽極處理槽</t>
    </r>
    <r>
      <rPr>
        <sz val="12"/>
        <color theme="1"/>
        <rFont val="Times New Roman"/>
        <family val="1"/>
      </rPr>
      <t xml:space="preserve"> dương cực Al3+ (19)</t>
    </r>
    <phoneticPr fontId="6" type="noConversion"/>
  </si>
  <si>
    <r>
      <rPr>
        <sz val="12"/>
        <color theme="1"/>
        <rFont val="細明體"/>
        <family val="3"/>
        <charset val="136"/>
      </rPr>
      <t>陽極處理槽</t>
    </r>
    <r>
      <rPr>
        <sz val="12"/>
        <color theme="1"/>
        <rFont val="Times New Roman"/>
        <family val="1"/>
      </rPr>
      <t xml:space="preserve">  dương cực  H2SO4 (20)</t>
    </r>
    <phoneticPr fontId="6" type="noConversion"/>
  </si>
  <si>
    <r>
      <rPr>
        <sz val="12"/>
        <color theme="1"/>
        <rFont val="細明體"/>
        <family val="3"/>
        <charset val="136"/>
      </rPr>
      <t>陽極處理槽</t>
    </r>
    <r>
      <rPr>
        <sz val="12"/>
        <color theme="1"/>
        <rFont val="Times New Roman"/>
        <family val="1"/>
      </rPr>
      <t xml:space="preserve"> dương cực Al3+ (20)</t>
    </r>
    <phoneticPr fontId="6"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</si>
  <si>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</si>
  <si>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6"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</si>
  <si>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</si>
  <si>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6"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</si>
  <si>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6" type="noConversion"/>
  </si>
  <si>
    <r>
      <t>30~60ºC
(45±5</t>
    </r>
    <r>
      <rPr>
        <vertAlign val="superscript"/>
        <sz val="12"/>
        <color theme="1"/>
        <rFont val="Times New Roman"/>
        <family val="1"/>
      </rPr>
      <t>o</t>
    </r>
    <r>
      <rPr>
        <sz val="12"/>
        <color theme="1"/>
        <rFont val="Times New Roman"/>
        <family val="1"/>
      </rPr>
      <t>C)</t>
    </r>
  </si>
  <si>
    <r>
      <t>42~47ºC
(44±2</t>
    </r>
    <r>
      <rPr>
        <vertAlign val="superscript"/>
        <sz val="12"/>
        <color theme="1"/>
        <rFont val="Times New Roman"/>
        <family val="1"/>
      </rPr>
      <t>o</t>
    </r>
    <r>
      <rPr>
        <sz val="12"/>
        <color theme="1"/>
        <rFont val="Times New Roman"/>
        <family val="1"/>
      </rPr>
      <t>C)</t>
    </r>
  </si>
  <si>
    <r>
      <t>55~65ºC
(60±3</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</si>
  <si>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</si>
  <si>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6" type="noConversion"/>
  </si>
  <si>
    <r>
      <t>55~65</t>
    </r>
    <r>
      <rPr>
        <vertAlign val="superscript"/>
        <sz val="10"/>
        <color theme="1"/>
        <rFont val="VNI-Times"/>
      </rPr>
      <t>O</t>
    </r>
    <r>
      <rPr>
        <sz val="10"/>
        <color theme="1"/>
        <rFont val="VNI-Times"/>
      </rPr>
      <t>C</t>
    </r>
  </si>
  <si>
    <t>..\..\..\2. Data hoa nghiem\1. PP HÓA NGHIỆM CÁC BỒN-XLBM\JASCO-Phương pháp phân tích ZN-Ni-XT.pdf</t>
  </si>
  <si>
    <t>CT-21A: 25kg/CT-21B:8±1Lit</t>
    <phoneticPr fontId="6" type="noConversion"/>
  </si>
  <si>
    <r>
      <t xml:space="preserve">chất bóng (250 brightener)
</t>
    </r>
    <r>
      <rPr>
        <sz val="11"/>
        <color theme="1"/>
        <rFont val="細明體"/>
        <family val="3"/>
        <charset val="136"/>
      </rPr>
      <t>光亮劑</t>
    </r>
    <phoneticPr fontId="6"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</si>
  <si>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6"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</si>
  <si>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6" type="noConversion"/>
  </si>
  <si>
    <r>
      <t xml:space="preserve">chất bóng (250 brightener)
</t>
    </r>
    <r>
      <rPr>
        <sz val="11"/>
        <color theme="1"/>
        <rFont val="細明體"/>
        <family val="3"/>
        <charset val="136"/>
      </rPr>
      <t>光亮劑</t>
    </r>
    <phoneticPr fontId="6" type="noConversion"/>
  </si>
  <si>
    <t>dm</t>
    <phoneticPr fontId="6" type="noConversion"/>
  </si>
  <si>
    <t>90% thể tích bồn</t>
    <phoneticPr fontId="6"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</si>
  <si>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</si>
  <si>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</si>
  <si>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</si>
  <si>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</si>
  <si>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</si>
  <si>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</si>
  <si>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6" type="noConversion"/>
  </si>
  <si>
    <t>1. hàng sạch đã rửa acid</t>
    <phoneticPr fontId="6" type="noConversion"/>
  </si>
  <si>
    <t>2. pha 1,7 lít nước + 300ml niken hóa+ nhúng 11 phút</t>
    <phoneticPr fontId="6" type="noConversion"/>
  </si>
  <si>
    <t>3. xịt +sấy</t>
    <phoneticPr fontId="6" type="noConversion"/>
  </si>
  <si>
    <r>
      <t>thể tích chuy</t>
    </r>
    <r>
      <rPr>
        <sz val="11"/>
        <color rgb="FF0000FF"/>
        <rFont val="新細明體"/>
        <family val="2"/>
        <charset val="134"/>
      </rPr>
      <t>ề</t>
    </r>
    <r>
      <rPr>
        <sz val="11"/>
        <color rgb="FF0000FF"/>
        <rFont val="Times New Roman"/>
        <family val="1"/>
      </rPr>
      <t>n RỬA LiỆU RL-G, RL-F</t>
    </r>
    <phoneticPr fontId="6" type="noConversion"/>
  </si>
  <si>
    <t>khử dầu</t>
    <phoneticPr fontId="6" type="noConversion"/>
  </si>
  <si>
    <t>acid</t>
    <phoneticPr fontId="6" type="noConversion"/>
  </si>
  <si>
    <t>photphas</t>
    <phoneticPr fontId="6" type="noConversion"/>
  </si>
  <si>
    <t>xà bông</t>
    <phoneticPr fontId="6" type="noConversion"/>
  </si>
  <si>
    <t xml:space="preserve">rộng </t>
    <phoneticPr fontId="6" type="noConversion"/>
  </si>
  <si>
    <t>dm</t>
    <phoneticPr fontId="6" type="noConversion"/>
  </si>
  <si>
    <t>dài</t>
    <phoneticPr fontId="6" type="noConversion"/>
  </si>
  <si>
    <t>cao</t>
    <phoneticPr fontId="6"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</si>
  <si>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6" type="noConversion"/>
  </si>
  <si>
    <r>
      <t>thêm chất bóng thì mi</t>
    </r>
    <r>
      <rPr>
        <sz val="11"/>
        <color rgb="FF0000FF"/>
        <rFont val="細明體"/>
        <family val="3"/>
        <charset val="136"/>
      </rPr>
      <t>ế</t>
    </r>
    <r>
      <rPr>
        <sz val="11"/>
        <color rgb="FF0000FF"/>
        <rFont val="Times New Roman"/>
        <family val="1"/>
      </rPr>
      <t>ng hucell độ dày tăng</t>
    </r>
    <phoneticPr fontId="6" type="noConversion"/>
  </si>
  <si>
    <t>kg</t>
    <phoneticPr fontId="6" type="noConversion"/>
  </si>
  <si>
    <t>L</t>
    <phoneticPr fontId="6" type="noConversion"/>
  </si>
  <si>
    <t>* pha mới màu halo xt (nồng độ 6%): 11 thung</t>
    <phoneticPr fontId="6" type="noConversion"/>
  </si>
  <si>
    <t>* pha mới màu jasco xt (nồng độ 12%): 6 thùng 173A+11 thùng 174H</t>
    <phoneticPr fontId="6"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</si>
  <si>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</si>
  <si>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</si>
  <si>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</si>
  <si>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</si>
  <si>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</si>
  <si>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</si>
  <si>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6" type="noConversion"/>
  </si>
  <si>
    <t>TIEU CHUAN</t>
    <phoneticPr fontId="6"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</si>
  <si>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6" type="noConversion"/>
  </si>
  <si>
    <t>NCC</t>
    <phoneticPr fontId="6" type="noConversion"/>
  </si>
  <si>
    <t>JASCO</t>
    <phoneticPr fontId="6" type="noConversion"/>
  </si>
  <si>
    <t>HALO</t>
    <phoneticPr fontId="6" type="noConversion"/>
  </si>
  <si>
    <t>JASCO</t>
    <phoneticPr fontId="6" type="noConversion"/>
  </si>
  <si>
    <t>TIEU CHUAN</t>
    <phoneticPr fontId="6" type="noConversion"/>
  </si>
  <si>
    <t>NCC</t>
    <phoneticPr fontId="6"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</si>
  <si>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6"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</si>
  <si>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</si>
  <si>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6" type="noConversion"/>
  </si>
  <si>
    <t>kg</t>
    <phoneticPr fontId="6" type="noConversion"/>
  </si>
  <si>
    <t>+</t>
    <phoneticPr fontId="6" type="noConversion"/>
  </si>
  <si>
    <t>L</t>
    <phoneticPr fontId="6" type="noConversion"/>
  </si>
  <si>
    <t>L</t>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</si>
  <si>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</si>
  <si>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</si>
  <si>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</si>
  <si>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</si>
  <si>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6"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</si>
  <si>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6"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</si>
  <si>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6"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</si>
  <si>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6"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</si>
  <si>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6" type="noConversion"/>
  </si>
  <si>
    <t>L</t>
    <phoneticPr fontId="6" type="noConversion"/>
  </si>
  <si>
    <t>\</t>
    <phoneticPr fontId="6" type="noConversion"/>
  </si>
  <si>
    <t>8.5~10</t>
    <phoneticPr fontId="6"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</si>
  <si>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</si>
  <si>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</si>
  <si>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6" type="noConversion"/>
  </si>
  <si>
    <t>RLG-PPAX</t>
    <phoneticPr fontId="6" type="noConversion"/>
  </si>
  <si>
    <t>RLG-PPPL</t>
    <phoneticPr fontId="6" type="noConversion"/>
  </si>
  <si>
    <t>RLG-XB</t>
    <phoneticPr fontId="6" type="noConversion"/>
  </si>
  <si>
    <t>RLG-XBPH</t>
    <phoneticPr fontId="6" type="noConversion"/>
  </si>
  <si>
    <t>8.5~10</t>
    <phoneticPr fontId="6" type="noConversion"/>
  </si>
  <si>
    <t>RLG-TEMKD</t>
    <phoneticPr fontId="6" type="noConversion"/>
  </si>
  <si>
    <r>
      <t>55~65</t>
    </r>
    <r>
      <rPr>
        <vertAlign val="superscript"/>
        <sz val="12"/>
        <rFont val="Times New Roman"/>
        <family val="1"/>
      </rPr>
      <t>O</t>
    </r>
    <r>
      <rPr>
        <sz val="12"/>
        <rFont val="Times New Roman"/>
        <family val="1"/>
      </rPr>
      <t>C</t>
    </r>
  </si>
  <si>
    <t>RLG-TEMPP</t>
    <phoneticPr fontId="6" type="noConversion"/>
  </si>
  <si>
    <t>RLG-XB</t>
    <phoneticPr fontId="6"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</si>
  <si>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6" type="noConversion"/>
  </si>
  <si>
    <t>RLF-KD</t>
    <phoneticPr fontId="6" type="noConversion"/>
  </si>
  <si>
    <t>RLF-HCL1</t>
    <phoneticPr fontId="6" type="noConversion"/>
  </si>
  <si>
    <t>RLF-PP1TA</t>
    <phoneticPr fontId="6" type="noConversion"/>
  </si>
  <si>
    <t>RLF-PP1AX</t>
    <phoneticPr fontId="6" type="noConversion"/>
  </si>
  <si>
    <t>RLF-PP1PL</t>
    <phoneticPr fontId="6" type="noConversion"/>
  </si>
  <si>
    <t>RLF-XB</t>
    <phoneticPr fontId="6" type="noConversion"/>
  </si>
  <si>
    <t>RLF-XBPH</t>
    <phoneticPr fontId="6" type="noConversion"/>
  </si>
  <si>
    <t>RLF-TEMKD</t>
    <phoneticPr fontId="6" type="noConversion"/>
  </si>
  <si>
    <t>RLF-TEMPP2</t>
    <phoneticPr fontId="6" type="noConversion"/>
  </si>
  <si>
    <t>RLF-TEMXB</t>
    <phoneticPr fontId="6" type="noConversion"/>
  </si>
  <si>
    <t>5~15
(10)</t>
    <phoneticPr fontId="6" type="noConversion"/>
  </si>
  <si>
    <t>\</t>
    <phoneticPr fontId="6" type="noConversion"/>
  </si>
  <si>
    <t>\</t>
    <phoneticPr fontId="6" type="noConversion"/>
  </si>
  <si>
    <r>
      <rPr>
        <sz val="12"/>
        <rFont val="細明體"/>
        <family val="3"/>
        <charset val="136"/>
      </rPr>
      <t>陽極處理槽</t>
    </r>
    <r>
      <rPr>
        <sz val="12"/>
        <rFont val="Times New Roman"/>
        <family val="1"/>
      </rPr>
      <t xml:space="preserve">  dương cực  H2SO4 (18)</t>
    </r>
    <phoneticPr fontId="6" type="noConversion"/>
  </si>
  <si>
    <r>
      <rPr>
        <sz val="12"/>
        <rFont val="細明體"/>
        <family val="3"/>
        <charset val="136"/>
      </rPr>
      <t>陽極處理槽</t>
    </r>
    <r>
      <rPr>
        <sz val="12"/>
        <rFont val="Times New Roman"/>
        <family val="1"/>
      </rPr>
      <t xml:space="preserve"> dương cực Al3+ (18)</t>
    </r>
    <phoneticPr fontId="6" type="noConversion"/>
  </si>
  <si>
    <r>
      <rPr>
        <sz val="12"/>
        <rFont val="細明體"/>
        <family val="3"/>
        <charset val="136"/>
      </rPr>
      <t>陽極處理槽</t>
    </r>
    <r>
      <rPr>
        <sz val="12"/>
        <rFont val="Times New Roman"/>
        <family val="1"/>
      </rPr>
      <t xml:space="preserve">  dương cực  H2SO4 (19)</t>
    </r>
    <phoneticPr fontId="6" type="noConversion"/>
  </si>
  <si>
    <r>
      <rPr>
        <sz val="12"/>
        <rFont val="細明體"/>
        <family val="3"/>
        <charset val="136"/>
      </rPr>
      <t>陽極處理槽</t>
    </r>
    <r>
      <rPr>
        <sz val="12"/>
        <rFont val="Times New Roman"/>
        <family val="1"/>
      </rPr>
      <t xml:space="preserve"> dương cực Al3+ (19)</t>
    </r>
    <phoneticPr fontId="6" type="noConversion"/>
  </si>
  <si>
    <r>
      <rPr>
        <sz val="12"/>
        <rFont val="細明體"/>
        <family val="3"/>
        <charset val="136"/>
      </rPr>
      <t>陽極處理槽</t>
    </r>
    <r>
      <rPr>
        <sz val="12"/>
        <rFont val="Times New Roman"/>
        <family val="1"/>
      </rPr>
      <t xml:space="preserve">  dương cực  H2SO4 (20)</t>
    </r>
    <phoneticPr fontId="6" type="noConversion"/>
  </si>
  <si>
    <r>
      <rPr>
        <sz val="12"/>
        <rFont val="細明體"/>
        <family val="3"/>
        <charset val="136"/>
      </rPr>
      <t>陽極處理槽</t>
    </r>
    <r>
      <rPr>
        <sz val="12"/>
        <rFont val="Times New Roman"/>
        <family val="1"/>
      </rPr>
      <t xml:space="preserve"> dương cực Al3+ (20)</t>
    </r>
    <phoneticPr fontId="6" type="noConversion"/>
  </si>
  <si>
    <r>
      <t>45~65ºC
(55±8</t>
    </r>
    <r>
      <rPr>
        <vertAlign val="superscript"/>
        <sz val="12"/>
        <rFont val="Times New Roman"/>
        <family val="1"/>
      </rPr>
      <t>o</t>
    </r>
    <r>
      <rPr>
        <sz val="12"/>
        <rFont val="Times New Roman"/>
        <family val="1"/>
      </rPr>
      <t>C)</t>
    </r>
  </si>
  <si>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6" type="noConversion"/>
  </si>
  <si>
    <r>
      <t>18~25ºC
(22±2</t>
    </r>
    <r>
      <rPr>
        <vertAlign val="superscript"/>
        <sz val="12"/>
        <rFont val="Times New Roman"/>
        <family val="1"/>
      </rPr>
      <t>o</t>
    </r>
    <r>
      <rPr>
        <sz val="12"/>
        <rFont val="Times New Roman"/>
        <family val="1"/>
      </rPr>
      <t>C)</t>
    </r>
  </si>
  <si>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6"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</si>
  <si>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6" type="noConversion"/>
  </si>
  <si>
    <r>
      <t>30~60ºC
(45±5</t>
    </r>
    <r>
      <rPr>
        <vertAlign val="superscript"/>
        <sz val="12"/>
        <rFont val="Times New Roman"/>
        <family val="1"/>
      </rPr>
      <t>o</t>
    </r>
    <r>
      <rPr>
        <sz val="12"/>
        <rFont val="Times New Roman"/>
        <family val="1"/>
      </rPr>
      <t>C)</t>
    </r>
  </si>
  <si>
    <r>
      <t>42~47ºC
(44±2</t>
    </r>
    <r>
      <rPr>
        <vertAlign val="superscript"/>
        <sz val="12"/>
        <rFont val="Times New Roman"/>
        <family val="1"/>
      </rPr>
      <t>o</t>
    </r>
    <r>
      <rPr>
        <sz val="12"/>
        <rFont val="Times New Roman"/>
        <family val="1"/>
      </rPr>
      <t>C)</t>
    </r>
  </si>
  <si>
    <r>
      <t>55~65ºC
(60±3</t>
    </r>
    <r>
      <rPr>
        <vertAlign val="superscript"/>
        <sz val="12"/>
        <rFont val="Times New Roman"/>
        <family val="1"/>
      </rPr>
      <t>o</t>
    </r>
    <r>
      <rPr>
        <sz val="12"/>
        <rFont val="Times New Roman"/>
        <family val="1"/>
      </rPr>
      <t>C)</t>
    </r>
  </si>
  <si>
    <r>
      <t>100~110ºC
(100±5</t>
    </r>
    <r>
      <rPr>
        <vertAlign val="superscript"/>
        <sz val="12"/>
        <rFont val="Times New Roman"/>
        <family val="1"/>
      </rPr>
      <t>o</t>
    </r>
    <r>
      <rPr>
        <sz val="12"/>
        <rFont val="Times New Roman"/>
        <family val="1"/>
      </rPr>
      <t>C)</t>
    </r>
  </si>
  <si>
    <t xml:space="preserve">Type sample </t>
    <phoneticPr fontId="182" type="noConversion"/>
  </si>
  <si>
    <t xml:space="preserve">Test Item </t>
    <phoneticPr fontId="182" type="noConversion"/>
  </si>
  <si>
    <t>Unit</t>
    <phoneticPr fontId="182" type="noConversion"/>
  </si>
  <si>
    <t xml:space="preserve"> Result</t>
    <phoneticPr fontId="182" type="noConversion"/>
  </si>
  <si>
    <r>
      <t>Zn</t>
    </r>
    <r>
      <rPr>
        <vertAlign val="superscript"/>
        <sz val="11"/>
        <color theme="1"/>
        <rFont val="Times New Roman"/>
        <family val="1"/>
      </rPr>
      <t>2+</t>
    </r>
    <phoneticPr fontId="182" type="noConversion"/>
  </si>
  <si>
    <t>g/l</t>
    <phoneticPr fontId="182" type="noConversion"/>
  </si>
  <si>
    <t>NaOH</t>
    <phoneticPr fontId="182"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</si>
  <si>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82" type="noConversion"/>
  </si>
  <si>
    <t>Fe</t>
    <phoneticPr fontId="182" type="noConversion"/>
  </si>
  <si>
    <t>&lt;5</t>
  </si>
  <si>
    <t>ppm</t>
    <phoneticPr fontId="182" type="noConversion"/>
  </si>
  <si>
    <t>Cu</t>
    <phoneticPr fontId="182" type="noConversion"/>
  </si>
  <si>
    <t>Cr</t>
    <phoneticPr fontId="182" type="noConversion"/>
  </si>
  <si>
    <t>Pb</t>
    <phoneticPr fontId="182" type="noConversion"/>
  </si>
  <si>
    <t>Màu K (5U109A)</t>
    <phoneticPr fontId="182" type="noConversion"/>
  </si>
  <si>
    <t>%</t>
    <phoneticPr fontId="182" type="noConversion"/>
  </si>
  <si>
    <t>pH</t>
    <phoneticPr fontId="182" type="noConversion"/>
  </si>
  <si>
    <t>/</t>
    <phoneticPr fontId="182" type="noConversion"/>
  </si>
  <si>
    <t>(2.1±0.1 )</t>
  </si>
  <si>
    <t>＜5ppm</t>
  </si>
  <si>
    <t>Zn</t>
    <phoneticPr fontId="182" type="noConversion"/>
  </si>
  <si>
    <t>Lanthane 318</t>
    <phoneticPr fontId="182" type="noConversion"/>
  </si>
  <si>
    <t>Finidip 124</t>
    <phoneticPr fontId="182" type="noConversion"/>
  </si>
  <si>
    <r>
      <t>Ni</t>
    </r>
    <r>
      <rPr>
        <vertAlign val="superscript"/>
        <sz val="11"/>
        <color theme="1"/>
        <rFont val="Times New Roman"/>
        <family val="1"/>
      </rPr>
      <t>2+</t>
    </r>
    <phoneticPr fontId="182" type="noConversion"/>
  </si>
  <si>
    <t xml:space="preserve"> MẪU GỬI  NHÀ CUNG ỨNG</t>
    <phoneticPr fontId="182" type="noConversion"/>
  </si>
  <si>
    <t>Cr2O3 (TR173AH)</t>
    <phoneticPr fontId="182" type="noConversion"/>
  </si>
  <si>
    <t>&lt;80</t>
    <phoneticPr fontId="182" type="noConversion"/>
  </si>
  <si>
    <r>
      <rPr>
        <sz val="10"/>
        <rFont val="細明體"/>
        <family val="3"/>
        <charset val="136"/>
      </rPr>
      <t>＜</t>
    </r>
    <r>
      <rPr>
        <sz val="10"/>
        <rFont val="Times New Roman"/>
        <family val="1"/>
      </rPr>
      <t>5</t>
    </r>
    <phoneticPr fontId="182" type="noConversion"/>
  </si>
  <si>
    <t>Màu Ni (988C1)</t>
    <phoneticPr fontId="6" type="noConversion"/>
  </si>
  <si>
    <t>Màu Ni (988S1)</t>
    <phoneticPr fontId="6" type="noConversion"/>
  </si>
  <si>
    <t>ml/l</t>
    <phoneticPr fontId="6" type="noConversion"/>
  </si>
  <si>
    <t>50-100</t>
    <phoneticPr fontId="6" type="noConversion"/>
  </si>
  <si>
    <t>15-35</t>
    <phoneticPr fontId="6" type="noConversion"/>
  </si>
  <si>
    <t>Standards</t>
    <phoneticPr fontId="182" type="noConversion"/>
  </si>
  <si>
    <r>
      <rPr>
        <sz val="10"/>
        <rFont val="細明體"/>
        <family val="3"/>
        <charset val="136"/>
      </rPr>
      <t>＜</t>
    </r>
    <r>
      <rPr>
        <sz val="10"/>
        <rFont val="Times New Roman"/>
        <family val="1"/>
      </rPr>
      <t>70g/L</t>
    </r>
    <phoneticPr fontId="182" type="noConversion"/>
  </si>
  <si>
    <t>1-1.8</t>
    <phoneticPr fontId="219" type="noConversion"/>
  </si>
  <si>
    <r>
      <rPr>
        <sz val="10"/>
        <rFont val="細明體"/>
        <family val="3"/>
        <charset val="136"/>
      </rPr>
      <t>＜</t>
    </r>
    <r>
      <rPr>
        <sz val="10"/>
        <rFont val="Times New Roman"/>
        <family val="1"/>
      </rPr>
      <t>80mg/L</t>
    </r>
    <phoneticPr fontId="219" type="noConversion"/>
  </si>
  <si>
    <r>
      <rPr>
        <sz val="10"/>
        <rFont val="細明體"/>
        <family val="3"/>
        <charset val="136"/>
      </rPr>
      <t>＜</t>
    </r>
    <r>
      <rPr>
        <sz val="10"/>
        <rFont val="Times New Roman"/>
        <family val="1"/>
      </rPr>
      <t>5ppm</t>
    </r>
    <phoneticPr fontId="219" type="noConversion"/>
  </si>
  <si>
    <r>
      <rPr>
        <sz val="10"/>
        <rFont val="細明體"/>
        <family val="3"/>
        <charset val="136"/>
      </rPr>
      <t>＜</t>
    </r>
    <r>
      <rPr>
        <sz val="10"/>
        <rFont val="Times New Roman"/>
        <family val="1"/>
      </rPr>
      <t>7000ppm</t>
    </r>
    <phoneticPr fontId="182" type="noConversion"/>
  </si>
  <si>
    <t>Màu K (5U109A)
 (XL-1E)</t>
    <phoneticPr fontId="182" type="noConversion"/>
  </si>
  <si>
    <t>Akaline Zinc 
(XL-1F)</t>
    <phoneticPr fontId="182" type="noConversion"/>
  </si>
  <si>
    <t>Akaline Zinc 
(XT-0C)</t>
    <phoneticPr fontId="182" type="noConversion"/>
  </si>
  <si>
    <t>Nickel Zinc 
(XT-0C)</t>
    <phoneticPr fontId="182" type="noConversion"/>
  </si>
  <si>
    <t>Màu K (5U109A)
 (XT-0C)</t>
    <phoneticPr fontId="182" type="noConversion"/>
  </si>
  <si>
    <t>Màu Ni 
(XT-0C)</t>
    <phoneticPr fontId="6" type="noConversion"/>
  </si>
  <si>
    <t>NCC</t>
    <phoneticPr fontId="6" type="noConversion"/>
  </si>
  <si>
    <t>HALO</t>
    <phoneticPr fontId="6" type="noConversion"/>
  </si>
  <si>
    <t>JASCO</t>
    <phoneticPr fontId="6" type="noConversion"/>
  </si>
  <si>
    <t>JASCO</t>
    <phoneticPr fontId="6" type="noConversion"/>
  </si>
  <si>
    <t>Màu (I) (Lanthane 318)
(XL-1F)</t>
    <phoneticPr fontId="182" type="noConversion"/>
  </si>
  <si>
    <t>Màu (K) (Finidip 124)
 (XL-1F)</t>
    <phoneticPr fontId="182" type="noConversion"/>
  </si>
  <si>
    <t>Màu (I) (TR173AH) 
 (XT-0C)</t>
    <phoneticPr fontId="182" type="noConversion"/>
  </si>
  <si>
    <t>Màu (I)  (Lanthane 318)
 (XT-0C)</t>
    <phoneticPr fontId="182" type="noConversion"/>
  </si>
  <si>
    <t>Màu (I) (TR173AH) 
(XL-1E)</t>
    <phoneticPr fontId="182" type="noConversion"/>
  </si>
  <si>
    <t>Na2CO3</t>
    <phoneticPr fontId="6" type="noConversion"/>
  </si>
  <si>
    <t>1E</t>
    <phoneticPr fontId="6" type="noConversion"/>
  </si>
  <si>
    <t>1F</t>
    <phoneticPr fontId="6" type="noConversion"/>
  </si>
  <si>
    <t>XT</t>
    <phoneticPr fontId="6" type="noConversion"/>
  </si>
  <si>
    <t>JASCO</t>
    <phoneticPr fontId="6" type="noConversion"/>
  </si>
  <si>
    <t>HALO</t>
    <phoneticPr fontId="6" type="noConversion"/>
  </si>
  <si>
    <t>Akaline Zinc 
(XL-1E)</t>
    <phoneticPr fontId="182" type="noConversion"/>
  </si>
  <si>
    <t>XL-1F</t>
    <phoneticPr fontId="6" type="noConversion"/>
  </si>
  <si>
    <t>XT-0C</t>
    <phoneticPr fontId="6" type="noConversion"/>
  </si>
  <si>
    <t>XL-1E</t>
    <phoneticPr fontId="6"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</si>
  <si>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82" type="noConversion"/>
  </si>
  <si>
    <r>
      <rPr>
        <sz val="10"/>
        <rFont val="細明體"/>
        <family val="3"/>
        <charset val="136"/>
      </rPr>
      <t>＜</t>
    </r>
    <r>
      <rPr>
        <sz val="10"/>
        <rFont val="Times New Roman"/>
        <family val="1"/>
      </rPr>
      <t>70g/L</t>
    </r>
    <phoneticPr fontId="182" type="noConversion"/>
  </si>
  <si>
    <t>g/l</t>
    <phoneticPr fontId="182" type="noConversion"/>
  </si>
  <si>
    <t>..\..\..\2. Data hoa nghiem\1. PP HÓA NGHIỆM CÁC BỒN-XLBM\NA2CO3-HALO.pdf</t>
  </si>
  <si>
    <t>\</t>
    <phoneticPr fontId="6" type="noConversion"/>
  </si>
  <si>
    <t>L</t>
    <phoneticPr fontId="6" type="noConversion"/>
  </si>
  <si>
    <r>
      <t xml:space="preserve">Đơn vị
</t>
    </r>
    <r>
      <rPr>
        <sz val="12"/>
        <rFont val="細明體"/>
        <family val="3"/>
        <charset val="136"/>
      </rPr>
      <t>單位</t>
    </r>
    <phoneticPr fontId="6" type="noConversion"/>
  </si>
  <si>
    <t>kg</t>
    <phoneticPr fontId="6" type="noConversion"/>
  </si>
  <si>
    <t>kg</t>
    <phoneticPr fontId="6"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</si>
  <si>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6" type="noConversion"/>
  </si>
  <si>
    <t>CT-21A: 25kg/CT-21B: 7-10L</t>
    <phoneticPr fontId="6" type="noConversion"/>
  </si>
  <si>
    <t>EC-508A: 25kg/EC-508B:6-10L</t>
    <phoneticPr fontId="6"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</si>
  <si>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6"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</si>
  <si>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6" type="noConversion"/>
  </si>
  <si>
    <t>\</t>
    <phoneticPr fontId="6"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</si>
  <si>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6"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</si>
  <si>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6"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</si>
  <si>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6"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</si>
  <si>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6"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</si>
  <si>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6" type="noConversion"/>
  </si>
  <si>
    <t xml:space="preserve">KQ NCC </t>
    <phoneticPr fontId="6" type="noConversion"/>
  </si>
  <si>
    <r>
      <rPr>
        <sz val="11"/>
        <color rgb="FF0000FF"/>
        <rFont val="Symbol"/>
        <family val="1"/>
        <charset val="2"/>
      </rPr>
      <t>±</t>
    </r>
    <r>
      <rPr>
        <sz val="11"/>
        <color rgb="FF0000FF"/>
        <rFont val="Times New Roman"/>
        <family val="1"/>
      </rPr>
      <t>5%</t>
    </r>
    <phoneticPr fontId="6" type="noConversion"/>
  </si>
  <si>
    <t>&lt;40ppm</t>
    <phoneticPr fontId="6" type="noConversion"/>
  </si>
  <si>
    <r>
      <rPr>
        <sz val="10"/>
        <rFont val="細明體"/>
        <family val="3"/>
        <charset val="136"/>
      </rPr>
      <t>＜</t>
    </r>
    <r>
      <rPr>
        <sz val="10"/>
        <rFont val="Times New Roman"/>
        <family val="1"/>
      </rPr>
      <t>6000ppm</t>
    </r>
    <phoneticPr fontId="182"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</si>
  <si>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6" type="noConversion"/>
  </si>
  <si>
    <t xml:space="preserve">Test Item </t>
    <phoneticPr fontId="182" type="noConversion"/>
  </si>
  <si>
    <t>Unit</t>
    <phoneticPr fontId="182" type="noConversion"/>
  </si>
  <si>
    <r>
      <rPr>
        <sz val="10"/>
        <rFont val="細明體"/>
        <family val="3"/>
        <charset val="136"/>
      </rPr>
      <t>＜</t>
    </r>
    <r>
      <rPr>
        <sz val="10"/>
        <rFont val="Times New Roman"/>
        <family val="1"/>
      </rPr>
      <t>7000ppm</t>
    </r>
    <phoneticPr fontId="182" type="noConversion"/>
  </si>
  <si>
    <t>&lt;500ppm</t>
    <phoneticPr fontId="6"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</si>
  <si>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6" type="noConversion"/>
  </si>
  <si>
    <t>&lt;500ppm</t>
    <phoneticPr fontId="182" type="noConversion"/>
  </si>
  <si>
    <r>
      <rPr>
        <sz val="10"/>
        <rFont val="細明體"/>
        <family val="3"/>
        <charset val="136"/>
      </rPr>
      <t>＜</t>
    </r>
    <r>
      <rPr>
        <sz val="10"/>
        <rFont val="Times New Roman"/>
        <family val="1"/>
      </rPr>
      <t>5ppm</t>
    </r>
    <phoneticPr fontId="182"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</si>
  <si>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</si>
  <si>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6"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</si>
  <si>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6"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</si>
  <si>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6" type="noConversion"/>
  </si>
  <si>
    <r>
      <t xml:space="preserve">Nhiệt độ nước nóng siêm âm
</t>
    </r>
    <r>
      <rPr>
        <sz val="12"/>
        <rFont val="細明體"/>
        <family val="3"/>
        <charset val="136"/>
      </rPr>
      <t>超音波熱水洗槽</t>
    </r>
    <r>
      <rPr>
        <sz val="12"/>
        <rFont val="Times New Roman"/>
        <family val="1"/>
      </rPr>
      <t>(39)</t>
    </r>
    <phoneticPr fontId="6"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</si>
  <si>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6" type="noConversion"/>
  </si>
  <si>
    <r>
      <t xml:space="preserve">Nhiệt độ nước nóng siêm âm
</t>
    </r>
    <r>
      <rPr>
        <sz val="12"/>
        <rFont val="細明體"/>
        <family val="3"/>
        <charset val="136"/>
      </rPr>
      <t>超音波熱水洗槽</t>
    </r>
    <r>
      <rPr>
        <sz val="12"/>
        <rFont val="Times New Roman"/>
        <family val="1"/>
      </rPr>
      <t>(39)</t>
    </r>
    <phoneticPr fontId="6"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</si>
  <si>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6" type="noConversion"/>
  </si>
  <si>
    <t>Trang</t>
  </si>
  <si>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</si>
  <si>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</si>
  <si>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</si>
  <si>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</si>
  <si>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</si>
  <si>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</si>
  <si>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</si>
  <si>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</si>
  <si>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</si>
  <si>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</si>
  <si>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50~60ºC
(55±3OC)</t>
  </si>
  <si>
    <t>Giới hạn kiểm soát
管控值</t>
  </si>
  <si>
    <r>
      <t xml:space="preserve">Phạm vi kiểm soát
</t>
    </r>
    <r>
      <rPr>
        <sz val="12"/>
        <rFont val="細明體"/>
        <family val="3"/>
        <charset val="136"/>
      </rPr>
      <t>範圍值</t>
    </r>
  </si>
  <si>
    <t>(1.8±0.1 )</t>
  </si>
  <si>
    <t>(1.8±0.1)</t>
  </si>
  <si>
    <t>(2.3±0.1 )</t>
  </si>
  <si>
    <t>(6%±0.5)</t>
  </si>
  <si>
    <t>(2.2±0.2 )</t>
  </si>
  <si>
    <t>(2.0±0.1)</t>
  </si>
  <si>
    <t>(12±2%)</t>
  </si>
  <si>
    <t>(2.0 ±0.2 )</t>
  </si>
  <si>
    <t>(4.3±0.2)</t>
  </si>
  <si>
    <r>
      <t xml:space="preserve">Đơn vị
</t>
    </r>
    <r>
      <rPr>
        <sz val="12"/>
        <rFont val="細明體"/>
        <family val="3"/>
        <charset val="136"/>
      </rPr>
      <t>單位</t>
    </r>
  </si>
  <si>
    <t>Phạm vi kiểm soát
範圍值</t>
  </si>
  <si>
    <t>(28±3OC)</t>
  </si>
  <si>
    <t>(60±5OC)</t>
  </si>
  <si>
    <t>(55±3OC)</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</si>
  <si>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</si>
  <si>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</si>
  <si>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50~70ºC</t>
  </si>
  <si>
    <t>1.6~2.2</t>
  </si>
  <si>
    <t>1.6~2.0</t>
  </si>
  <si>
    <t>50~60ºC</t>
  </si>
  <si>
    <t>2~2.5</t>
  </si>
  <si>
    <t>1.8~2.4</t>
  </si>
  <si>
    <t>2.0~2.4</t>
  </si>
  <si>
    <t>8~16 %</t>
  </si>
  <si>
    <t>3.0-4.5</t>
  </si>
  <si>
    <t>20~35ºC</t>
  </si>
  <si>
    <t>ghi chú: tô màu các ô</t>
  </si>
  <si>
    <t>2. nằm ngoài giới hạn kiểm soát là màu vàng</t>
  </si>
  <si>
    <t>1. nằm ngoài phạm vi kiểm soát là màu cam (cận dưới), xanh (cận trên)</t>
  </si>
  <si>
    <r>
      <t xml:space="preserve">Phạm vi kiểm soát
</t>
    </r>
    <r>
      <rPr>
        <sz val="12"/>
        <color theme="8" tint="-0.499984740745262"/>
        <rFont val="細明體"/>
        <family val="3"/>
        <charset val="136"/>
      </rPr>
      <t>範圍值</t>
    </r>
  </si>
  <si>
    <r>
      <t>(70±3</t>
    </r>
    <r>
      <rPr>
        <sz val="12"/>
        <color theme="8" tint="-0.499984740745262"/>
        <rFont val="Times New Roman"/>
        <family val="1"/>
      </rPr>
      <t>)</t>
    </r>
  </si>
  <si>
    <r>
      <t>(55±3</t>
    </r>
    <r>
      <rPr>
        <sz val="12"/>
        <color theme="8" tint="-0.499984740745262"/>
        <rFont val="Times New Roman"/>
        <family val="1"/>
      </rPr>
      <t>)</t>
    </r>
  </si>
  <si>
    <r>
      <t>(25±3</t>
    </r>
    <r>
      <rPr>
        <sz val="12"/>
        <color theme="8" tint="-0.499984740745262"/>
        <rFont val="Times New Roman"/>
        <family val="1"/>
      </rPr>
      <t>)</t>
    </r>
  </si>
  <si>
    <r>
      <t>(40±3</t>
    </r>
    <r>
      <rPr>
        <sz val="12"/>
        <color theme="8" tint="-0.499984740745262"/>
        <rFont val="Times New Roman"/>
        <family val="1"/>
      </rPr>
      <t>)</t>
    </r>
  </si>
  <si>
    <r>
      <t>(60±3</t>
    </r>
    <r>
      <rPr>
        <sz val="12"/>
        <color theme="8" tint="-0.499984740745262"/>
        <rFont val="Times New Roman"/>
        <family val="1"/>
      </rPr>
      <t>)</t>
    </r>
  </si>
  <si>
    <t>(24±1)</t>
  </si>
  <si>
    <t>(34±2)</t>
  </si>
  <si>
    <t>(60±3)</t>
  </si>
  <si>
    <t>(70±3)</t>
  </si>
  <si>
    <t>(65±3)</t>
  </si>
  <si>
    <t>(25)</t>
  </si>
  <si>
    <r>
      <t>(35±1</t>
    </r>
    <r>
      <rPr>
        <sz val="12"/>
        <color theme="8" tint="-0.499984740745262"/>
        <rFont val="Times New Roman"/>
        <family val="1"/>
      </rPr>
      <t>)</t>
    </r>
  </si>
  <si>
    <t>20~30</t>
  </si>
  <si>
    <r>
      <t>(26±2</t>
    </r>
    <r>
      <rPr>
        <sz val="12"/>
        <color theme="8" tint="-0.499984740745262"/>
        <rFont val="Times New Roman"/>
        <family val="1"/>
      </rPr>
      <t>)</t>
    </r>
  </si>
  <si>
    <r>
      <t>(50±10</t>
    </r>
    <r>
      <rPr>
        <sz val="12"/>
        <color theme="8" tint="-0.499984740745262"/>
        <rFont val="Times New Roman"/>
        <family val="1"/>
      </rPr>
      <t>)</t>
    </r>
  </si>
  <si>
    <r>
      <t>(25±5</t>
    </r>
    <r>
      <rPr>
        <sz val="12"/>
        <color theme="8" tint="-0.499984740745262"/>
        <rFont val="Times New Roman"/>
        <family val="1"/>
      </rPr>
      <t>)</t>
    </r>
  </si>
  <si>
    <t>(60±5)</t>
  </si>
  <si>
    <t>(28±3)</t>
  </si>
  <si>
    <t>(55±3)</t>
  </si>
  <si>
    <t>(140±5)</t>
  </si>
  <si>
    <t>(7±0.5)</t>
  </si>
  <si>
    <t>(6±0.5)</t>
  </si>
  <si>
    <t>(45±5)</t>
  </si>
  <si>
    <t>(30±5)</t>
  </si>
  <si>
    <t>(1±0.4)</t>
  </si>
  <si>
    <t>(6±1)</t>
  </si>
  <si>
    <t>(5.5± 0.5L)</t>
  </si>
  <si>
    <t>(125 ± 5)</t>
  </si>
  <si>
    <t>(50±5)</t>
  </si>
  <si>
    <t>(70±5)</t>
  </si>
  <si>
    <t>(140±10)</t>
  </si>
  <si>
    <t>(10±1)</t>
  </si>
  <si>
    <t>(8±0.5)</t>
  </si>
  <si>
    <t>(22±5 )</t>
  </si>
  <si>
    <t>(10±3)</t>
  </si>
  <si>
    <t>(1±0.2)</t>
  </si>
  <si>
    <t>(30±2)</t>
  </si>
  <si>
    <t>(70±10)</t>
  </si>
  <si>
    <t>(140±5L)</t>
  </si>
  <si>
    <t>(9g±1)</t>
  </si>
  <si>
    <t>(14±2)</t>
  </si>
  <si>
    <t>(22±5)</t>
  </si>
  <si>
    <t>(7.5±1)</t>
  </si>
  <si>
    <t>25~35</t>
  </si>
  <si>
    <t>60~80</t>
  </si>
  <si>
    <t>130 - 150</t>
  </si>
  <si>
    <t xml:space="preserve">12~18 </t>
  </si>
  <si>
    <t xml:space="preserve">30~60 </t>
  </si>
  <si>
    <t>15~30</t>
  </si>
  <si>
    <t>30~60</t>
  </si>
  <si>
    <t>5~15</t>
  </si>
  <si>
    <t>0.5~1.5</t>
  </si>
  <si>
    <t>65~75</t>
  </si>
  <si>
    <t>50~60</t>
  </si>
  <si>
    <t>35-45</t>
  </si>
  <si>
    <t>55~65</t>
  </si>
  <si>
    <t>50~70</t>
  </si>
  <si>
    <t xml:space="preserve">6~10 </t>
  </si>
  <si>
    <t>5~8</t>
  </si>
  <si>
    <t>22~30</t>
  </si>
  <si>
    <t>30-38</t>
  </si>
  <si>
    <t>40~60</t>
  </si>
  <si>
    <t>135~ 145</t>
  </si>
  <si>
    <t>6~8</t>
  </si>
  <si>
    <t>40~50</t>
  </si>
  <si>
    <t>20~40</t>
  </si>
  <si>
    <t>3~9</t>
  </si>
  <si>
    <t>5~6</t>
  </si>
  <si>
    <t>120~130</t>
  </si>
  <si>
    <t>60~70</t>
  </si>
  <si>
    <t>24~26</t>
  </si>
  <si>
    <t>34~36</t>
  </si>
  <si>
    <t>35~45</t>
  </si>
  <si>
    <t>24~28</t>
  </si>
  <si>
    <t>5~10</t>
  </si>
  <si>
    <t>7~12</t>
  </si>
  <si>
    <t>8~12</t>
  </si>
  <si>
    <t>(50±10)</t>
  </si>
  <si>
    <t>Hiện trường xác nhận
 現場確認</t>
  </si>
  <si>
    <t>3.XT-C TT(CA2)</t>
  </si>
  <si>
    <t>2. XL-1F TT(CA2)</t>
  </si>
  <si>
    <t>1. XL-1E TT(CA2)</t>
  </si>
  <si>
    <t>Ghi chú</t>
  </si>
  <si>
    <t>Trang 1/2</t>
  </si>
  <si>
    <t>Trang 2/2</t>
  </si>
  <si>
    <t>CT-21A: 25kg/CT-21B: 5-10Lit</t>
  </si>
  <si>
    <t>4.ZN-NI tt(CA1)</t>
  </si>
  <si>
    <t>4.ZN-NI tt(CA2)</t>
  </si>
  <si>
    <t xml:space="preserve">4.Zn Ni TT </t>
  </si>
  <si>
    <t>1. XL-1E TT(CA1)</t>
  </si>
  <si>
    <t>2. XL-1F TT(CA1)</t>
  </si>
  <si>
    <t>3.XT-C TT(CA1)</t>
  </si>
  <si>
    <t>PP HÓA NGHIỆM
FILE WORD</t>
  </si>
  <si>
    <r>
      <t xml:space="preserve">Thêm hóa chất 
</t>
    </r>
    <r>
      <rPr>
        <b/>
        <sz val="10"/>
        <color rgb="FF0000FF"/>
        <rFont val="Times New Roman"/>
        <family val="1"/>
      </rPr>
      <t>CÓ/KO</t>
    </r>
    <r>
      <rPr>
        <sz val="10"/>
        <rFont val="Times New Roman"/>
        <family val="1"/>
      </rPr>
      <t>(ko để trống)</t>
    </r>
  </si>
  <si>
    <t>Nộng độ sau BS 1h
(g/l, %)</t>
  </si>
  <si>
    <t>Ghi chú: 1.  Thực tế bổ sung lượng bao nhiêu thì ghi chép vào, nếu không bổ sung thì đánh dấu "V"
              2. Sau khi bổ sung hóa chất khoảng 30 phút, thông báo bộ phận hóa nghiệm lấy mẫu xác nhận lại nồng độ</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</si>
  <si>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</si>
  <si>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</si>
  <si>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</si>
  <si>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</si>
  <si>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</si>
  <si>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</si>
  <si>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</si>
  <si>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</si>
  <si>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</si>
  <si>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</si>
  <si>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</si>
  <si>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</si>
  <si>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</si>
  <si>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</si>
  <si>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</si>
  <si>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</si>
  <si>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</si>
  <si>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</si>
  <si>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</si>
  <si>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</si>
  <si>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</si>
  <si>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</si>
  <si>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</si>
  <si>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</si>
  <si>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</si>
  <si>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</si>
  <si>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</si>
  <si>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</si>
  <si>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</si>
  <si>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</si>
  <si>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</si>
  <si>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</si>
  <si>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</si>
  <si>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</si>
  <si>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</si>
  <si>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</si>
  <si>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</si>
  <si>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</si>
  <si>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2023/03/21</t>
  </si>
  <si>
    <t>THU NGHIEM</t>
  </si>
</sst>
</file>

<file path=xl/styles.xml><?xml version="1.0" encoding="utf-8"?>
<styleSheet xmlns="http://schemas.openxmlformats.org/spreadsheetml/2006/main">
  <numFmts count="32">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000_ "/>
    <numFmt numFmtId="181" formatCode="0.0"/>
    <numFmt numFmtId="182" formatCode="dd/mm/yy"/>
    <numFmt numFmtId="183" formatCode="_(* #,##0.0_);_(* \(#,##0.0\);_(* &quot;-&quot;_);_(@_)"/>
    <numFmt numFmtId="184" formatCode="_(* #,##0.00_);_(* \(#,##0.00\);_(* &quot;-&quot;_);_(@_)"/>
    <numFmt numFmtId="185" formatCode="0.0;[Red]0.0"/>
    <numFmt numFmtId="186" formatCode="0.00;[Red]0.00"/>
    <numFmt numFmtId="187" formatCode="0;[Red]0"/>
    <numFmt numFmtId="188" formatCode="_(* #,##0_);_(* \(#,##0\);_(* &quot;-&quot;??_);_(@_)"/>
    <numFmt numFmtId="189" formatCode="m/d/yy;@"/>
    <numFmt numFmtId="190" formatCode="m/d/yy\ h:mm;@"/>
    <numFmt numFmtId="191" formatCode="0;_퐀"/>
    <numFmt numFmtId="192" formatCode="_(* #,##0.0_);_(* \(#,##0.0\);_(* &quot;-&quot;??_);_(@_)"/>
    <numFmt numFmtId="193" formatCode="_ * #,##0.0_ ;_ * \-#,##0.0_ ;_ * &quot;-&quot;??_ ;_ @_ "/>
  </numFmts>
  <fonts count="239">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sz val="10"/>
      <name val="VN-NTime"/>
      <family val="1"/>
    </font>
    <font>
      <vertAlign val="superscript"/>
      <sz val="10"/>
      <name val="VN-NTime"/>
      <family val="1"/>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sz val="16"/>
      <color theme="1"/>
      <name val="細明體"/>
      <family val="3"/>
      <charset val="136"/>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sz val="12"/>
      <color theme="0"/>
      <name val="Times New Roman"/>
      <family val="1"/>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name val="Calibri"/>
      <family val="1"/>
      <charset val="136"/>
      <scheme val="minor"/>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2"/>
      <color theme="0"/>
      <name val="新細明體"/>
      <family val="1"/>
      <charset val="136"/>
    </font>
    <font>
      <sz val="13"/>
      <name val="Times New Roman"/>
      <family val="1"/>
    </font>
    <font>
      <sz val="8"/>
      <name val="Times New Roman"/>
      <family val="1"/>
    </font>
    <font>
      <sz val="12"/>
      <color theme="7" tint="0.79998168889431442"/>
      <name val="Times New Roman"/>
      <family val="1"/>
    </font>
    <font>
      <b/>
      <sz val="26"/>
      <name val="Times New Roman"/>
      <family val="1"/>
    </font>
    <font>
      <b/>
      <sz val="14"/>
      <color indexed="81"/>
      <name val="Times New Roman"/>
      <family val="1"/>
    </font>
    <font>
      <sz val="11"/>
      <color rgb="FF0000FF"/>
      <name val="新細明體"/>
      <family val="2"/>
      <charset val="134"/>
    </font>
    <font>
      <u/>
      <sz val="12"/>
      <color theme="1"/>
      <name val="新細明體"/>
      <family val="1"/>
      <charset val="136"/>
    </font>
    <font>
      <b/>
      <sz val="9"/>
      <color indexed="81"/>
      <name val="Tahoma"/>
      <family val="2"/>
    </font>
    <font>
      <vertAlign val="subscript"/>
      <sz val="12"/>
      <color rgb="FF0000FF"/>
      <name val="Times New Roman"/>
      <family val="1"/>
    </font>
    <font>
      <sz val="12"/>
      <color rgb="FF0000FF"/>
      <name val="細明體"/>
      <family val="3"/>
      <charset val="136"/>
    </font>
    <font>
      <b/>
      <sz val="22"/>
      <name val="Times New Roman"/>
      <family val="1"/>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sz val="11"/>
      <color rgb="FF0000FF"/>
      <name val="Symbol"/>
      <family val="1"/>
      <charset val="2"/>
    </font>
    <font>
      <b/>
      <sz val="12"/>
      <color theme="0"/>
      <name val="Times New Roman"/>
      <family val="1"/>
    </font>
    <font>
      <sz val="11"/>
      <color theme="0"/>
      <name val="Times New Roman"/>
      <family val="1"/>
    </font>
    <font>
      <vertAlign val="superscript"/>
      <sz val="12"/>
      <color rgb="FF0000FF"/>
      <name val="Times New Roman"/>
      <family val="1"/>
    </font>
    <font>
      <sz val="10"/>
      <color theme="0"/>
      <name val="Times New Roman"/>
      <family val="1"/>
    </font>
    <font>
      <sz val="24"/>
      <color theme="8" tint="-0.499984740745262"/>
      <name val="Times New Roman"/>
      <family val="1"/>
    </font>
    <font>
      <sz val="12"/>
      <color theme="8" tint="-0.499984740745262"/>
      <name val="Times New Roman"/>
      <family val="1"/>
    </font>
    <font>
      <sz val="12"/>
      <color theme="8" tint="-0.499984740745262"/>
      <name val="細明體"/>
      <family val="3"/>
      <charset val="136"/>
    </font>
    <font>
      <sz val="9"/>
      <color theme="4" tint="-0.249977111117893"/>
      <name val="Times New Roman"/>
      <family val="1"/>
    </font>
    <font>
      <b/>
      <sz val="10"/>
      <color rgb="FF0000FF"/>
      <name val="Times New Roman"/>
      <family val="1"/>
    </font>
    <font>
      <sz val="11"/>
      <color rgb="FF000000"/>
      <name val="Calibri"/>
      <family val="2"/>
    </font>
    <font>
      <sz val="12"/>
      <color theme="10"/>
      <name val="Times New Roman"/>
      <family val="1"/>
    </font>
    <font>
      <sz val="12"/>
      <color theme="10"/>
      <name val="新細明體"/>
      <family val="1"/>
      <charset val="136"/>
    </font>
  </fonts>
  <fills count="56">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dashed">
        <color rgb="FF00B050"/>
      </left>
      <right style="thin">
        <color indexed="64"/>
      </right>
      <top style="dashed">
        <color rgb="FF00B050"/>
      </top>
      <bottom style="thin">
        <color indexed="64"/>
      </bottom>
      <diagonal/>
    </border>
    <border>
      <left style="thin">
        <color theme="0"/>
      </left>
      <right style="dashed">
        <color rgb="FF00B050"/>
      </right>
      <top style="thin">
        <color theme="0"/>
      </top>
      <bottom style="dashed">
        <color rgb="FF00B050"/>
      </bottom>
      <diagonal/>
    </border>
    <border>
      <left style="dashed">
        <color rgb="FF00B050"/>
      </left>
      <right style="thin">
        <color indexed="64"/>
      </right>
      <top style="thin">
        <color theme="0"/>
      </top>
      <bottom style="dashed">
        <color rgb="FF00B050"/>
      </bottom>
      <diagonal/>
    </border>
    <border>
      <left style="thin">
        <color theme="0"/>
      </left>
      <right style="dashed">
        <color rgb="FF00B050"/>
      </right>
      <top style="dashed">
        <color rgb="FF00B050"/>
      </top>
      <bottom style="thin">
        <color indexed="64"/>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s>
  <cellStyleXfs count="105">
    <xf numFmtId="0" fontId="0" fillId="0" borderId="0">
      <alignment vertical="center"/>
    </xf>
    <xf numFmtId="165" fontId="5" fillId="0" borderId="0" applyFont="0" applyFill="0" applyBorder="0" applyAlignment="0" applyProtection="0">
      <alignment vertical="center"/>
    </xf>
    <xf numFmtId="164" fontId="45" fillId="0" borderId="0" applyFont="0" applyFill="0" applyBorder="0" applyAlignment="0" applyProtection="0"/>
    <xf numFmtId="0" fontId="5" fillId="0" borderId="0">
      <alignment vertical="center"/>
    </xf>
    <xf numFmtId="0" fontId="46" fillId="0" borderId="0">
      <alignment vertical="center"/>
    </xf>
    <xf numFmtId="0" fontId="47" fillId="0" borderId="0">
      <alignment vertical="center"/>
    </xf>
    <xf numFmtId="0" fontId="45" fillId="0" borderId="0"/>
    <xf numFmtId="9" fontId="5" fillId="0" borderId="0" applyFont="0" applyFill="0" applyBorder="0" applyAlignment="0" applyProtection="0">
      <alignment vertical="center"/>
    </xf>
    <xf numFmtId="0" fontId="48" fillId="0" borderId="0">
      <alignment vertical="center"/>
    </xf>
    <xf numFmtId="0" fontId="19" fillId="2" borderId="0" applyNumberFormat="0" applyBorder="0" applyAlignment="0" applyProtection="0">
      <alignment vertical="center"/>
    </xf>
    <xf numFmtId="0" fontId="15" fillId="2" borderId="0" applyNumberFormat="0" applyBorder="0" applyAlignment="0" applyProtection="0">
      <alignment vertical="center"/>
    </xf>
    <xf numFmtId="0" fontId="18" fillId="3" borderId="0" applyNumberFormat="0" applyBorder="0" applyAlignment="0" applyProtection="0">
      <alignment vertical="center"/>
    </xf>
    <xf numFmtId="0" fontId="14" fillId="3" borderId="0" applyNumberFormat="0" applyBorder="0" applyAlignment="0" applyProtection="0">
      <alignment vertical="center"/>
    </xf>
    <xf numFmtId="0" fontId="21" fillId="0" borderId="0">
      <alignment vertical="center"/>
    </xf>
    <xf numFmtId="9" fontId="5" fillId="0" borderId="0" applyFont="0" applyFill="0" applyBorder="0" applyAlignment="0" applyProtection="0">
      <alignment vertical="center"/>
    </xf>
    <xf numFmtId="0" fontId="77" fillId="0" borderId="0">
      <alignment vertical="center"/>
    </xf>
    <xf numFmtId="0" fontId="5" fillId="0" borderId="0">
      <alignment vertical="center"/>
    </xf>
    <xf numFmtId="0" fontId="78" fillId="0" borderId="0">
      <alignment vertical="center"/>
    </xf>
    <xf numFmtId="9" fontId="79" fillId="0" borderId="0" applyFont="0" applyFill="0" applyBorder="0" applyAlignment="0" applyProtection="0">
      <alignment vertical="center"/>
    </xf>
    <xf numFmtId="0" fontId="80" fillId="15" borderId="0" applyNumberFormat="0" applyBorder="0" applyAlignment="0" applyProtection="0">
      <alignment vertical="center"/>
    </xf>
    <xf numFmtId="0" fontId="5" fillId="0" borderId="0">
      <alignment vertical="center"/>
    </xf>
    <xf numFmtId="0" fontId="80" fillId="16" borderId="0" applyNumberFormat="0" applyBorder="0" applyAlignment="0" applyProtection="0">
      <alignment vertical="center"/>
    </xf>
    <xf numFmtId="0" fontId="80" fillId="17" borderId="0" applyNumberFormat="0" applyBorder="0" applyAlignment="0" applyProtection="0">
      <alignment vertical="center"/>
    </xf>
    <xf numFmtId="0" fontId="80" fillId="18"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5"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0" fillId="21" borderId="0" applyNumberFormat="0" applyBorder="0" applyAlignment="0" applyProtection="0">
      <alignment vertical="center"/>
    </xf>
    <xf numFmtId="0" fontId="80" fillId="22" borderId="0" applyNumberFormat="0" applyBorder="0" applyAlignment="0" applyProtection="0">
      <alignment vertical="center"/>
    </xf>
    <xf numFmtId="0" fontId="80" fillId="23" borderId="0" applyNumberFormat="0" applyBorder="0" applyAlignment="0" applyProtection="0">
      <alignment vertical="center"/>
    </xf>
    <xf numFmtId="0" fontId="80" fillId="18" borderId="0" applyNumberFormat="0" applyBorder="0" applyAlignment="0" applyProtection="0">
      <alignment vertical="center"/>
    </xf>
    <xf numFmtId="0" fontId="80" fillId="21" borderId="0" applyNumberFormat="0" applyBorder="0" applyAlignment="0" applyProtection="0">
      <alignment vertical="center"/>
    </xf>
    <xf numFmtId="0" fontId="80" fillId="24"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5"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26"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79" fillId="0" borderId="0">
      <alignment vertical="center"/>
    </xf>
    <xf numFmtId="0" fontId="5" fillId="0" borderId="0">
      <alignment vertical="center"/>
    </xf>
    <xf numFmtId="0" fontId="79" fillId="29" borderId="29" applyNumberFormat="0" applyFont="0" applyAlignment="0" applyProtection="0">
      <alignment vertical="center"/>
    </xf>
    <xf numFmtId="0" fontId="84" fillId="0" borderId="30" applyNumberFormat="0" applyFill="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85" fillId="15" borderId="0" applyNumberFormat="0" applyBorder="0" applyAlignment="0" applyProtection="0">
      <alignment vertical="center"/>
    </xf>
    <xf numFmtId="0" fontId="85" fillId="15" borderId="0" applyNumberFormat="0" applyBorder="0" applyAlignment="0" applyProtection="0">
      <alignment vertical="center"/>
    </xf>
    <xf numFmtId="0" fontId="85" fillId="15" borderId="0" applyNumberFormat="0" applyBorder="0" applyAlignment="0" applyProtection="0">
      <alignment vertical="center"/>
    </xf>
    <xf numFmtId="0" fontId="86" fillId="17" borderId="0" applyNumberFormat="0" applyBorder="0" applyAlignment="0" applyProtection="0">
      <alignment vertical="center"/>
    </xf>
    <xf numFmtId="0" fontId="82" fillId="30"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2" fillId="26" borderId="0" applyNumberFormat="0" applyBorder="0" applyAlignment="0" applyProtection="0">
      <alignment vertical="center"/>
    </xf>
    <xf numFmtId="0" fontId="82" fillId="27" borderId="0" applyNumberFormat="0" applyBorder="0" applyAlignment="0" applyProtection="0">
      <alignment vertical="center"/>
    </xf>
    <xf numFmtId="0" fontId="82" fillId="33" borderId="0" applyNumberFormat="0" applyBorder="0" applyAlignment="0" applyProtection="0">
      <alignment vertical="center"/>
    </xf>
    <xf numFmtId="0" fontId="87" fillId="0" borderId="30" applyNumberFormat="0" applyFill="0" applyAlignment="0" applyProtection="0">
      <alignment vertical="center"/>
    </xf>
    <xf numFmtId="0" fontId="79" fillId="29" borderId="29" applyNumberFormat="0" applyFont="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1" applyNumberFormat="0" applyFill="0" applyAlignment="0" applyProtection="0">
      <alignment vertical="center"/>
    </xf>
    <xf numFmtId="0" fontId="89" fillId="0" borderId="31" applyNumberFormat="0" applyFill="0" applyAlignment="0" applyProtection="0">
      <alignment vertical="center"/>
    </xf>
    <xf numFmtId="0" fontId="4" fillId="0" borderId="0"/>
    <xf numFmtId="43" fontId="4" fillId="0" borderId="0" applyFont="0" applyFill="0" applyBorder="0" applyAlignment="0" applyProtection="0"/>
    <xf numFmtId="0" fontId="98" fillId="0" borderId="0" applyNumberFormat="0" applyFill="0" applyBorder="0" applyAlignment="0" applyProtection="0">
      <alignment vertical="top"/>
      <protection locked="0"/>
    </xf>
    <xf numFmtId="0" fontId="10" fillId="0" borderId="0"/>
    <xf numFmtId="0" fontId="21" fillId="0" borderId="0"/>
    <xf numFmtId="0" fontId="48" fillId="0" borderId="0">
      <alignment vertical="center"/>
    </xf>
    <xf numFmtId="0" fontId="5" fillId="0" borderId="0">
      <alignment vertical="center"/>
    </xf>
    <xf numFmtId="0" fontId="161" fillId="0" borderId="0"/>
    <xf numFmtId="0" fontId="79" fillId="0" borderId="0">
      <alignment vertical="center"/>
    </xf>
    <xf numFmtId="0" fontId="5" fillId="0" borderId="0"/>
    <xf numFmtId="0" fontId="86" fillId="2" borderId="0" applyNumberFormat="0" applyBorder="0" applyAlignment="0" applyProtection="0">
      <alignment vertical="center"/>
    </xf>
    <xf numFmtId="0" fontId="183" fillId="0" borderId="0" applyNumberFormat="0" applyFill="0" applyBorder="0" applyAlignment="0" applyProtection="0">
      <alignment vertical="center"/>
    </xf>
    <xf numFmtId="0" fontId="184" fillId="0" borderId="75" applyNumberFormat="0" applyFill="0" applyAlignment="0" applyProtection="0">
      <alignment vertical="center"/>
    </xf>
    <xf numFmtId="0" fontId="185" fillId="0" borderId="76" applyNumberFormat="0" applyFill="0" applyAlignment="0" applyProtection="0">
      <alignment vertical="center"/>
    </xf>
    <xf numFmtId="0" fontId="186" fillId="0" borderId="77" applyNumberFormat="0" applyFill="0" applyAlignment="0" applyProtection="0">
      <alignment vertical="center"/>
    </xf>
    <xf numFmtId="0" fontId="186" fillId="0" borderId="0" applyNumberFormat="0" applyFill="0" applyBorder="0" applyAlignment="0" applyProtection="0">
      <alignment vertical="center"/>
    </xf>
    <xf numFmtId="0" fontId="187" fillId="46" borderId="78" applyNumberFormat="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90" fillId="47" borderId="79" applyNumberFormat="0" applyAlignment="0" applyProtection="0">
      <alignment vertical="center"/>
    </xf>
    <xf numFmtId="0" fontId="191" fillId="48" borderId="79" applyNumberFormat="0" applyAlignment="0" applyProtection="0">
      <alignment vertical="center"/>
    </xf>
    <xf numFmtId="0" fontId="192" fillId="47" borderId="80" applyNumberFormat="0" applyAlignment="0" applyProtection="0">
      <alignment vertical="center"/>
    </xf>
    <xf numFmtId="0" fontId="193" fillId="49" borderId="0" applyNumberFormat="0" applyBorder="0" applyAlignment="0" applyProtection="0">
      <alignment vertical="center"/>
    </xf>
  </cellStyleXfs>
  <cellXfs count="2781">
    <xf numFmtId="0" fontId="0" fillId="0" borderId="0" xfId="0">
      <alignment vertical="center"/>
    </xf>
    <xf numFmtId="0" fontId="23" fillId="0" borderId="0" xfId="0" applyFont="1" applyFill="1" applyAlignment="1">
      <alignment horizontal="center" vertical="center"/>
    </xf>
    <xf numFmtId="0" fontId="23" fillId="0" borderId="1" xfId="0" applyFont="1" applyFill="1" applyBorder="1" applyAlignment="1">
      <alignment horizontal="center" vertical="center"/>
    </xf>
    <xf numFmtId="0" fontId="23" fillId="0" borderId="3" xfId="0" applyFont="1" applyFill="1" applyBorder="1" applyAlignment="1" applyProtection="1">
      <alignment horizontal="center" vertical="center"/>
      <protection locked="0"/>
    </xf>
    <xf numFmtId="0" fontId="23" fillId="0" borderId="1" xfId="8" applyFont="1" applyFill="1" applyBorder="1" applyAlignment="1" applyProtection="1">
      <alignment horizontal="center" vertical="center" wrapText="1" shrinkToFit="1"/>
    </xf>
    <xf numFmtId="170" fontId="23" fillId="0" borderId="5" xfId="8" applyNumberFormat="1" applyFont="1" applyFill="1" applyBorder="1" applyAlignment="1" applyProtection="1">
      <alignment vertical="center"/>
    </xf>
    <xf numFmtId="170" fontId="23" fillId="0" borderId="6" xfId="8" applyNumberFormat="1" applyFont="1" applyFill="1" applyBorder="1" applyAlignment="1" applyProtection="1">
      <alignment vertical="center"/>
    </xf>
    <xf numFmtId="0" fontId="9" fillId="0" borderId="0" xfId="0" applyFont="1" applyFill="1" applyAlignment="1" applyProtection="1">
      <alignment horizontal="center" vertical="center"/>
    </xf>
    <xf numFmtId="0" fontId="9" fillId="0" borderId="0" xfId="0" applyFont="1" applyAlignment="1" applyProtection="1">
      <alignment horizontal="center" vertical="center"/>
    </xf>
    <xf numFmtId="0" fontId="9" fillId="0" borderId="7" xfId="0" applyFont="1" applyBorder="1" applyAlignment="1" applyProtection="1">
      <alignment vertical="center" wrapText="1"/>
    </xf>
    <xf numFmtId="0" fontId="23" fillId="0" borderId="1" xfId="0" applyFont="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49" fillId="0" borderId="0" xfId="0" applyFont="1" applyFill="1" applyAlignment="1">
      <alignment horizontal="center" vertical="center"/>
    </xf>
    <xf numFmtId="0" fontId="49" fillId="0" borderId="1" xfId="0" applyNumberFormat="1" applyFont="1" applyFill="1" applyBorder="1" applyAlignment="1" applyProtection="1">
      <alignment horizontal="center" vertical="center" wrapText="1"/>
    </xf>
    <xf numFmtId="0" fontId="49" fillId="0" borderId="1" xfId="0" applyNumberFormat="1" applyFont="1" applyFill="1" applyBorder="1" applyAlignment="1">
      <alignment horizontal="center" vertical="center" wrapText="1"/>
    </xf>
    <xf numFmtId="0" fontId="23" fillId="0" borderId="0" xfId="8" applyFont="1" applyFill="1" applyAlignment="1" applyProtection="1">
      <alignment horizontal="center" vertical="center"/>
    </xf>
    <xf numFmtId="0" fontId="23" fillId="0" borderId="0" xfId="8" applyFont="1" applyFill="1" applyBorder="1" applyAlignment="1" applyProtection="1">
      <alignment horizontal="center" vertical="center"/>
    </xf>
    <xf numFmtId="167" fontId="23" fillId="0" borderId="5" xfId="8" applyNumberFormat="1" applyFont="1" applyFill="1" applyBorder="1" applyAlignment="1" applyProtection="1">
      <alignment horizontal="center" vertical="center"/>
    </xf>
    <xf numFmtId="166" fontId="23" fillId="0" borderId="1" xfId="8" applyNumberFormat="1" applyFont="1" applyFill="1" applyBorder="1" applyAlignment="1" applyProtection="1">
      <alignment horizontal="center" vertical="center"/>
    </xf>
    <xf numFmtId="0" fontId="23" fillId="0" borderId="0" xfId="0" applyFont="1" applyFill="1" applyAlignment="1" applyProtection="1">
      <alignment horizontal="center" vertical="center"/>
      <protection locked="0"/>
    </xf>
    <xf numFmtId="0" fontId="37" fillId="0" borderId="1" xfId="0" applyNumberFormat="1" applyFont="1" applyFill="1" applyBorder="1" applyAlignment="1" applyProtection="1">
      <alignment horizontal="center" vertical="center"/>
    </xf>
    <xf numFmtId="0" fontId="41" fillId="0" borderId="1" xfId="0" applyFont="1" applyFill="1" applyBorder="1" applyAlignment="1" applyProtection="1">
      <alignment horizontal="center" vertical="center"/>
    </xf>
    <xf numFmtId="9" fontId="37" fillId="0" borderId="1" xfId="0" applyNumberFormat="1" applyFont="1" applyFill="1" applyBorder="1" applyAlignment="1" applyProtection="1">
      <alignment horizontal="center" vertical="center"/>
    </xf>
    <xf numFmtId="0" fontId="29" fillId="0" borderId="1" xfId="8" applyFont="1" applyFill="1" applyBorder="1" applyAlignment="1" applyProtection="1">
      <alignment horizontal="center" vertical="center"/>
    </xf>
    <xf numFmtId="0" fontId="13" fillId="0" borderId="7" xfId="8" applyFont="1" applyFill="1" applyBorder="1" applyAlignment="1" applyProtection="1">
      <alignment horizontal="center" vertical="center" wrapText="1"/>
      <protection locked="0"/>
    </xf>
    <xf numFmtId="20" fontId="13" fillId="0" borderId="7" xfId="8" applyNumberFormat="1" applyFont="1" applyFill="1" applyBorder="1" applyAlignment="1" applyProtection="1">
      <alignment horizontal="center" vertical="center" wrapText="1"/>
      <protection locked="0"/>
    </xf>
    <xf numFmtId="0" fontId="23" fillId="0" borderId="7" xfId="8" applyFont="1" applyFill="1" applyBorder="1" applyAlignment="1" applyProtection="1">
      <alignment horizontal="center" vertical="center" wrapText="1"/>
      <protection locked="0"/>
    </xf>
    <xf numFmtId="177" fontId="23" fillId="0" borderId="6" xfId="8" applyNumberFormat="1" applyFont="1" applyFill="1" applyBorder="1" applyAlignment="1" applyProtection="1">
      <alignment horizontal="center" vertical="center"/>
    </xf>
    <xf numFmtId="0" fontId="9" fillId="0" borderId="7" xfId="0" applyFont="1" applyFill="1" applyBorder="1" applyAlignment="1" applyProtection="1">
      <alignment vertical="center" wrapText="1"/>
    </xf>
    <xf numFmtId="0" fontId="9" fillId="0" borderId="0" xfId="0" applyFont="1" applyFill="1" applyBorder="1" applyAlignment="1" applyProtection="1">
      <alignment horizontal="left" vertical="center" wrapText="1"/>
    </xf>
    <xf numFmtId="168" fontId="9" fillId="0" borderId="9" xfId="0" applyNumberFormat="1" applyFont="1" applyFill="1" applyBorder="1" applyAlignment="1" applyProtection="1">
      <alignment horizontal="center" vertical="center"/>
    </xf>
    <xf numFmtId="0" fontId="9" fillId="0" borderId="0" xfId="0" applyFont="1" applyFill="1" applyAlignment="1" applyProtection="1">
      <alignment horizontal="left" vertical="center"/>
    </xf>
    <xf numFmtId="0" fontId="13" fillId="0" borderId="0" xfId="0" applyFont="1" applyFill="1" applyAlignment="1" applyProtection="1">
      <alignment horizontal="center" vertical="center"/>
      <protection locked="0"/>
    </xf>
    <xf numFmtId="0" fontId="23" fillId="0" borderId="0" xfId="0" applyNumberFormat="1" applyFont="1" applyFill="1" applyAlignment="1" applyProtection="1">
      <alignment horizontal="center" vertical="center"/>
      <protection locked="0"/>
    </xf>
    <xf numFmtId="0" fontId="37" fillId="0" borderId="5" xfId="0" applyFont="1" applyFill="1" applyBorder="1" applyAlignment="1" applyProtection="1">
      <alignment vertical="center"/>
    </xf>
    <xf numFmtId="169" fontId="37" fillId="0" borderId="1" xfId="0" applyNumberFormat="1" applyFont="1" applyFill="1" applyBorder="1" applyAlignment="1">
      <alignment horizontal="center" vertical="center"/>
    </xf>
    <xf numFmtId="169" fontId="37" fillId="0" borderId="1" xfId="0" applyNumberFormat="1" applyFont="1" applyFill="1" applyBorder="1" applyAlignment="1">
      <alignment horizontal="center" vertical="center" wrapText="1"/>
    </xf>
    <xf numFmtId="167" fontId="37" fillId="0" borderId="5" xfId="0" applyNumberFormat="1" applyFont="1" applyFill="1" applyBorder="1" applyAlignment="1">
      <alignment horizontal="center" vertical="center"/>
    </xf>
    <xf numFmtId="167" fontId="37" fillId="0" borderId="14" xfId="0" applyNumberFormat="1" applyFont="1" applyFill="1" applyBorder="1" applyAlignment="1" applyProtection="1">
      <alignment horizontal="center" vertical="center"/>
    </xf>
    <xf numFmtId="166" fontId="37" fillId="0" borderId="1" xfId="0" applyNumberFormat="1" applyFont="1" applyFill="1" applyBorder="1" applyAlignment="1">
      <alignment horizontal="center" vertical="center"/>
    </xf>
    <xf numFmtId="170" fontId="37" fillId="0" borderId="5" xfId="0" applyNumberFormat="1" applyFont="1" applyFill="1" applyBorder="1" applyAlignment="1" applyProtection="1">
      <alignment vertical="center"/>
      <protection locked="0"/>
    </xf>
    <xf numFmtId="167" fontId="37" fillId="0" borderId="5" xfId="0" applyNumberFormat="1" applyFont="1" applyFill="1" applyBorder="1" applyAlignment="1" applyProtection="1">
      <alignment horizontal="center" vertical="center"/>
      <protection locked="0"/>
    </xf>
    <xf numFmtId="167" fontId="37" fillId="0" borderId="14" xfId="0" applyNumberFormat="1" applyFont="1" applyFill="1" applyBorder="1" applyAlignment="1" applyProtection="1">
      <alignment horizontal="center" vertical="center"/>
      <protection locked="0"/>
    </xf>
    <xf numFmtId="166" fontId="37" fillId="0" borderId="5" xfId="0" applyNumberFormat="1" applyFont="1" applyFill="1" applyBorder="1" applyAlignment="1">
      <alignment horizontal="center" vertical="center"/>
    </xf>
    <xf numFmtId="168" fontId="37" fillId="0" borderId="6" xfId="0" applyNumberFormat="1" applyFont="1" applyFill="1" applyBorder="1" applyAlignment="1" applyProtection="1">
      <alignment horizontal="center" vertical="center"/>
    </xf>
    <xf numFmtId="168" fontId="37" fillId="0" borderId="1" xfId="0" applyNumberFormat="1" applyFont="1" applyFill="1" applyBorder="1" applyAlignment="1">
      <alignment horizontal="center" vertical="center"/>
    </xf>
    <xf numFmtId="171" fontId="37" fillId="0" borderId="6" xfId="0" applyNumberFormat="1" applyFont="1" applyFill="1" applyBorder="1" applyAlignment="1" applyProtection="1">
      <alignment horizontal="center" vertical="center"/>
    </xf>
    <xf numFmtId="167" fontId="37" fillId="0" borderId="1" xfId="0" applyNumberFormat="1" applyFont="1" applyFill="1" applyBorder="1" applyAlignment="1">
      <alignment horizontal="center" vertical="center"/>
    </xf>
    <xf numFmtId="0" fontId="37" fillId="0" borderId="0" xfId="0" applyFont="1" applyFill="1" applyBorder="1" applyAlignment="1">
      <alignment horizontal="center" vertical="center"/>
    </xf>
    <xf numFmtId="0" fontId="37" fillId="0" borderId="1" xfId="0" applyNumberFormat="1" applyFont="1" applyFill="1" applyBorder="1" applyAlignment="1">
      <alignment horizontal="center" vertical="center" wrapText="1"/>
    </xf>
    <xf numFmtId="0" fontId="49" fillId="0" borderId="1" xfId="0" applyFont="1" applyFill="1" applyBorder="1" applyAlignment="1">
      <alignment horizontal="center" vertical="center"/>
    </xf>
    <xf numFmtId="176" fontId="23" fillId="0" borderId="6" xfId="8" applyNumberFormat="1" applyFont="1" applyFill="1" applyBorder="1" applyAlignment="1" applyProtection="1">
      <alignment horizontal="center" vertical="center"/>
    </xf>
    <xf numFmtId="0" fontId="37" fillId="0" borderId="1" xfId="0" applyFont="1" applyFill="1" applyBorder="1" applyAlignment="1">
      <alignment horizontal="center" vertical="center"/>
    </xf>
    <xf numFmtId="0" fontId="37" fillId="0" borderId="1" xfId="0" applyNumberFormat="1" applyFont="1" applyFill="1" applyBorder="1" applyAlignment="1" applyProtection="1">
      <alignment horizontal="center" vertical="center" wrapText="1"/>
    </xf>
    <xf numFmtId="0" fontId="49" fillId="0" borderId="1" xfId="0" applyFont="1" applyFill="1" applyBorder="1" applyAlignment="1" applyProtection="1">
      <alignment horizontal="center" vertical="center"/>
    </xf>
    <xf numFmtId="0" fontId="49" fillId="0" borderId="1" xfId="0" applyFont="1" applyFill="1" applyBorder="1" applyAlignment="1">
      <alignment horizontal="center" vertical="center" wrapText="1"/>
    </xf>
    <xf numFmtId="0" fontId="23" fillId="0" borderId="7" xfId="8" applyFont="1" applyFill="1" applyBorder="1" applyAlignment="1" applyProtection="1">
      <alignment horizontal="center" vertical="center"/>
      <protection locked="0"/>
    </xf>
    <xf numFmtId="0" fontId="56" fillId="0" borderId="0" xfId="0" applyFont="1" applyFill="1" applyAlignment="1" applyProtection="1">
      <alignment horizontal="center" vertical="center" wrapText="1"/>
    </xf>
    <xf numFmtId="14" fontId="23" fillId="0" borderId="7" xfId="8" applyNumberFormat="1" applyFont="1" applyFill="1" applyBorder="1" applyAlignment="1" applyProtection="1">
      <alignment horizontal="center" vertical="center" wrapText="1"/>
      <protection locked="0"/>
    </xf>
    <xf numFmtId="0" fontId="23" fillId="0" borderId="0" xfId="0" applyFont="1" applyFill="1" applyBorder="1" applyAlignment="1" applyProtection="1">
      <alignment horizontal="center" vertical="center"/>
      <protection locked="0"/>
    </xf>
    <xf numFmtId="0" fontId="23" fillId="0" borderId="3" xfId="0" applyFont="1" applyFill="1" applyBorder="1" applyAlignment="1" applyProtection="1">
      <alignment vertical="center" wrapText="1"/>
    </xf>
    <xf numFmtId="169" fontId="37" fillId="0" borderId="1" xfId="0" applyNumberFormat="1" applyFont="1" applyFill="1" applyBorder="1" applyAlignment="1" applyProtection="1">
      <alignment horizontal="center" vertical="center"/>
    </xf>
    <xf numFmtId="167" fontId="61" fillId="0" borderId="5" xfId="0" applyNumberFormat="1" applyFont="1" applyFill="1" applyBorder="1" applyAlignment="1" applyProtection="1">
      <alignment horizontal="center" vertical="center"/>
    </xf>
    <xf numFmtId="177" fontId="37" fillId="0" borderId="14" xfId="0" applyNumberFormat="1" applyFont="1" applyFill="1" applyBorder="1" applyAlignment="1" applyProtection="1">
      <alignment horizontal="center" vertical="center"/>
    </xf>
    <xf numFmtId="166" fontId="37" fillId="0" borderId="1" xfId="0" applyNumberFormat="1" applyFont="1" applyFill="1" applyBorder="1" applyAlignment="1" applyProtection="1">
      <alignment horizontal="center" vertical="center"/>
    </xf>
    <xf numFmtId="176" fontId="37" fillId="0" borderId="14" xfId="0" applyNumberFormat="1" applyFont="1" applyFill="1" applyBorder="1" applyAlignment="1" applyProtection="1">
      <alignment horizontal="center" vertical="center"/>
    </xf>
    <xf numFmtId="167" fontId="57" fillId="0" borderId="5" xfId="0" applyNumberFormat="1" applyFont="1" applyFill="1" applyBorder="1" applyAlignment="1" applyProtection="1">
      <alignment horizontal="center" vertical="center"/>
    </xf>
    <xf numFmtId="170" fontId="37" fillId="0" borderId="1" xfId="0" applyNumberFormat="1" applyFont="1" applyFill="1" applyBorder="1" applyAlignment="1" applyProtection="1">
      <alignment horizontal="center" vertical="center"/>
    </xf>
    <xf numFmtId="173" fontId="37" fillId="0" borderId="1" xfId="7" applyNumberFormat="1" applyFont="1" applyFill="1" applyBorder="1" applyAlignment="1" applyProtection="1">
      <alignment horizontal="center" vertical="center"/>
    </xf>
    <xf numFmtId="10" fontId="37" fillId="0" borderId="1" xfId="7" applyNumberFormat="1" applyFont="1" applyFill="1" applyBorder="1" applyAlignment="1" applyProtection="1">
      <alignment horizontal="center" vertical="center"/>
    </xf>
    <xf numFmtId="0" fontId="63" fillId="0" borderId="0" xfId="0" applyFont="1" applyAlignment="1" applyProtection="1">
      <alignment vertical="center"/>
    </xf>
    <xf numFmtId="0" fontId="9" fillId="0" borderId="0" xfId="0" applyFont="1" applyBorder="1" applyAlignment="1" applyProtection="1">
      <alignment horizontal="center" vertical="center"/>
    </xf>
    <xf numFmtId="166" fontId="9" fillId="0" borderId="5" xfId="0" applyNumberFormat="1" applyFont="1" applyFill="1" applyBorder="1" applyAlignment="1" applyProtection="1">
      <alignment horizontal="right" vertical="center"/>
    </xf>
    <xf numFmtId="177" fontId="9" fillId="0" borderId="14" xfId="1" applyNumberFormat="1" applyFont="1" applyFill="1" applyBorder="1" applyAlignment="1" applyProtection="1">
      <alignment horizontal="center" vertical="center"/>
    </xf>
    <xf numFmtId="176" fontId="16" fillId="0" borderId="14" xfId="1" applyNumberFormat="1" applyFont="1" applyFill="1" applyBorder="1" applyAlignment="1" applyProtection="1">
      <alignment horizontal="center" vertical="center"/>
    </xf>
    <xf numFmtId="166" fontId="16" fillId="0" borderId="1" xfId="0" applyNumberFormat="1" applyFont="1" applyFill="1" applyBorder="1" applyAlignment="1" applyProtection="1">
      <alignment horizontal="center" vertical="center"/>
    </xf>
    <xf numFmtId="176" fontId="9" fillId="0" borderId="14" xfId="1" applyNumberFormat="1" applyFont="1" applyFill="1" applyBorder="1" applyAlignment="1" applyProtection="1">
      <alignment horizontal="center" vertical="center"/>
    </xf>
    <xf numFmtId="166" fontId="9" fillId="0" borderId="1" xfId="0" applyNumberFormat="1" applyFont="1" applyFill="1" applyBorder="1" applyAlignment="1" applyProtection="1">
      <alignment horizontal="center" vertical="center"/>
    </xf>
    <xf numFmtId="173" fontId="9" fillId="0" borderId="1" xfId="7" applyNumberFormat="1" applyFont="1" applyFill="1" applyBorder="1" applyAlignment="1" applyProtection="1">
      <alignment horizontal="center" vertical="center"/>
    </xf>
    <xf numFmtId="0" fontId="5" fillId="0" borderId="1"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xf>
    <xf numFmtId="0" fontId="23" fillId="0" borderId="1" xfId="8"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xf>
    <xf numFmtId="0" fontId="9" fillId="0" borderId="3" xfId="0" applyFont="1" applyBorder="1" applyAlignment="1" applyProtection="1">
      <alignment horizontal="center" vertical="center"/>
    </xf>
    <xf numFmtId="0" fontId="9" fillId="0" borderId="1" xfId="0" applyFont="1" applyFill="1" applyBorder="1" applyAlignment="1" applyProtection="1">
      <alignment horizontal="center" vertical="center" wrapText="1"/>
    </xf>
    <xf numFmtId="0" fontId="9" fillId="0" borderId="1" xfId="0" applyFont="1" applyBorder="1" applyAlignment="1" applyProtection="1">
      <alignment horizontal="center" vertical="center"/>
    </xf>
    <xf numFmtId="0" fontId="9" fillId="0" borderId="1" xfId="0" applyFont="1" applyFill="1" applyBorder="1" applyAlignment="1" applyProtection="1">
      <alignment horizontal="center" vertical="center"/>
    </xf>
    <xf numFmtId="176" fontId="37" fillId="0" borderId="1" xfId="0" applyNumberFormat="1" applyFont="1" applyFill="1" applyBorder="1" applyAlignment="1" applyProtection="1">
      <alignment horizontal="center" vertical="center"/>
    </xf>
    <xf numFmtId="176" fontId="23" fillId="0" borderId="14" xfId="0" applyNumberFormat="1" applyFont="1" applyFill="1" applyBorder="1" applyAlignment="1" applyProtection="1">
      <alignment horizontal="center" vertical="center"/>
    </xf>
    <xf numFmtId="0" fontId="13" fillId="0" borderId="1"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xf>
    <xf numFmtId="0" fontId="23" fillId="0" borderId="3" xfId="8" applyFont="1" applyFill="1" applyBorder="1" applyAlignment="1" applyProtection="1">
      <alignment horizontal="center" vertical="center" wrapText="1"/>
    </xf>
    <xf numFmtId="0" fontId="56" fillId="0" borderId="0" xfId="0" applyFont="1" applyAlignment="1" applyProtection="1">
      <alignment vertical="center" wrapText="1"/>
    </xf>
    <xf numFmtId="14" fontId="37" fillId="5" borderId="5" xfId="0" applyNumberFormat="1" applyFont="1" applyFill="1" applyBorder="1" applyAlignment="1" applyProtection="1">
      <alignment vertical="center"/>
    </xf>
    <xf numFmtId="0" fontId="37" fillId="5" borderId="9" xfId="0" applyFont="1" applyFill="1" applyBorder="1" applyAlignment="1" applyProtection="1">
      <alignment vertical="center" wrapText="1"/>
    </xf>
    <xf numFmtId="174" fontId="37" fillId="5" borderId="5" xfId="0" applyNumberFormat="1" applyFont="1" applyFill="1" applyBorder="1" applyAlignment="1" applyProtection="1">
      <alignment vertical="center" wrapText="1"/>
    </xf>
    <xf numFmtId="174" fontId="37" fillId="5" borderId="9" xfId="0" applyNumberFormat="1" applyFont="1" applyFill="1" applyBorder="1" applyAlignment="1" applyProtection="1">
      <alignment vertical="center" wrapText="1"/>
    </xf>
    <xf numFmtId="0" fontId="37" fillId="0" borderId="5" xfId="0" quotePrefix="1" applyFont="1" applyFill="1" applyBorder="1" applyAlignment="1" applyProtection="1">
      <alignment vertical="center" wrapText="1"/>
    </xf>
    <xf numFmtId="0" fontId="37" fillId="0" borderId="4" xfId="0" quotePrefix="1" applyFont="1" applyFill="1" applyBorder="1" applyAlignment="1" applyProtection="1">
      <alignment vertical="center" wrapText="1"/>
    </xf>
    <xf numFmtId="0" fontId="37" fillId="0" borderId="6" xfId="0" applyFont="1" applyFill="1" applyBorder="1" applyAlignment="1" applyProtection="1">
      <alignment horizontal="center" vertical="center"/>
    </xf>
    <xf numFmtId="168" fontId="37" fillId="9" borderId="1" xfId="0" applyNumberFormat="1" applyFont="1" applyFill="1" applyBorder="1" applyAlignment="1">
      <alignment horizontal="center" vertical="center"/>
    </xf>
    <xf numFmtId="171" fontId="37" fillId="0" borderId="1" xfId="0" applyNumberFormat="1" applyFont="1" applyFill="1" applyBorder="1" applyAlignment="1">
      <alignment horizontal="center" vertical="center"/>
    </xf>
    <xf numFmtId="170" fontId="37" fillId="0" borderId="1" xfId="0" applyNumberFormat="1" applyFont="1" applyFill="1" applyBorder="1" applyAlignment="1" applyProtection="1">
      <alignment horizontal="center" vertical="center"/>
      <protection locked="0"/>
    </xf>
    <xf numFmtId="0" fontId="37" fillId="0" borderId="0" xfId="0" applyFont="1" applyFill="1" applyAlignment="1" applyProtection="1">
      <alignment horizontal="center" vertical="center"/>
    </xf>
    <xf numFmtId="0" fontId="37" fillId="0" borderId="0" xfId="0" applyFont="1" applyFill="1" applyBorder="1" applyAlignment="1" applyProtection="1">
      <alignment horizontal="center" vertical="center" wrapText="1"/>
    </xf>
    <xf numFmtId="0" fontId="37" fillId="0" borderId="5" xfId="0" applyFont="1" applyFill="1" applyBorder="1" applyAlignment="1" applyProtection="1">
      <alignment vertical="center" wrapText="1"/>
    </xf>
    <xf numFmtId="0" fontId="37" fillId="0" borderId="9" xfId="0" applyFont="1" applyFill="1" applyBorder="1" applyAlignment="1" applyProtection="1">
      <alignment vertical="center" wrapText="1"/>
    </xf>
    <xf numFmtId="0" fontId="37" fillId="0" borderId="9" xfId="0" applyNumberFormat="1" applyFont="1" applyFill="1" applyBorder="1" applyAlignment="1" applyProtection="1">
      <alignment horizontal="center" vertical="center" wrapText="1"/>
    </xf>
    <xf numFmtId="0" fontId="37" fillId="0" borderId="1" xfId="8" applyFont="1" applyFill="1" applyBorder="1" applyAlignment="1" applyProtection="1">
      <alignment horizontal="center" vertical="center"/>
    </xf>
    <xf numFmtId="0" fontId="41" fillId="0" borderId="1" xfId="0" applyFont="1" applyFill="1" applyBorder="1" applyAlignment="1">
      <alignment horizontal="center" vertical="center"/>
    </xf>
    <xf numFmtId="0" fontId="37" fillId="0" borderId="9" xfId="0" applyNumberFormat="1" applyFont="1" applyFill="1" applyBorder="1" applyAlignment="1">
      <alignment horizontal="center" vertical="center" wrapText="1"/>
    </xf>
    <xf numFmtId="0" fontId="37" fillId="9" borderId="1" xfId="0" applyFont="1" applyFill="1" applyBorder="1" applyAlignment="1">
      <alignment horizontal="center" vertical="center"/>
    </xf>
    <xf numFmtId="0" fontId="37" fillId="0" borderId="6" xfId="0" applyNumberFormat="1" applyFont="1" applyFill="1" applyBorder="1" applyAlignment="1">
      <alignment horizontal="center" vertical="center" wrapText="1"/>
    </xf>
    <xf numFmtId="0" fontId="37" fillId="0" borderId="5" xfId="0" applyNumberFormat="1" applyFont="1" applyFill="1" applyBorder="1" applyAlignment="1">
      <alignment horizontal="center" vertical="center"/>
    </xf>
    <xf numFmtId="0" fontId="37" fillId="0" borderId="1" xfId="0" applyFont="1" applyFill="1" applyBorder="1" applyAlignment="1" applyProtection="1">
      <alignment vertical="center" wrapText="1"/>
    </xf>
    <xf numFmtId="171" fontId="37" fillId="0" borderId="6" xfId="0" applyNumberFormat="1" applyFont="1" applyFill="1" applyBorder="1" applyAlignment="1">
      <alignment horizontal="center" vertical="center"/>
    </xf>
    <xf numFmtId="0" fontId="37" fillId="0" borderId="0" xfId="0" applyFont="1" applyFill="1" applyBorder="1" applyAlignment="1" applyProtection="1">
      <alignment horizontal="center" vertical="center" wrapText="1"/>
      <protection locked="0"/>
    </xf>
    <xf numFmtId="170" fontId="13" fillId="0" borderId="0" xfId="0" applyNumberFormat="1" applyFont="1" applyFill="1" applyAlignment="1">
      <alignment horizontal="center" vertical="center"/>
    </xf>
    <xf numFmtId="0" fontId="37" fillId="0" borderId="1" xfId="0" applyFont="1" applyFill="1" applyBorder="1" applyAlignment="1">
      <alignment horizontal="center" vertical="center" wrapText="1"/>
    </xf>
    <xf numFmtId="165" fontId="37" fillId="0" borderId="1" xfId="0" applyNumberFormat="1" applyFont="1" applyFill="1" applyBorder="1" applyAlignment="1" applyProtection="1">
      <alignment horizontal="center" vertical="center"/>
    </xf>
    <xf numFmtId="0" fontId="23" fillId="0" borderId="1" xfId="8" applyFont="1" applyFill="1" applyBorder="1" applyAlignment="1" applyProtection="1">
      <alignment horizontal="center" vertical="center"/>
    </xf>
    <xf numFmtId="167" fontId="23" fillId="0" borderId="1" xfId="8" applyNumberFormat="1" applyFont="1" applyFill="1" applyBorder="1" applyAlignment="1" applyProtection="1">
      <alignment horizontal="center" vertical="center"/>
    </xf>
    <xf numFmtId="0" fontId="37" fillId="0" borderId="3" xfId="0" applyFont="1" applyFill="1" applyBorder="1" applyAlignment="1" applyProtection="1">
      <alignment horizontal="center" vertical="center"/>
    </xf>
    <xf numFmtId="0" fontId="37" fillId="0" borderId="10" xfId="0" applyFont="1" applyFill="1" applyBorder="1" applyAlignment="1" applyProtection="1">
      <alignment horizontal="center" vertical="center"/>
    </xf>
    <xf numFmtId="0" fontId="37" fillId="0" borderId="2" xfId="0" applyFont="1" applyFill="1" applyBorder="1" applyAlignment="1" applyProtection="1">
      <alignment horizontal="center" vertical="center"/>
    </xf>
    <xf numFmtId="0" fontId="37" fillId="0" borderId="1" xfId="0" applyFont="1" applyFill="1" applyBorder="1" applyAlignment="1" applyProtection="1">
      <alignment horizontal="center" vertical="center"/>
    </xf>
    <xf numFmtId="0" fontId="23" fillId="0" borderId="5" xfId="8"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xf>
    <xf numFmtId="0" fontId="13" fillId="0" borderId="5" xfId="0" applyFont="1" applyFill="1" applyBorder="1" applyAlignment="1" applyProtection="1">
      <alignment horizontal="center" vertical="center" wrapText="1"/>
    </xf>
    <xf numFmtId="0" fontId="13" fillId="0" borderId="9" xfId="0" applyFont="1" applyFill="1" applyBorder="1" applyAlignment="1" applyProtection="1">
      <alignment horizontal="center" vertical="center" wrapText="1"/>
    </xf>
    <xf numFmtId="0" fontId="49" fillId="0" borderId="9" xfId="0" applyFont="1" applyFill="1" applyBorder="1" applyAlignment="1" applyProtection="1">
      <alignment horizontal="center" vertical="center" wrapText="1"/>
    </xf>
    <xf numFmtId="0" fontId="54" fillId="0" borderId="5" xfId="0" applyFont="1" applyFill="1" applyBorder="1" applyAlignment="1" applyProtection="1">
      <alignment horizontal="center" vertical="center" wrapText="1"/>
    </xf>
    <xf numFmtId="0" fontId="54" fillId="0" borderId="9" xfId="0" applyFont="1" applyFill="1" applyBorder="1" applyAlignment="1" applyProtection="1">
      <alignment horizontal="center" vertical="center" wrapText="1"/>
    </xf>
    <xf numFmtId="0" fontId="33" fillId="0" borderId="3" xfId="0" applyFont="1" applyFill="1" applyBorder="1" applyAlignment="1" applyProtection="1">
      <alignment horizontal="center" vertical="center"/>
    </xf>
    <xf numFmtId="0" fontId="33" fillId="0" borderId="2" xfId="0" applyFont="1" applyFill="1" applyBorder="1" applyAlignment="1" applyProtection="1">
      <alignment horizontal="center" vertical="center"/>
    </xf>
    <xf numFmtId="0" fontId="13" fillId="0" borderId="13" xfId="0" applyFont="1" applyFill="1" applyBorder="1" applyAlignment="1" applyProtection="1">
      <alignment horizontal="center" vertical="center" wrapText="1"/>
    </xf>
    <xf numFmtId="0" fontId="13" fillId="0" borderId="8" xfId="0" applyFont="1" applyFill="1" applyBorder="1" applyAlignment="1" applyProtection="1">
      <alignment horizontal="center" vertical="center" wrapText="1"/>
    </xf>
    <xf numFmtId="0" fontId="13" fillId="0" borderId="4" xfId="0" applyFont="1" applyFill="1" applyBorder="1" applyAlignment="1" applyProtection="1">
      <alignment horizontal="center" vertical="center" wrapText="1"/>
    </xf>
    <xf numFmtId="0" fontId="13" fillId="0" borderId="7"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3" fillId="0" borderId="11" xfId="0" applyFont="1" applyFill="1" applyBorder="1" applyAlignment="1" applyProtection="1">
      <alignment horizontal="center" vertical="center"/>
    </xf>
    <xf numFmtId="0" fontId="13" fillId="0" borderId="4" xfId="0" applyFont="1" applyFill="1" applyBorder="1" applyAlignment="1" applyProtection="1">
      <alignment horizontal="center" vertical="center"/>
    </xf>
    <xf numFmtId="0" fontId="23" fillId="0" borderId="1" xfId="0" applyFont="1" applyFill="1" applyBorder="1" applyAlignment="1" applyProtection="1">
      <alignment horizontal="center" vertical="center"/>
    </xf>
    <xf numFmtId="0" fontId="16" fillId="0" borderId="5" xfId="0" applyFont="1" applyFill="1" applyBorder="1" applyAlignment="1" applyProtection="1">
      <alignment horizontal="center" vertical="center"/>
    </xf>
    <xf numFmtId="0" fontId="16" fillId="0" borderId="5" xfId="0" applyFont="1" applyFill="1" applyBorder="1" applyAlignment="1" applyProtection="1">
      <alignment horizontal="center" vertical="center" wrapText="1"/>
    </xf>
    <xf numFmtId="0" fontId="9" fillId="0" borderId="9" xfId="8"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xf>
    <xf numFmtId="0" fontId="9" fillId="0" borderId="1" xfId="0" applyFont="1" applyBorder="1" applyAlignment="1" applyProtection="1">
      <alignment horizontal="center" vertical="center"/>
    </xf>
    <xf numFmtId="0" fontId="16"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3" fillId="0" borderId="5" xfId="0" applyFont="1" applyBorder="1" applyAlignment="1">
      <alignment horizontal="center" vertical="center"/>
    </xf>
    <xf numFmtId="0" fontId="23" fillId="0" borderId="5" xfId="0" applyFont="1" applyFill="1" applyBorder="1" applyAlignment="1">
      <alignment horizontal="center" vertical="center" wrapText="1"/>
    </xf>
    <xf numFmtId="20" fontId="0" fillId="6" borderId="0" xfId="0" applyNumberFormat="1" applyFill="1" applyBorder="1">
      <alignment vertical="center"/>
    </xf>
    <xf numFmtId="0" fontId="23"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7" fillId="6" borderId="13" xfId="0" applyFont="1" applyFill="1" applyBorder="1" applyAlignment="1">
      <alignment vertical="center"/>
    </xf>
    <xf numFmtId="0" fontId="37" fillId="6" borderId="8" xfId="0" applyFont="1" applyFill="1" applyBorder="1" applyAlignment="1">
      <alignment vertical="center"/>
    </xf>
    <xf numFmtId="0" fontId="37"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7" fillId="6" borderId="1" xfId="0" applyFont="1" applyFill="1" applyBorder="1" applyAlignment="1" applyProtection="1">
      <alignment horizontal="center" vertical="center"/>
    </xf>
    <xf numFmtId="0" fontId="61" fillId="6" borderId="1" xfId="0" applyFont="1" applyFill="1" applyBorder="1" applyAlignment="1" applyProtection="1">
      <alignment horizontal="center" vertical="center" wrapText="1"/>
    </xf>
    <xf numFmtId="0" fontId="23" fillId="6" borderId="1" xfId="0" applyFont="1" applyFill="1" applyBorder="1" applyAlignment="1" applyProtection="1">
      <alignment horizontal="center" vertical="center"/>
    </xf>
    <xf numFmtId="0" fontId="13" fillId="6" borderId="5" xfId="0" applyFont="1" applyFill="1" applyBorder="1" applyAlignment="1" applyProtection="1">
      <alignment horizontal="center" vertical="center" wrapText="1"/>
    </xf>
    <xf numFmtId="0" fontId="13" fillId="6" borderId="9" xfId="0" applyFont="1" applyFill="1" applyBorder="1" applyAlignment="1" applyProtection="1">
      <alignment horizontal="center" vertical="center" wrapText="1"/>
    </xf>
    <xf numFmtId="0" fontId="13"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1"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0" fillId="5" borderId="0" xfId="8" applyNumberFormat="1" applyFont="1" applyFill="1" applyBorder="1" applyAlignment="1" applyProtection="1">
      <alignment horizontal="center" vertical="center" wrapText="1"/>
      <protection locked="0"/>
    </xf>
    <xf numFmtId="0" fontId="23" fillId="0" borderId="4" xfId="0" applyFont="1" applyBorder="1" applyAlignment="1">
      <alignment horizontal="center" vertical="center"/>
    </xf>
    <xf numFmtId="0" fontId="13" fillId="6" borderId="0"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xf>
    <xf numFmtId="0" fontId="16" fillId="0" borderId="0" xfId="0" applyFont="1" applyFill="1" applyBorder="1" applyAlignment="1" applyProtection="1">
      <alignment horizontal="center" vertical="center" wrapText="1"/>
    </xf>
    <xf numFmtId="0" fontId="23" fillId="6" borderId="13" xfId="0" applyFont="1" applyFill="1" applyBorder="1" applyAlignment="1" applyProtection="1">
      <alignment horizontal="center" vertical="center"/>
    </xf>
    <xf numFmtId="0" fontId="23" fillId="6" borderId="11" xfId="0" applyFont="1" applyFill="1" applyBorder="1" applyAlignment="1" applyProtection="1">
      <alignment horizontal="center" vertical="center"/>
    </xf>
    <xf numFmtId="0" fontId="9" fillId="0" borderId="0" xfId="0" applyFont="1" applyBorder="1" applyAlignment="1" applyProtection="1">
      <alignment vertical="center" wrapText="1"/>
    </xf>
    <xf numFmtId="14" fontId="71" fillId="5" borderId="0" xfId="8" applyNumberFormat="1" applyFont="1" applyFill="1" applyBorder="1" applyAlignment="1" applyProtection="1">
      <alignment horizontal="center" vertical="center" wrapText="1"/>
      <protection locked="0"/>
    </xf>
    <xf numFmtId="175" fontId="9" fillId="0" borderId="0" xfId="0" applyNumberFormat="1" applyFont="1" applyFill="1" applyBorder="1" applyAlignment="1" applyProtection="1">
      <alignment vertical="center" wrapText="1"/>
    </xf>
    <xf numFmtId="14" fontId="23" fillId="0" borderId="0" xfId="8" applyNumberFormat="1" applyFont="1" applyFill="1" applyBorder="1" applyAlignment="1" applyProtection="1">
      <alignment vertical="center" wrapText="1"/>
      <protection locked="0"/>
    </xf>
    <xf numFmtId="0" fontId="13" fillId="0" borderId="0" xfId="8" applyFont="1" applyFill="1" applyBorder="1" applyAlignment="1" applyProtection="1">
      <alignment horizontal="center" vertical="center" wrapText="1"/>
      <protection locked="0"/>
    </xf>
    <xf numFmtId="20" fontId="13" fillId="0" borderId="0" xfId="8" applyNumberFormat="1"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xf>
    <xf numFmtId="0" fontId="13" fillId="0" borderId="0" xfId="0" applyFont="1" applyFill="1" applyBorder="1" applyAlignment="1" applyProtection="1">
      <alignment horizontal="center" vertical="center" wrapText="1"/>
    </xf>
    <xf numFmtId="14" fontId="23" fillId="0" borderId="0" xfId="8" applyNumberFormat="1" applyFont="1" applyFill="1" applyBorder="1" applyAlignment="1" applyProtection="1">
      <alignment horizontal="center" vertical="center" wrapText="1"/>
      <protection locked="0"/>
    </xf>
    <xf numFmtId="0" fontId="37" fillId="0" borderId="4" xfId="0" applyFont="1" applyFill="1" applyBorder="1" applyAlignment="1" applyProtection="1">
      <alignment horizontal="center" vertical="center"/>
    </xf>
    <xf numFmtId="0" fontId="13" fillId="0" borderId="7" xfId="0" applyFont="1" applyFill="1" applyBorder="1" applyAlignment="1" applyProtection="1">
      <alignment horizontal="center" vertical="center"/>
    </xf>
    <xf numFmtId="0" fontId="23" fillId="0" borderId="0" xfId="0" applyFont="1" applyBorder="1" applyAlignment="1">
      <alignment horizontal="center" vertical="center"/>
    </xf>
    <xf numFmtId="0" fontId="23" fillId="0" borderId="13" xfId="8" applyFont="1" applyFill="1" applyBorder="1" applyAlignment="1" applyProtection="1">
      <alignment horizontal="center" vertical="center"/>
    </xf>
    <xf numFmtId="14" fontId="23" fillId="0" borderId="8" xfId="8" applyNumberFormat="1" applyFont="1" applyFill="1" applyBorder="1" applyAlignment="1" applyProtection="1">
      <alignment horizontal="center" vertical="center" wrapText="1"/>
    </xf>
    <xf numFmtId="0" fontId="23"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7" fillId="6" borderId="24" xfId="0" applyFont="1" applyFill="1" applyBorder="1" applyAlignment="1">
      <alignment vertical="center"/>
    </xf>
    <xf numFmtId="0" fontId="37"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3"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7" fillId="6" borderId="1" xfId="0" applyFont="1" applyFill="1" applyBorder="1" applyAlignment="1">
      <alignment horizontal="center" vertical="center"/>
    </xf>
    <xf numFmtId="0" fontId="17" fillId="0" borderId="0" xfId="0" applyFont="1" applyFill="1" applyAlignment="1">
      <alignment horizontal="left" vertical="center"/>
    </xf>
    <xf numFmtId="0" fontId="37" fillId="4" borderId="0" xfId="0" applyFont="1" applyFill="1" applyAlignment="1" applyProtection="1">
      <alignment horizontal="center" vertical="center"/>
    </xf>
    <xf numFmtId="0" fontId="37" fillId="0" borderId="9" xfId="8" applyFont="1" applyFill="1" applyBorder="1" applyAlignment="1" applyProtection="1">
      <alignment horizontal="center" vertical="center"/>
    </xf>
    <xf numFmtId="179" fontId="61" fillId="0" borderId="7" xfId="0" applyNumberFormat="1" applyFont="1" applyFill="1" applyBorder="1" applyAlignment="1" applyProtection="1">
      <alignment horizontal="center" vertical="center"/>
      <protection locked="0"/>
    </xf>
    <xf numFmtId="170" fontId="37" fillId="7" borderId="5" xfId="0" applyNumberFormat="1" applyFont="1" applyFill="1" applyBorder="1" applyAlignment="1" applyProtection="1">
      <alignment vertical="center"/>
      <protection locked="0"/>
    </xf>
    <xf numFmtId="170" fontId="37" fillId="7" borderId="1" xfId="0" applyNumberFormat="1" applyFont="1" applyFill="1" applyBorder="1" applyAlignment="1" applyProtection="1">
      <alignment horizontal="center" vertical="center"/>
      <protection locked="0"/>
    </xf>
    <xf numFmtId="0" fontId="37" fillId="14" borderId="1" xfId="0" applyFont="1" applyFill="1" applyBorder="1" applyAlignment="1">
      <alignment horizontal="center" vertical="center"/>
    </xf>
    <xf numFmtId="171" fontId="37" fillId="14" borderId="1" xfId="0" applyNumberFormat="1" applyFont="1" applyFill="1" applyBorder="1" applyAlignment="1">
      <alignment horizontal="center" vertical="center"/>
    </xf>
    <xf numFmtId="169" fontId="37" fillId="14" borderId="1" xfId="0" applyNumberFormat="1" applyFont="1" applyFill="1" applyBorder="1" applyAlignment="1">
      <alignment horizontal="center" vertical="center"/>
    </xf>
    <xf numFmtId="170" fontId="37" fillId="14" borderId="5" xfId="0" applyNumberFormat="1" applyFont="1" applyFill="1" applyBorder="1" applyAlignment="1" applyProtection="1">
      <alignment vertical="center"/>
      <protection locked="0"/>
    </xf>
    <xf numFmtId="166" fontId="37" fillId="14" borderId="1" xfId="0" applyNumberFormat="1" applyFont="1" applyFill="1" applyBorder="1" applyAlignment="1">
      <alignment horizontal="center" vertical="center"/>
    </xf>
    <xf numFmtId="0" fontId="37" fillId="14" borderId="1" xfId="0" applyFont="1" applyFill="1" applyBorder="1" applyAlignment="1">
      <alignment horizontal="center" vertical="center" wrapText="1"/>
    </xf>
    <xf numFmtId="0" fontId="16" fillId="0" borderId="1" xfId="0" applyFont="1" applyFill="1" applyBorder="1" applyAlignment="1" applyProtection="1">
      <alignment horizontal="center" vertical="center"/>
    </xf>
    <xf numFmtId="0" fontId="37" fillId="14" borderId="4" xfId="0" applyFont="1" applyFill="1" applyBorder="1" applyAlignment="1">
      <alignment horizontal="left" vertical="center" wrapText="1"/>
    </xf>
    <xf numFmtId="168" fontId="37" fillId="0" borderId="5" xfId="0" applyNumberFormat="1" applyFont="1" applyFill="1" applyBorder="1" applyAlignment="1">
      <alignment horizontal="center" vertical="center"/>
    </xf>
    <xf numFmtId="0" fontId="37" fillId="0" borderId="3" xfId="0" applyFont="1" applyFill="1" applyBorder="1" applyAlignment="1" applyProtection="1">
      <alignment horizontal="center" vertical="center"/>
    </xf>
    <xf numFmtId="0" fontId="37" fillId="0" borderId="10" xfId="0" applyFont="1" applyFill="1" applyBorder="1" applyAlignment="1" applyProtection="1">
      <alignment horizontal="center" vertical="center"/>
    </xf>
    <xf numFmtId="0" fontId="37" fillId="0" borderId="2" xfId="0" applyFont="1" applyFill="1" applyBorder="1" applyAlignment="1" applyProtection="1">
      <alignment horizontal="center" vertical="center"/>
    </xf>
    <xf numFmtId="0" fontId="37" fillId="0" borderId="1" xfId="0" applyFont="1" applyFill="1" applyBorder="1" applyAlignment="1" applyProtection="1">
      <alignment horizontal="center" vertical="center"/>
    </xf>
    <xf numFmtId="0" fontId="23" fillId="0" borderId="1" xfId="0" applyFont="1" applyFill="1" applyBorder="1" applyAlignment="1" applyProtection="1">
      <alignment horizontal="center" vertical="center"/>
    </xf>
    <xf numFmtId="0" fontId="13" fillId="0" borderId="13" xfId="0" applyFont="1" applyFill="1" applyBorder="1" applyAlignment="1" applyProtection="1">
      <alignment horizontal="center" vertical="center" wrapText="1"/>
    </xf>
    <xf numFmtId="0" fontId="13" fillId="0" borderId="11"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3" fillId="0" borderId="5" xfId="0" applyFont="1" applyFill="1" applyBorder="1" applyAlignment="1" applyProtection="1">
      <alignment horizontal="center" vertical="center" wrapText="1"/>
    </xf>
    <xf numFmtId="0" fontId="13" fillId="0" borderId="9"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xf>
    <xf numFmtId="0" fontId="33" fillId="0" borderId="3" xfId="0" applyFont="1" applyFill="1" applyBorder="1" applyAlignment="1" applyProtection="1">
      <alignment horizontal="center" vertical="center"/>
    </xf>
    <xf numFmtId="0" fontId="33" fillId="0" borderId="2" xfId="0" applyFont="1" applyFill="1" applyBorder="1" applyAlignment="1" applyProtection="1">
      <alignment horizontal="center" vertical="center"/>
    </xf>
    <xf numFmtId="0" fontId="13" fillId="0" borderId="8" xfId="0" applyFont="1" applyFill="1" applyBorder="1" applyAlignment="1" applyProtection="1">
      <alignment horizontal="center" vertical="center" wrapText="1"/>
    </xf>
    <xf numFmtId="0" fontId="13" fillId="0" borderId="4" xfId="0" applyFont="1" applyFill="1" applyBorder="1" applyAlignment="1" applyProtection="1">
      <alignment horizontal="center" vertical="center" wrapText="1"/>
    </xf>
    <xf numFmtId="0" fontId="13" fillId="0" borderId="7" xfId="0" applyFont="1" applyFill="1" applyBorder="1" applyAlignment="1" applyProtection="1">
      <alignment horizontal="center" vertical="center" wrapText="1"/>
    </xf>
    <xf numFmtId="0" fontId="23" fillId="0" borderId="5" xfId="8"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xf>
    <xf numFmtId="0" fontId="49" fillId="0" borderId="9" xfId="0" applyFont="1" applyFill="1" applyBorder="1" applyAlignment="1" applyProtection="1">
      <alignment horizontal="center" vertical="center" wrapText="1"/>
    </xf>
    <xf numFmtId="0" fontId="54" fillId="0" borderId="5" xfId="0" applyFont="1" applyFill="1" applyBorder="1" applyAlignment="1" applyProtection="1">
      <alignment horizontal="center" vertical="center" wrapText="1"/>
    </xf>
    <xf numFmtId="0" fontId="54" fillId="0" borderId="9" xfId="0" applyFont="1" applyFill="1" applyBorder="1" applyAlignment="1" applyProtection="1">
      <alignment horizontal="center" vertical="center" wrapText="1"/>
    </xf>
    <xf numFmtId="0" fontId="16" fillId="0" borderId="5" xfId="0" applyFont="1" applyFill="1" applyBorder="1" applyAlignment="1" applyProtection="1">
      <alignment horizontal="center" vertical="center"/>
    </xf>
    <xf numFmtId="0" fontId="16" fillId="0" borderId="5" xfId="0" applyFont="1" applyFill="1" applyBorder="1" applyAlignment="1" applyProtection="1">
      <alignment horizontal="center" vertical="center" wrapText="1"/>
    </xf>
    <xf numFmtId="0" fontId="9" fillId="0" borderId="9" xfId="8"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xf>
    <xf numFmtId="0" fontId="9" fillId="0" borderId="1" xfId="0" applyFont="1" applyBorder="1" applyAlignment="1" applyProtection="1">
      <alignment horizontal="center" vertical="center"/>
    </xf>
    <xf numFmtId="0" fontId="16" fillId="0" borderId="0"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xf>
    <xf numFmtId="0" fontId="37" fillId="0" borderId="4" xfId="0" applyFont="1" applyFill="1" applyBorder="1" applyAlignment="1" applyProtection="1">
      <alignment horizontal="center" vertical="center"/>
    </xf>
    <xf numFmtId="0" fontId="13" fillId="0" borderId="7" xfId="0" applyFont="1" applyFill="1" applyBorder="1" applyAlignment="1" applyProtection="1">
      <alignment horizontal="center" vertical="center"/>
    </xf>
    <xf numFmtId="170" fontId="37" fillId="0" borderId="9" xfId="0" applyNumberFormat="1" applyFont="1" applyFill="1" applyBorder="1" applyAlignment="1" applyProtection="1">
      <alignment vertical="center"/>
      <protection locked="0"/>
    </xf>
    <xf numFmtId="170" fontId="37" fillId="0" borderId="6" xfId="0" applyNumberFormat="1" applyFont="1" applyFill="1" applyBorder="1" applyAlignment="1" applyProtection="1">
      <alignment horizontal="center" vertical="center"/>
      <protection locked="0"/>
    </xf>
    <xf numFmtId="0" fontId="51" fillId="0" borderId="0" xfId="0" applyFont="1" applyFill="1" applyAlignment="1" applyProtection="1">
      <alignment horizontal="center" vertical="center"/>
      <protection locked="0"/>
    </xf>
    <xf numFmtId="0" fontId="67" fillId="0" borderId="0" xfId="0" applyFont="1" applyFill="1" applyAlignment="1" applyProtection="1">
      <alignment horizontal="center" vertical="center"/>
      <protection locked="0"/>
    </xf>
    <xf numFmtId="0" fontId="49" fillId="0" borderId="1" xfId="0" applyFont="1" applyFill="1" applyBorder="1" applyAlignment="1" applyProtection="1">
      <alignment horizontal="center" vertical="center" wrapText="1"/>
      <protection locked="0"/>
    </xf>
    <xf numFmtId="0" fontId="69" fillId="0" borderId="1" xfId="0" applyFont="1" applyFill="1" applyBorder="1" applyAlignment="1" applyProtection="1">
      <alignment horizontal="center" vertical="center"/>
    </xf>
    <xf numFmtId="0" fontId="49" fillId="0" borderId="1" xfId="0" applyFont="1" applyFill="1" applyBorder="1" applyAlignment="1" applyProtection="1">
      <alignment horizontal="center" vertical="center" wrapText="1"/>
    </xf>
    <xf numFmtId="0" fontId="69" fillId="0" borderId="1" xfId="0" applyFont="1" applyFill="1" applyBorder="1" applyAlignment="1">
      <alignment horizontal="center" vertical="center"/>
    </xf>
    <xf numFmtId="14" fontId="76" fillId="5" borderId="8" xfId="8" applyNumberFormat="1" applyFont="1" applyFill="1" applyBorder="1" applyAlignment="1" applyProtection="1">
      <alignment horizontal="center" vertical="center" wrapText="1"/>
      <protection locked="0"/>
    </xf>
    <xf numFmtId="0" fontId="9" fillId="0" borderId="5" xfId="0" applyFont="1" applyBorder="1" applyAlignment="1" applyProtection="1">
      <alignment vertical="center" wrapText="1"/>
    </xf>
    <xf numFmtId="0" fontId="9" fillId="0" borderId="9" xfId="0" applyFont="1" applyBorder="1" applyAlignment="1" applyProtection="1">
      <alignment vertical="center" wrapText="1"/>
    </xf>
    <xf numFmtId="0" fontId="9" fillId="0" borderId="6" xfId="0" applyFont="1" applyBorder="1" applyAlignment="1" applyProtection="1">
      <alignment vertical="center" wrapText="1"/>
    </xf>
    <xf numFmtId="0" fontId="9" fillId="0" borderId="9" xfId="0" applyFont="1" applyBorder="1" applyAlignment="1" applyProtection="1">
      <alignment vertical="center"/>
    </xf>
    <xf numFmtId="0" fontId="61" fillId="0" borderId="5" xfId="0" applyFont="1" applyFill="1" applyBorder="1" applyAlignment="1" applyProtection="1">
      <alignment vertical="center" wrapText="1"/>
    </xf>
    <xf numFmtId="0" fontId="61" fillId="0" borderId="9" xfId="0" applyFont="1" applyFill="1" applyBorder="1" applyAlignment="1" applyProtection="1">
      <alignment vertical="center" wrapText="1"/>
    </xf>
    <xf numFmtId="0" fontId="61" fillId="0" borderId="6" xfId="0" applyFont="1" applyFill="1" applyBorder="1" applyAlignment="1" applyProtection="1">
      <alignment vertical="center" wrapText="1"/>
    </xf>
    <xf numFmtId="0" fontId="61" fillId="0" borderId="9" xfId="0" applyFont="1" applyFill="1" applyBorder="1" applyAlignment="1" applyProtection="1">
      <alignment vertical="center"/>
    </xf>
    <xf numFmtId="0" fontId="23" fillId="0" borderId="5" xfId="8" applyFont="1" applyFill="1" applyBorder="1" applyAlignment="1" applyProtection="1">
      <alignment vertical="center" wrapText="1"/>
    </xf>
    <xf numFmtId="0" fontId="23" fillId="0" borderId="9" xfId="8" applyFont="1" applyFill="1" applyBorder="1" applyAlignment="1" applyProtection="1">
      <alignment vertical="center" wrapText="1"/>
    </xf>
    <xf numFmtId="0" fontId="23" fillId="0" borderId="6" xfId="8" applyFont="1" applyFill="1" applyBorder="1" applyAlignment="1" applyProtection="1">
      <alignment vertical="center" wrapText="1"/>
    </xf>
    <xf numFmtId="0" fontId="13" fillId="0" borderId="1" xfId="8" applyNumberFormat="1" applyFont="1" applyFill="1" applyBorder="1" applyAlignment="1" applyProtection="1">
      <alignment horizontal="center" vertical="center"/>
      <protection locked="0"/>
    </xf>
    <xf numFmtId="0" fontId="13" fillId="0" borderId="1" xfId="8" applyNumberFormat="1" applyFont="1" applyFill="1" applyBorder="1" applyAlignment="1" applyProtection="1">
      <alignment horizontal="center" vertical="center" wrapText="1"/>
      <protection locked="0"/>
    </xf>
    <xf numFmtId="49" fontId="90" fillId="0" borderId="1" xfId="0" applyNumberFormat="1" applyFont="1" applyBorder="1" applyAlignment="1">
      <alignment horizontal="center" vertical="center"/>
    </xf>
    <xf numFmtId="0" fontId="37" fillId="0" borderId="0" xfId="0" applyFont="1" applyFill="1" applyAlignment="1">
      <alignment horizontal="center" vertical="center"/>
    </xf>
    <xf numFmtId="0" fontId="37" fillId="0" borderId="7" xfId="0" applyFont="1" applyFill="1" applyBorder="1" applyAlignment="1">
      <alignment horizontal="center" vertical="center"/>
    </xf>
    <xf numFmtId="0" fontId="37" fillId="0" borderId="10" xfId="0" applyFont="1" applyFill="1" applyBorder="1" applyAlignment="1" applyProtection="1">
      <alignment horizontal="center" vertical="center" wrapText="1"/>
      <protection locked="0"/>
    </xf>
    <xf numFmtId="0" fontId="37" fillId="0" borderId="1" xfId="8" applyNumberFormat="1" applyFont="1" applyFill="1" applyBorder="1" applyAlignment="1" applyProtection="1">
      <alignment horizontal="center" vertical="center"/>
      <protection locked="0"/>
    </xf>
    <xf numFmtId="0" fontId="37" fillId="0" borderId="7" xfId="0" applyFont="1" applyFill="1" applyBorder="1" applyAlignment="1" applyProtection="1">
      <alignment vertical="center"/>
    </xf>
    <xf numFmtId="0" fontId="37" fillId="5" borderId="6" xfId="0" applyFont="1" applyFill="1" applyBorder="1" applyAlignment="1" applyProtection="1">
      <alignment vertical="center" wrapText="1"/>
    </xf>
    <xf numFmtId="0" fontId="37" fillId="0" borderId="9" xfId="0" quotePrefix="1" applyFont="1" applyFill="1" applyBorder="1" applyAlignment="1" applyProtection="1">
      <alignment horizontal="centerContinuous" vertical="center"/>
    </xf>
    <xf numFmtId="0" fontId="37" fillId="0" borderId="6" xfId="0" quotePrefix="1" applyFont="1" applyFill="1" applyBorder="1" applyAlignment="1" applyProtection="1">
      <alignment horizontal="centerContinuous" vertical="center"/>
    </xf>
    <xf numFmtId="0" fontId="23" fillId="0" borderId="1" xfId="8" applyFont="1" applyFill="1" applyBorder="1" applyAlignment="1" applyProtection="1">
      <alignment horizontal="center" vertical="center" wrapText="1"/>
      <protection locked="0"/>
    </xf>
    <xf numFmtId="0" fontId="49" fillId="6" borderId="1" xfId="0" applyFont="1" applyFill="1" applyBorder="1" applyAlignment="1">
      <alignment horizontal="center" vertical="center"/>
    </xf>
    <xf numFmtId="183" fontId="23" fillId="0" borderId="1" xfId="8" applyNumberFormat="1" applyFont="1" applyFill="1" applyBorder="1" applyAlignment="1" applyProtection="1">
      <alignment horizontal="center" vertical="center" wrapText="1"/>
      <protection locked="0"/>
    </xf>
    <xf numFmtId="184" fontId="23" fillId="0" borderId="1" xfId="8" applyNumberFormat="1" applyFont="1" applyFill="1" applyBorder="1" applyAlignment="1" applyProtection="1">
      <alignment horizontal="center" vertical="center" wrapText="1"/>
      <protection locked="0"/>
    </xf>
    <xf numFmtId="168" fontId="49" fillId="0" borderId="1" xfId="0" applyNumberFormat="1" applyFont="1" applyFill="1" applyBorder="1" applyAlignment="1">
      <alignment horizontal="center" vertical="center"/>
    </xf>
    <xf numFmtId="0" fontId="50" fillId="0" borderId="1" xfId="0" applyFont="1" applyFill="1" applyBorder="1" applyAlignment="1">
      <alignment horizontal="center" vertical="center"/>
    </xf>
    <xf numFmtId="14" fontId="37" fillId="5" borderId="9" xfId="0" applyNumberFormat="1" applyFont="1" applyFill="1" applyBorder="1" applyAlignment="1" applyProtection="1">
      <alignment vertical="center"/>
    </xf>
    <xf numFmtId="0" fontId="37" fillId="0" borderId="9" xfId="0" applyFont="1" applyFill="1" applyBorder="1" applyAlignment="1" applyProtection="1">
      <alignment horizontal="center" vertical="center"/>
    </xf>
    <xf numFmtId="0" fontId="37" fillId="0" borderId="3" xfId="0" applyFont="1" applyFill="1" applyBorder="1" applyAlignment="1">
      <alignment horizontal="center" vertical="center"/>
    </xf>
    <xf numFmtId="0" fontId="37" fillId="0" borderId="2" xfId="0" applyFont="1" applyFill="1" applyBorder="1" applyAlignment="1">
      <alignment horizontal="center" vertical="center"/>
    </xf>
    <xf numFmtId="0" fontId="49" fillId="0" borderId="2" xfId="0" applyFont="1" applyFill="1" applyBorder="1" applyAlignment="1" applyProtection="1">
      <alignment horizontal="center" vertical="center" wrapText="1"/>
    </xf>
    <xf numFmtId="0" fontId="37" fillId="0" borderId="2" xfId="0" applyFont="1" applyFill="1" applyBorder="1" applyAlignment="1" applyProtection="1">
      <alignment horizontal="center" vertical="center" wrapText="1"/>
    </xf>
    <xf numFmtId="0" fontId="37" fillId="0" borderId="2" xfId="0" applyNumberFormat="1" applyFont="1" applyFill="1" applyBorder="1" applyAlignment="1" applyProtection="1">
      <alignment horizontal="center" vertical="center" wrapText="1"/>
    </xf>
    <xf numFmtId="0" fontId="37" fillId="0" borderId="5" xfId="0" applyFont="1" applyFill="1" applyBorder="1" applyAlignment="1" applyProtection="1">
      <alignment horizontal="centerContinuous" vertical="center" wrapText="1"/>
    </xf>
    <xf numFmtId="0" fontId="37" fillId="0" borderId="9" xfId="0" applyFont="1" applyFill="1" applyBorder="1" applyAlignment="1" applyProtection="1">
      <alignment horizontal="centerContinuous" vertical="center" wrapText="1"/>
    </xf>
    <xf numFmtId="0" fontId="37" fillId="0" borderId="5" xfId="0" quotePrefix="1" applyFont="1" applyFill="1" applyBorder="1" applyAlignment="1" applyProtection="1">
      <alignment horizontal="centerContinuous" vertical="center"/>
    </xf>
    <xf numFmtId="0" fontId="37" fillId="0" borderId="9" xfId="0" applyFont="1" applyFill="1" applyBorder="1" applyAlignment="1" applyProtection="1">
      <alignment horizontal="centerContinuous" vertical="center"/>
    </xf>
    <xf numFmtId="0" fontId="37" fillId="0" borderId="6" xfId="0" applyFont="1" applyFill="1" applyBorder="1" applyAlignment="1" applyProtection="1">
      <alignment horizontal="centerContinuous" vertical="center"/>
    </xf>
    <xf numFmtId="0" fontId="37" fillId="12" borderId="3" xfId="0" applyFont="1" applyFill="1" applyBorder="1" applyAlignment="1">
      <alignment horizontal="center" vertical="center"/>
    </xf>
    <xf numFmtId="0" fontId="72" fillId="4" borderId="9" xfId="0" applyFont="1" applyFill="1" applyBorder="1" applyAlignment="1" applyProtection="1">
      <alignment horizontal="centerContinuous" vertical="center"/>
    </xf>
    <xf numFmtId="0" fontId="37" fillId="4" borderId="9" xfId="0" applyFont="1" applyFill="1" applyBorder="1" applyAlignment="1" applyProtection="1">
      <alignment horizontal="centerContinuous" vertical="center"/>
    </xf>
    <xf numFmtId="0" fontId="37" fillId="4" borderId="0" xfId="0" applyFont="1" applyFill="1" applyAlignment="1" applyProtection="1">
      <alignment horizontal="centerContinuous" vertical="center"/>
    </xf>
    <xf numFmtId="0" fontId="93" fillId="0" borderId="0" xfId="0" applyFont="1" applyFill="1" applyAlignment="1">
      <alignment horizontal="center" vertical="center"/>
    </xf>
    <xf numFmtId="0" fontId="93" fillId="0" borderId="0" xfId="0" applyFont="1" applyFill="1" applyAlignment="1">
      <alignment horizontal="centerContinuous" vertical="center" wrapText="1"/>
    </xf>
    <xf numFmtId="0" fontId="93" fillId="0" borderId="0" xfId="0" applyFont="1" applyFill="1" applyAlignment="1">
      <alignment horizontal="centerContinuous" vertical="center"/>
    </xf>
    <xf numFmtId="0" fontId="93" fillId="0" borderId="7" xfId="0" applyFont="1" applyFill="1" applyBorder="1" applyAlignment="1" applyProtection="1">
      <alignment vertical="center" wrapText="1"/>
    </xf>
    <xf numFmtId="0" fontId="93" fillId="0" borderId="7" xfId="0" applyFont="1" applyFill="1" applyBorder="1" applyAlignment="1">
      <alignment horizontal="centerContinuous" vertical="center" wrapText="1"/>
    </xf>
    <xf numFmtId="0" fontId="93" fillId="0" borderId="7" xfId="0" applyFont="1" applyFill="1" applyBorder="1" applyAlignment="1">
      <alignment horizontal="centerContinuous" vertical="center"/>
    </xf>
    <xf numFmtId="0" fontId="37" fillId="0" borderId="3" xfId="0" applyFont="1" applyFill="1" applyBorder="1" applyAlignment="1">
      <alignment vertical="center" wrapText="1"/>
    </xf>
    <xf numFmtId="0" fontId="37"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49" fillId="0" borderId="5" xfId="0" applyFont="1" applyFill="1" applyBorder="1" applyAlignment="1" applyProtection="1">
      <alignment vertical="center"/>
    </xf>
    <xf numFmtId="0" fontId="49" fillId="0" borderId="9" xfId="0" applyFont="1" applyFill="1" applyBorder="1" applyAlignment="1" applyProtection="1">
      <alignment horizontal="centerContinuous" vertical="center"/>
    </xf>
    <xf numFmtId="169" fontId="49" fillId="0" borderId="1" xfId="0" applyNumberFormat="1" applyFont="1" applyFill="1" applyBorder="1" applyAlignment="1" applyProtection="1">
      <alignment horizontal="center" vertical="center"/>
    </xf>
    <xf numFmtId="169" fontId="49" fillId="0" borderId="1" xfId="8" applyNumberFormat="1" applyFont="1" applyFill="1" applyBorder="1" applyAlignment="1" applyProtection="1">
      <alignment horizontal="center" vertical="center"/>
    </xf>
    <xf numFmtId="166" fontId="49" fillId="0" borderId="5" xfId="0" applyNumberFormat="1" applyFont="1" applyFill="1" applyBorder="1" applyAlignment="1">
      <alignment horizontal="center" vertical="center"/>
    </xf>
    <xf numFmtId="170" fontId="49" fillId="0" borderId="1" xfId="0" applyNumberFormat="1" applyFont="1" applyFill="1" applyBorder="1" applyAlignment="1" applyProtection="1">
      <alignment horizontal="center" vertical="center"/>
    </xf>
    <xf numFmtId="173" fontId="49" fillId="0" borderId="1" xfId="7" applyNumberFormat="1" applyFont="1" applyFill="1" applyBorder="1" applyAlignment="1" applyProtection="1">
      <alignment horizontal="center" vertical="center"/>
    </xf>
    <xf numFmtId="169" fontId="49" fillId="0" borderId="1" xfId="0" applyNumberFormat="1" applyFont="1" applyFill="1" applyBorder="1" applyAlignment="1">
      <alignment horizontal="center" vertical="center"/>
    </xf>
    <xf numFmtId="168" fontId="49" fillId="0" borderId="6" xfId="0" applyNumberFormat="1" applyFont="1" applyFill="1" applyBorder="1" applyAlignment="1" applyProtection="1">
      <alignment horizontal="center" vertical="center"/>
    </xf>
    <xf numFmtId="10" fontId="49" fillId="0" borderId="1" xfId="7" applyNumberFormat="1" applyFont="1" applyFill="1" applyBorder="1" applyAlignment="1" applyProtection="1">
      <alignment horizontal="center" vertical="center"/>
    </xf>
    <xf numFmtId="171" fontId="49" fillId="0" borderId="6" xfId="0" applyNumberFormat="1" applyFont="1" applyFill="1" applyBorder="1" applyAlignment="1" applyProtection="1">
      <alignment horizontal="center" vertical="center"/>
    </xf>
    <xf numFmtId="0" fontId="49" fillId="4" borderId="9" xfId="0" applyFont="1" applyFill="1" applyBorder="1" applyAlignment="1" applyProtection="1">
      <alignment horizontal="centerContinuous" vertical="center"/>
    </xf>
    <xf numFmtId="0" fontId="49" fillId="0" borderId="5" xfId="0" applyFont="1" applyFill="1" applyBorder="1" applyAlignment="1" applyProtection="1">
      <alignment horizontal="centerContinuous" vertical="center" wrapText="1"/>
    </xf>
    <xf numFmtId="0" fontId="49" fillId="0" borderId="9" xfId="0" applyFont="1" applyFill="1" applyBorder="1" applyAlignment="1" applyProtection="1">
      <alignment horizontal="centerContinuous" vertical="center" wrapText="1"/>
    </xf>
    <xf numFmtId="0" fontId="92" fillId="0" borderId="6" xfId="0" applyFont="1" applyBorder="1" applyAlignment="1">
      <alignment horizontal="centerContinuous" vertical="center" wrapText="1"/>
    </xf>
    <xf numFmtId="168" fontId="49" fillId="0" borderId="5" xfId="0" applyNumberFormat="1" applyFont="1" applyFill="1" applyBorder="1" applyAlignment="1">
      <alignment horizontal="center" vertical="center"/>
    </xf>
    <xf numFmtId="0" fontId="49" fillId="0" borderId="0" xfId="0" applyFont="1" applyFill="1" applyBorder="1" applyAlignment="1">
      <alignment horizontal="center" vertical="center"/>
    </xf>
    <xf numFmtId="0" fontId="49" fillId="4" borderId="0" xfId="0" applyFont="1" applyFill="1" applyAlignment="1" applyProtection="1">
      <alignment horizontal="centerContinuous" vertical="center"/>
    </xf>
    <xf numFmtId="0" fontId="4" fillId="0" borderId="0" xfId="82"/>
    <xf numFmtId="43" fontId="96" fillId="36" borderId="1" xfId="83" applyFont="1" applyFill="1" applyBorder="1" applyAlignment="1">
      <alignment horizontal="center" vertical="center"/>
    </xf>
    <xf numFmtId="0" fontId="96" fillId="36" borderId="1" xfId="82" applyFont="1" applyFill="1" applyBorder="1" applyAlignment="1">
      <alignment horizontal="center" vertical="center"/>
    </xf>
    <xf numFmtId="0" fontId="95" fillId="0" borderId="0" xfId="82" applyFont="1"/>
    <xf numFmtId="43" fontId="0" fillId="0" borderId="0" xfId="83" applyFont="1"/>
    <xf numFmtId="0" fontId="96" fillId="0" borderId="0" xfId="82" applyFont="1"/>
    <xf numFmtId="0" fontId="4" fillId="0" borderId="1" xfId="82" applyFont="1" applyBorder="1"/>
    <xf numFmtId="0" fontId="4" fillId="0" borderId="0" xfId="82" applyFont="1"/>
    <xf numFmtId="0" fontId="37" fillId="35" borderId="0" xfId="0" applyFont="1" applyFill="1">
      <alignment vertical="center"/>
    </xf>
    <xf numFmtId="0" fontId="97" fillId="35" borderId="0" xfId="0" applyFont="1" applyFill="1">
      <alignment vertical="center"/>
    </xf>
    <xf numFmtId="0" fontId="99" fillId="0" borderId="0" xfId="0" applyFont="1" applyAlignment="1">
      <alignment horizontal="center" vertical="center"/>
    </xf>
    <xf numFmtId="0" fontId="23" fillId="0" borderId="1"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xf>
    <xf numFmtId="0" fontId="37" fillId="0" borderId="1" xfId="0" applyFont="1" applyFill="1" applyBorder="1" applyAlignment="1" applyProtection="1">
      <alignment horizontal="center" vertical="center" wrapText="1"/>
    </xf>
    <xf numFmtId="0" fontId="23" fillId="0" borderId="5" xfId="0" applyFont="1" applyFill="1" applyBorder="1" applyAlignment="1" applyProtection="1">
      <alignment horizontal="center" vertical="center" wrapText="1"/>
    </xf>
    <xf numFmtId="0" fontId="51" fillId="0" borderId="5" xfId="0" applyFont="1" applyFill="1" applyBorder="1" applyAlignment="1">
      <alignment horizontal="center" vertical="center" wrapText="1"/>
    </xf>
    <xf numFmtId="0" fontId="16" fillId="0" borderId="6" xfId="0" applyFont="1" applyFill="1" applyBorder="1" applyAlignment="1" applyProtection="1">
      <alignment horizontal="center" vertical="center" wrapText="1"/>
    </xf>
    <xf numFmtId="0" fontId="31" fillId="0" borderId="1"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xf>
    <xf numFmtId="0" fontId="51" fillId="0" borderId="13" xfId="0" applyFont="1" applyFill="1" applyBorder="1" applyAlignment="1">
      <alignment horizontal="center" vertical="center" wrapText="1"/>
    </xf>
    <xf numFmtId="0" fontId="17" fillId="0" borderId="0" xfId="0" applyFont="1">
      <alignment vertical="center"/>
    </xf>
    <xf numFmtId="0" fontId="37" fillId="0" borderId="0" xfId="0" applyFont="1">
      <alignment vertical="center"/>
    </xf>
    <xf numFmtId="0" fontId="97" fillId="0" borderId="0" xfId="0" applyFont="1">
      <alignment vertical="center"/>
    </xf>
    <xf numFmtId="0" fontId="49" fillId="0" borderId="0" xfId="0" applyFont="1">
      <alignment vertical="center"/>
    </xf>
    <xf numFmtId="0" fontId="101" fillId="0" borderId="0" xfId="0" applyFont="1">
      <alignment vertical="center"/>
    </xf>
    <xf numFmtId="20" fontId="101" fillId="0" borderId="0" xfId="0" applyNumberFormat="1" applyFont="1" applyAlignment="1">
      <alignment horizontal="left" vertical="center"/>
    </xf>
    <xf numFmtId="0" fontId="102" fillId="0" borderId="0" xfId="0" applyFont="1">
      <alignment vertical="center"/>
    </xf>
    <xf numFmtId="20" fontId="97" fillId="0" borderId="0" xfId="0" applyNumberFormat="1" applyFont="1" applyAlignment="1">
      <alignment horizontal="left" vertical="center"/>
    </xf>
    <xf numFmtId="0" fontId="102" fillId="0" borderId="1" xfId="0" applyFont="1" applyBorder="1" applyAlignment="1">
      <alignment horizontal="center" vertical="center"/>
    </xf>
    <xf numFmtId="0" fontId="102" fillId="0" borderId="1" xfId="0" applyFont="1" applyBorder="1" applyAlignment="1">
      <alignment horizontal="center" wrapText="1"/>
    </xf>
    <xf numFmtId="0" fontId="102" fillId="0" borderId="1" xfId="0" applyFont="1" applyFill="1" applyBorder="1" applyAlignment="1">
      <alignment horizontal="center" vertical="center"/>
    </xf>
    <xf numFmtId="0" fontId="37" fillId="0" borderId="0" xfId="0" applyFont="1" applyAlignment="1">
      <alignment horizontal="center" vertical="center"/>
    </xf>
    <xf numFmtId="0" fontId="49" fillId="0" borderId="1" xfId="0" applyFont="1" applyBorder="1" applyAlignment="1">
      <alignment horizontal="center" vertical="center"/>
    </xf>
    <xf numFmtId="0" fontId="49" fillId="0" borderId="1" xfId="0" applyFont="1" applyBorder="1" applyAlignment="1">
      <alignment horizontal="center" wrapText="1"/>
    </xf>
    <xf numFmtId="0" fontId="49" fillId="0" borderId="0" xfId="0" applyFont="1" applyAlignment="1">
      <alignment horizontal="center" vertical="center"/>
    </xf>
    <xf numFmtId="0" fontId="102" fillId="0" borderId="1" xfId="0" applyFont="1" applyBorder="1" applyAlignment="1"/>
    <xf numFmtId="0" fontId="102" fillId="11" borderId="1" xfId="0" applyFont="1" applyFill="1" applyBorder="1" applyAlignment="1" applyProtection="1">
      <protection locked="0"/>
    </xf>
    <xf numFmtId="10" fontId="102" fillId="0" borderId="1" xfId="7" applyNumberFormat="1" applyFont="1" applyBorder="1" applyAlignment="1"/>
    <xf numFmtId="0" fontId="49" fillId="0" borderId="1" xfId="0" applyFont="1" applyBorder="1" applyAlignment="1"/>
    <xf numFmtId="0" fontId="49" fillId="11" borderId="1" xfId="0" applyFont="1" applyFill="1" applyBorder="1" applyAlignment="1" applyProtection="1">
      <protection locked="0"/>
    </xf>
    <xf numFmtId="10" fontId="49" fillId="0" borderId="1" xfId="7" applyNumberFormat="1" applyFont="1" applyBorder="1" applyAlignment="1"/>
    <xf numFmtId="0" fontId="102" fillId="0" borderId="0" xfId="0" applyFont="1" applyAlignment="1"/>
    <xf numFmtId="10" fontId="102" fillId="5" borderId="0" xfId="0" applyNumberFormat="1" applyFont="1" applyFill="1" applyAlignment="1"/>
    <xf numFmtId="0" fontId="49" fillId="0" borderId="0" xfId="0" applyFont="1" applyAlignment="1"/>
    <xf numFmtId="10" fontId="49" fillId="5" borderId="0" xfId="0" applyNumberFormat="1" applyFont="1" applyFill="1" applyAlignment="1"/>
    <xf numFmtId="0" fontId="50" fillId="0" borderId="0" xfId="0" applyFont="1" applyFill="1" applyAlignment="1"/>
    <xf numFmtId="20" fontId="53" fillId="0" borderId="0" xfId="0" applyNumberFormat="1" applyFont="1" applyAlignment="1">
      <alignment horizontal="left" vertical="center"/>
    </xf>
    <xf numFmtId="10" fontId="50" fillId="0" borderId="0" xfId="0" applyNumberFormat="1" applyFont="1" applyFill="1" applyAlignment="1"/>
    <xf numFmtId="0" fontId="37" fillId="0" borderId="0" xfId="0" applyFont="1" applyFill="1">
      <alignment vertical="center"/>
    </xf>
    <xf numFmtId="0" fontId="49" fillId="0" borderId="0" xfId="0" applyFont="1" applyFill="1" applyAlignment="1"/>
    <xf numFmtId="10" fontId="49" fillId="0" borderId="0" xfId="0" applyNumberFormat="1" applyFont="1" applyFill="1" applyAlignment="1"/>
    <xf numFmtId="0" fontId="49" fillId="0" borderId="0" xfId="0" applyFont="1" applyFill="1">
      <alignment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50" fillId="0" borderId="0" xfId="0" applyFont="1" applyAlignment="1"/>
    <xf numFmtId="10" fontId="50" fillId="5" borderId="0" xfId="0" applyNumberFormat="1" applyFont="1" applyFill="1" applyAlignment="1"/>
    <xf numFmtId="10" fontId="49" fillId="5" borderId="6" xfId="7" applyNumberFormat="1" applyFont="1" applyFill="1" applyBorder="1" applyAlignment="1" applyProtection="1">
      <alignment horizontal="center" vertical="center"/>
    </xf>
    <xf numFmtId="179" fontId="57" fillId="38" borderId="7" xfId="0" applyNumberFormat="1" applyFont="1" applyFill="1" applyBorder="1" applyAlignment="1" applyProtection="1">
      <alignment horizontal="center" vertical="center"/>
      <protection locked="0"/>
    </xf>
    <xf numFmtId="0" fontId="37" fillId="38" borderId="0" xfId="0" applyFont="1" applyFill="1" applyAlignment="1" applyProtection="1">
      <protection locked="0"/>
    </xf>
    <xf numFmtId="10" fontId="37" fillId="38" borderId="0" xfId="0" applyNumberFormat="1" applyFont="1" applyFill="1" applyAlignment="1" applyProtection="1">
      <protection locked="0"/>
    </xf>
    <xf numFmtId="16" fontId="103" fillId="38" borderId="1" xfId="0" applyNumberFormat="1" applyFont="1" applyFill="1" applyBorder="1" applyAlignment="1" applyProtection="1">
      <alignment horizontal="center" vertical="center" wrapText="1"/>
      <protection locked="0"/>
    </xf>
    <xf numFmtId="10" fontId="103" fillId="38" borderId="6" xfId="7" applyNumberFormat="1" applyFont="1" applyFill="1" applyBorder="1" applyAlignment="1" applyProtection="1">
      <alignment horizontal="center" vertical="center" wrapText="1"/>
      <protection locked="0"/>
    </xf>
    <xf numFmtId="16" fontId="104" fillId="38" borderId="1" xfId="0" applyNumberFormat="1" applyFont="1" applyFill="1" applyBorder="1" applyAlignment="1" applyProtection="1">
      <alignment horizontal="center" vertical="center" wrapText="1"/>
      <protection locked="0"/>
    </xf>
    <xf numFmtId="10" fontId="104" fillId="38" borderId="6" xfId="7" applyNumberFormat="1" applyFont="1" applyFill="1" applyBorder="1" applyAlignment="1" applyProtection="1">
      <alignment horizontal="center" vertical="center" wrapText="1"/>
      <protection locked="0"/>
    </xf>
    <xf numFmtId="0" fontId="102" fillId="0" borderId="0" xfId="0" applyFont="1" applyBorder="1" applyAlignment="1"/>
    <xf numFmtId="10" fontId="102" fillId="0" borderId="0" xfId="7" applyNumberFormat="1" applyFont="1" applyBorder="1" applyAlignment="1"/>
    <xf numFmtId="0" fontId="102" fillId="0" borderId="0" xfId="0" applyFont="1" applyFill="1" applyAlignment="1"/>
    <xf numFmtId="0" fontId="54" fillId="38" borderId="1" xfId="0" applyFont="1" applyFill="1" applyBorder="1" applyAlignment="1" applyProtection="1">
      <alignment horizontal="center" vertical="center" wrapText="1"/>
      <protection locked="0"/>
    </xf>
    <xf numFmtId="10" fontId="54" fillId="38" borderId="6" xfId="7" applyNumberFormat="1" applyFont="1" applyFill="1" applyBorder="1" applyAlignment="1" applyProtection="1">
      <alignment horizontal="center" vertical="center" wrapText="1"/>
      <protection locked="0"/>
    </xf>
    <xf numFmtId="0" fontId="50" fillId="0" borderId="0" xfId="0" applyFont="1">
      <alignment vertical="center"/>
    </xf>
    <xf numFmtId="20" fontId="53" fillId="0" borderId="0" xfId="0" applyNumberFormat="1" applyFont="1" applyFill="1" applyAlignment="1">
      <alignment horizontal="left" vertical="center"/>
    </xf>
    <xf numFmtId="0" fontId="50" fillId="0" borderId="0" xfId="0" applyFont="1" applyFill="1">
      <alignment vertical="center"/>
    </xf>
    <xf numFmtId="0" fontId="50" fillId="0" borderId="1" xfId="0" applyFont="1" applyFill="1" applyBorder="1" applyAlignment="1">
      <alignment horizontal="center" wrapText="1"/>
    </xf>
    <xf numFmtId="0" fontId="50" fillId="0" borderId="0" xfId="0" applyFont="1" applyBorder="1" applyAlignment="1"/>
    <xf numFmtId="10" fontId="50" fillId="0" borderId="0" xfId="7" applyNumberFormat="1" applyFont="1" applyBorder="1" applyAlignment="1"/>
    <xf numFmtId="0" fontId="37" fillId="0" borderId="0" xfId="0" applyFont="1" applyAlignment="1"/>
    <xf numFmtId="0" fontId="23" fillId="0" borderId="11"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wrapText="1"/>
      <protection locked="0"/>
    </xf>
    <xf numFmtId="0" fontId="23" fillId="0" borderId="3" xfId="0" applyFont="1" applyFill="1" applyBorder="1" applyAlignment="1">
      <alignment vertical="center" wrapText="1"/>
    </xf>
    <xf numFmtId="0" fontId="105" fillId="0" borderId="10" xfId="0" applyFont="1" applyFill="1" applyBorder="1" applyAlignment="1">
      <alignment horizontal="left" vertical="center" wrapText="1"/>
    </xf>
    <xf numFmtId="0" fontId="105" fillId="0" borderId="2" xfId="0" applyFont="1" applyFill="1" applyBorder="1" applyAlignment="1">
      <alignment horizontal="left" vertical="center" wrapText="1"/>
    </xf>
    <xf numFmtId="0" fontId="23" fillId="0" borderId="13" xfId="0" applyFont="1" applyFill="1" applyBorder="1" applyAlignment="1">
      <alignment vertical="center" wrapText="1"/>
    </xf>
    <xf numFmtId="0" fontId="105" fillId="0" borderId="0" xfId="0" applyFont="1" applyFill="1" applyBorder="1" applyAlignment="1">
      <alignment horizontal="left" vertical="center" wrapText="1"/>
    </xf>
    <xf numFmtId="0" fontId="105" fillId="0" borderId="4" xfId="0" applyFont="1" applyFill="1" applyBorder="1" applyAlignment="1">
      <alignment horizontal="left" vertical="center" wrapText="1"/>
    </xf>
    <xf numFmtId="0" fontId="23" fillId="14" borderId="4" xfId="0" applyFont="1" applyFill="1" applyBorder="1" applyAlignment="1" applyProtection="1">
      <alignment horizontal="center" vertical="center" wrapText="1"/>
      <protection locked="0"/>
    </xf>
    <xf numFmtId="0" fontId="105" fillId="14" borderId="0"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0" xfId="0" applyFont="1" applyFill="1" applyBorder="1" applyAlignment="1" applyProtection="1">
      <alignment horizontal="center" vertical="center" wrapText="1"/>
      <protection locked="0"/>
    </xf>
    <xf numFmtId="0" fontId="23" fillId="0" borderId="0" xfId="0" applyFont="1" applyBorder="1" applyAlignment="1" applyProtection="1">
      <alignment horizontal="center" vertical="center"/>
      <protection locked="0"/>
    </xf>
    <xf numFmtId="0" fontId="23" fillId="0" borderId="4" xfId="0" applyFont="1" applyFill="1" applyBorder="1" applyAlignment="1" applyProtection="1">
      <alignment horizontal="center" vertical="center" wrapText="1"/>
      <protection locked="0"/>
    </xf>
    <xf numFmtId="0" fontId="23" fillId="0" borderId="1"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23" fillId="0" borderId="1" xfId="0" applyFont="1" applyBorder="1" applyAlignment="1" applyProtection="1">
      <alignment horizontal="center" vertical="center"/>
      <protection locked="0"/>
    </xf>
    <xf numFmtId="0" fontId="106" fillId="0" borderId="0" xfId="0" applyFont="1" applyFill="1" applyBorder="1" applyAlignment="1" applyProtection="1">
      <alignment horizontal="centerContinuous" vertical="distributed" wrapText="1"/>
    </xf>
    <xf numFmtId="0" fontId="107" fillId="0" borderId="0" xfId="0" applyFont="1" applyFill="1" applyBorder="1" applyAlignment="1" applyProtection="1">
      <alignment horizontal="centerContinuous" vertical="distributed" wrapText="1"/>
    </xf>
    <xf numFmtId="0" fontId="49" fillId="0" borderId="0" xfId="0" applyFont="1" applyFill="1" applyAlignment="1">
      <alignment horizontal="left" vertical="center"/>
    </xf>
    <xf numFmtId="174" fontId="37" fillId="5" borderId="1" xfId="0" applyNumberFormat="1" applyFont="1" applyFill="1" applyBorder="1" applyAlignment="1" applyProtection="1">
      <alignment horizontal="centerContinuous" vertical="center"/>
    </xf>
    <xf numFmtId="0" fontId="49" fillId="0" borderId="13" xfId="0" applyFont="1" applyFill="1" applyBorder="1" applyAlignment="1" applyProtection="1">
      <alignment horizontal="center" vertical="center"/>
    </xf>
    <xf numFmtId="0" fontId="49" fillId="9" borderId="13" xfId="0" quotePrefix="1" applyFont="1" applyFill="1" applyBorder="1" applyAlignment="1" applyProtection="1">
      <alignment vertical="center" wrapText="1"/>
    </xf>
    <xf numFmtId="0" fontId="49" fillId="0" borderId="5" xfId="0" quotePrefix="1" applyFont="1" applyFill="1" applyBorder="1" applyAlignment="1" applyProtection="1">
      <alignment vertical="center" wrapText="1"/>
    </xf>
    <xf numFmtId="0" fontId="49" fillId="0" borderId="1" xfId="0" quotePrefix="1" applyFont="1" applyFill="1" applyBorder="1" applyAlignment="1" applyProtection="1">
      <alignment vertical="center" wrapText="1"/>
    </xf>
    <xf numFmtId="0" fontId="37" fillId="0" borderId="0" xfId="0" applyFont="1" applyFill="1" applyBorder="1" applyAlignment="1" applyProtection="1">
      <alignment horizontal="center" vertical="center"/>
    </xf>
    <xf numFmtId="0" fontId="49" fillId="9" borderId="4" xfId="0" applyFont="1" applyFill="1" applyBorder="1" applyAlignment="1" applyProtection="1">
      <alignment vertical="center" wrapText="1"/>
    </xf>
    <xf numFmtId="0" fontId="49" fillId="0" borderId="1" xfId="0" applyNumberFormat="1" applyFont="1" applyFill="1" applyBorder="1" applyAlignment="1" applyProtection="1">
      <alignment horizontal="center" vertical="center"/>
    </xf>
    <xf numFmtId="185" fontId="49" fillId="9" borderId="6" xfId="0" applyNumberFormat="1" applyFont="1" applyFill="1" applyBorder="1" applyAlignment="1" applyProtection="1">
      <alignment horizontal="center" vertical="center"/>
    </xf>
    <xf numFmtId="186" fontId="49" fillId="0" borderId="6" xfId="0" applyNumberFormat="1" applyFont="1" applyFill="1" applyBorder="1" applyAlignment="1" applyProtection="1">
      <alignment horizontal="center" vertical="center"/>
    </xf>
    <xf numFmtId="170" fontId="49" fillId="0" borderId="6" xfId="0" applyNumberFormat="1" applyFont="1" applyFill="1" applyBorder="1" applyAlignment="1" applyProtection="1">
      <alignment horizontal="center" vertical="center"/>
      <protection locked="0"/>
    </xf>
    <xf numFmtId="170" fontId="49" fillId="0" borderId="1" xfId="0" applyNumberFormat="1" applyFont="1" applyFill="1" applyBorder="1" applyAlignment="1" applyProtection="1">
      <alignment horizontal="center" vertical="center"/>
      <protection locked="0"/>
    </xf>
    <xf numFmtId="187" fontId="49" fillId="9" borderId="6" xfId="0" applyNumberFormat="1" applyFont="1" applyFill="1" applyBorder="1" applyAlignment="1" applyProtection="1">
      <alignment horizontal="center" vertical="center"/>
    </xf>
    <xf numFmtId="186" fontId="49" fillId="9" borderId="6" xfId="0" applyNumberFormat="1" applyFont="1" applyFill="1" applyBorder="1" applyAlignment="1" applyProtection="1">
      <alignment horizontal="center" vertical="center"/>
    </xf>
    <xf numFmtId="170" fontId="49" fillId="0" borderId="1" xfId="0" applyNumberFormat="1" applyFont="1" applyFill="1" applyBorder="1" applyAlignment="1">
      <alignment horizontal="center" vertical="center"/>
    </xf>
    <xf numFmtId="176" fontId="49" fillId="9" borderId="1" xfId="1" applyNumberFormat="1" applyFont="1" applyFill="1" applyBorder="1" applyAlignment="1">
      <alignment horizontal="center" vertical="center"/>
    </xf>
    <xf numFmtId="0" fontId="49" fillId="0" borderId="8" xfId="0" applyFont="1" applyFill="1" applyBorder="1" applyAlignment="1">
      <alignment horizontal="center" vertical="center" wrapText="1"/>
    </xf>
    <xf numFmtId="0" fontId="49" fillId="0" borderId="9" xfId="0" applyNumberFormat="1" applyFont="1" applyFill="1" applyBorder="1" applyAlignment="1">
      <alignment horizontal="center" vertical="center" wrapText="1"/>
    </xf>
    <xf numFmtId="0" fontId="49" fillId="0" borderId="9" xfId="0" applyFont="1" applyFill="1" applyBorder="1" applyAlignment="1">
      <alignment vertical="center"/>
    </xf>
    <xf numFmtId="0" fontId="37" fillId="0" borderId="13" xfId="0" applyFont="1" applyFill="1" applyBorder="1" applyAlignment="1" applyProtection="1">
      <alignment horizontal="center" vertical="center"/>
    </xf>
    <xf numFmtId="0" fontId="49" fillId="9" borderId="11" xfId="0" quotePrefix="1" applyFont="1" applyFill="1" applyBorder="1" applyAlignment="1" applyProtection="1">
      <alignment vertical="center" wrapText="1"/>
    </xf>
    <xf numFmtId="0" fontId="49" fillId="0" borderId="4" xfId="0" quotePrefix="1" applyFont="1" applyFill="1" applyBorder="1" applyAlignment="1" applyProtection="1">
      <alignment vertical="center" wrapText="1"/>
    </xf>
    <xf numFmtId="0" fontId="49" fillId="0" borderId="3" xfId="0" applyFont="1" applyFill="1" applyBorder="1" applyAlignment="1">
      <alignment horizontal="center" vertical="center"/>
    </xf>
    <xf numFmtId="187" fontId="49" fillId="0" borderId="6" xfId="0" applyNumberFormat="1" applyFont="1" applyFill="1" applyBorder="1" applyAlignment="1" applyProtection="1">
      <alignment horizontal="center" vertical="center"/>
    </xf>
    <xf numFmtId="168" fontId="37" fillId="0" borderId="1" xfId="0" applyNumberFormat="1" applyFont="1" applyFill="1" applyBorder="1" applyAlignment="1" applyProtection="1">
      <alignment horizontal="center" vertical="center"/>
    </xf>
    <xf numFmtId="0" fontId="37" fillId="0" borderId="16" xfId="0" applyFont="1" applyFill="1" applyBorder="1" applyAlignment="1">
      <alignment horizontal="center" vertical="center" wrapText="1"/>
    </xf>
    <xf numFmtId="185" fontId="49" fillId="0" borderId="6" xfId="0" applyNumberFormat="1" applyFont="1" applyFill="1" applyBorder="1" applyAlignment="1" applyProtection="1">
      <alignment horizontal="center" vertical="center"/>
    </xf>
    <xf numFmtId="0" fontId="49" fillId="0" borderId="0" xfId="0" applyNumberFormat="1" applyFont="1" applyFill="1" applyBorder="1" applyAlignment="1">
      <alignment horizontal="center" vertical="center" wrapText="1"/>
    </xf>
    <xf numFmtId="0" fontId="49" fillId="0" borderId="7" xfId="0" applyFont="1" applyFill="1" applyBorder="1" applyAlignment="1">
      <alignment vertical="center"/>
    </xf>
    <xf numFmtId="0" fontId="49" fillId="0" borderId="0" xfId="0" applyFont="1" applyFill="1" applyBorder="1" applyAlignment="1" applyProtection="1">
      <alignment horizontal="center" vertical="center"/>
    </xf>
    <xf numFmtId="0" fontId="49" fillId="0" borderId="0" xfId="0" applyFont="1" applyFill="1" applyBorder="1" applyAlignment="1">
      <alignment horizontal="center" vertical="center" wrapText="1"/>
    </xf>
    <xf numFmtId="14" fontId="49" fillId="5" borderId="5" xfId="0" applyNumberFormat="1" applyFont="1" applyFill="1" applyBorder="1" applyAlignment="1">
      <alignment horizontal="left" vertical="center"/>
    </xf>
    <xf numFmtId="0" fontId="49" fillId="5" borderId="9" xfId="0" applyFont="1" applyFill="1" applyBorder="1" applyAlignment="1">
      <alignment vertical="center" wrapText="1"/>
    </xf>
    <xf numFmtId="0" fontId="49" fillId="5" borderId="6" xfId="0" applyFont="1" applyFill="1" applyBorder="1" applyAlignment="1">
      <alignment vertical="center" wrapText="1"/>
    </xf>
    <xf numFmtId="174" fontId="49" fillId="5" borderId="13" xfId="0" applyNumberFormat="1" applyFont="1" applyFill="1" applyBorder="1" applyAlignment="1">
      <alignment vertical="center" wrapText="1"/>
    </xf>
    <xf numFmtId="0" fontId="10" fillId="5" borderId="9" xfId="0" applyFont="1" applyFill="1" applyBorder="1" applyAlignment="1">
      <alignment vertical="center"/>
    </xf>
    <xf numFmtId="16" fontId="37" fillId="0" borderId="1" xfId="0" applyNumberFormat="1" applyFont="1" applyFill="1" applyBorder="1" applyAlignment="1">
      <alignment horizontal="center" vertical="center" wrapText="1"/>
    </xf>
    <xf numFmtId="170" fontId="37" fillId="0" borderId="1" xfId="0" applyNumberFormat="1" applyFont="1" applyFill="1" applyBorder="1" applyAlignment="1">
      <alignment horizontal="left" vertical="center"/>
    </xf>
    <xf numFmtId="170" fontId="37" fillId="0" borderId="1" xfId="0" applyNumberFormat="1" applyFont="1" applyFill="1" applyBorder="1" applyAlignment="1">
      <alignment horizontal="right" vertical="center"/>
    </xf>
    <xf numFmtId="0" fontId="37" fillId="0" borderId="5" xfId="0" applyFont="1" applyFill="1" applyBorder="1" applyAlignment="1" applyProtection="1">
      <alignment horizontal="center" vertical="center"/>
    </xf>
    <xf numFmtId="0" fontId="49" fillId="4" borderId="5" xfId="0" applyFont="1" applyFill="1" applyBorder="1" applyAlignment="1">
      <alignment vertical="center" wrapText="1"/>
    </xf>
    <xf numFmtId="0" fontId="49" fillId="4" borderId="9" xfId="0" applyFont="1" applyFill="1" applyBorder="1" applyAlignment="1">
      <alignment vertical="center" wrapText="1"/>
    </xf>
    <xf numFmtId="0" fontId="49" fillId="4" borderId="9" xfId="0" applyFont="1" applyFill="1" applyBorder="1" applyAlignment="1">
      <alignment vertical="center"/>
    </xf>
    <xf numFmtId="0" fontId="49" fillId="4" borderId="0" xfId="0" applyFont="1" applyFill="1" applyBorder="1" applyAlignment="1">
      <alignment vertical="center" wrapText="1"/>
    </xf>
    <xf numFmtId="0" fontId="24" fillId="0" borderId="5" xfId="0" applyFont="1" applyFill="1" applyBorder="1" applyAlignment="1" applyProtection="1">
      <alignment horizontal="center" vertical="center"/>
    </xf>
    <xf numFmtId="0" fontId="49" fillId="0" borderId="11" xfId="0" applyFont="1" applyFill="1" applyBorder="1" applyAlignment="1" applyProtection="1">
      <alignment horizontal="center" vertical="center"/>
    </xf>
    <xf numFmtId="0" fontId="49" fillId="0" borderId="5" xfId="0" applyNumberFormat="1" applyFont="1" applyFill="1" applyBorder="1" applyAlignment="1" applyProtection="1">
      <alignment horizontal="center" vertical="center"/>
    </xf>
    <xf numFmtId="0" fontId="37" fillId="39" borderId="6" xfId="0" applyNumberFormat="1" applyFont="1" applyFill="1" applyBorder="1" applyAlignment="1" applyProtection="1">
      <alignment horizontal="center" vertical="center"/>
    </xf>
    <xf numFmtId="0" fontId="49" fillId="9" borderId="1" xfId="0" applyFont="1" applyFill="1" applyBorder="1" applyAlignment="1" applyProtection="1">
      <alignment horizontal="center" vertical="center"/>
      <protection locked="0"/>
    </xf>
    <xf numFmtId="170" fontId="49" fillId="0" borderId="5" xfId="0" applyNumberFormat="1" applyFont="1" applyFill="1" applyBorder="1" applyAlignment="1" applyProtection="1">
      <alignment horizontal="center" vertical="center"/>
      <protection locked="0"/>
    </xf>
    <xf numFmtId="170" fontId="37" fillId="39" borderId="6" xfId="0" applyNumberFormat="1" applyFont="1" applyFill="1" applyBorder="1" applyAlignment="1" applyProtection="1">
      <alignment horizontal="center" vertical="center"/>
      <protection locked="0"/>
    </xf>
    <xf numFmtId="168" fontId="49" fillId="9" borderId="1" xfId="0" applyNumberFormat="1" applyFont="1" applyFill="1" applyBorder="1" applyAlignment="1">
      <alignment horizontal="center" vertical="center"/>
    </xf>
    <xf numFmtId="0" fontId="49" fillId="9" borderId="1" xfId="0" applyFont="1" applyFill="1" applyBorder="1" applyAlignment="1">
      <alignment horizontal="center" vertical="center"/>
    </xf>
    <xf numFmtId="170" fontId="37" fillId="39" borderId="9" xfId="0" applyNumberFormat="1" applyFont="1" applyFill="1" applyBorder="1" applyAlignment="1" applyProtection="1">
      <alignment horizontal="center" vertical="center"/>
      <protection locked="0"/>
    </xf>
    <xf numFmtId="0" fontId="37" fillId="39" borderId="6" xfId="0" applyFont="1" applyFill="1" applyBorder="1" applyAlignment="1">
      <alignment horizontal="center" vertical="center" wrapText="1"/>
    </xf>
    <xf numFmtId="0" fontId="37" fillId="39" borderId="9" xfId="0" applyNumberFormat="1" applyFont="1" applyFill="1" applyBorder="1" applyAlignment="1" applyProtection="1">
      <alignment horizontal="center" vertical="center" wrapText="1"/>
      <protection locked="0"/>
    </xf>
    <xf numFmtId="0" fontId="49" fillId="0" borderId="1" xfId="0" applyNumberFormat="1" applyFont="1" applyFill="1" applyBorder="1" applyAlignment="1" applyProtection="1">
      <alignment horizontal="center" vertical="center" wrapText="1"/>
      <protection locked="0"/>
    </xf>
    <xf numFmtId="0" fontId="37" fillId="39" borderId="0" xfId="0" applyFont="1" applyFill="1" applyAlignment="1">
      <alignment horizontal="center" vertical="center"/>
    </xf>
    <xf numFmtId="0" fontId="111" fillId="0" borderId="0" xfId="0" applyFont="1" applyFill="1" applyAlignment="1" applyProtection="1">
      <alignment horizontal="center" vertical="center" wrapText="1"/>
    </xf>
    <xf numFmtId="0" fontId="110" fillId="0" borderId="0" xfId="0" applyFont="1" applyFill="1" applyAlignment="1" applyProtection="1">
      <alignment horizontal="center" vertical="center" wrapText="1"/>
    </xf>
    <xf numFmtId="0" fontId="112" fillId="0" borderId="0" xfId="0" applyFont="1" applyFill="1" applyAlignment="1" applyProtection="1">
      <alignment horizontal="center" vertical="center" wrapText="1"/>
    </xf>
    <xf numFmtId="14" fontId="31" fillId="0" borderId="7" xfId="8" applyNumberFormat="1" applyFont="1" applyFill="1" applyBorder="1" applyAlignment="1" applyProtection="1">
      <alignment horizontal="center" vertical="center" wrapText="1"/>
      <protection locked="0"/>
    </xf>
    <xf numFmtId="20" fontId="17" fillId="0" borderId="7" xfId="8" applyNumberFormat="1" applyFont="1" applyFill="1" applyBorder="1" applyAlignment="1" applyProtection="1">
      <alignment horizontal="center" vertical="center" wrapText="1"/>
      <protection locked="0"/>
    </xf>
    <xf numFmtId="0" fontId="23" fillId="0" borderId="0" xfId="8" applyFont="1" applyFill="1" applyBorder="1" applyAlignment="1" applyProtection="1">
      <alignment horizontal="center" vertical="center" wrapText="1"/>
      <protection locked="0"/>
    </xf>
    <xf numFmtId="0" fontId="17" fillId="0" borderId="5" xfId="0" applyFont="1" applyFill="1" applyBorder="1" applyAlignment="1" applyProtection="1">
      <alignment horizontal="center" vertical="center"/>
      <protection locked="0"/>
    </xf>
    <xf numFmtId="0" fontId="114" fillId="0" borderId="9" xfId="0" applyFont="1" applyFill="1" applyBorder="1" applyAlignment="1" applyProtection="1">
      <alignment vertical="center"/>
    </xf>
    <xf numFmtId="0" fontId="17" fillId="0" borderId="9" xfId="0" applyFont="1" applyFill="1" applyBorder="1" applyAlignment="1" applyProtection="1">
      <alignment vertical="center" wrapText="1"/>
    </xf>
    <xf numFmtId="0" fontId="24" fillId="0" borderId="9" xfId="0" applyFont="1" applyFill="1" applyBorder="1" applyAlignment="1" applyProtection="1">
      <alignment vertical="center" wrapText="1"/>
    </xf>
    <xf numFmtId="0" fontId="24" fillId="0" borderId="6" xfId="0" applyFont="1" applyFill="1" applyBorder="1" applyAlignment="1" applyProtection="1">
      <alignment vertical="center" wrapText="1"/>
    </xf>
    <xf numFmtId="0" fontId="24" fillId="0" borderId="0" xfId="0" applyFont="1" applyFill="1" applyBorder="1" applyAlignment="1" applyProtection="1">
      <alignment horizontal="center" vertical="center"/>
      <protection locked="0"/>
    </xf>
    <xf numFmtId="0" fontId="24" fillId="0" borderId="1" xfId="0" applyFont="1" applyFill="1" applyBorder="1" applyAlignment="1" applyProtection="1">
      <alignment vertical="center"/>
    </xf>
    <xf numFmtId="169" fontId="37" fillId="0" borderId="1" xfId="0" applyNumberFormat="1" applyFont="1" applyFill="1" applyBorder="1" applyAlignment="1">
      <alignment horizontal="left" vertical="center"/>
    </xf>
    <xf numFmtId="169" fontId="37" fillId="0" borderId="1" xfId="0" applyNumberFormat="1" applyFont="1" applyFill="1" applyBorder="1" applyAlignment="1">
      <alignment horizontal="right" vertical="center"/>
    </xf>
    <xf numFmtId="0" fontId="115" fillId="4" borderId="5" xfId="0" applyFont="1" applyFill="1" applyBorder="1" applyAlignment="1" applyProtection="1">
      <alignment vertical="center" wrapText="1"/>
    </xf>
    <xf numFmtId="0" fontId="115" fillId="4" borderId="9" xfId="0" applyFont="1" applyFill="1" applyBorder="1" applyAlignment="1" applyProtection="1">
      <alignment vertical="center" wrapText="1"/>
    </xf>
    <xf numFmtId="0" fontId="115" fillId="4" borderId="9" xfId="0" applyFont="1" applyFill="1" applyBorder="1" applyAlignment="1" applyProtection="1">
      <alignment vertical="center"/>
    </xf>
    <xf numFmtId="0" fontId="115" fillId="4" borderId="6" xfId="0" applyFont="1" applyFill="1" applyBorder="1" applyAlignment="1" applyProtection="1">
      <alignment vertical="center" wrapText="1"/>
    </xf>
    <xf numFmtId="0" fontId="24" fillId="0" borderId="1"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protection locked="0"/>
    </xf>
    <xf numFmtId="0" fontId="76" fillId="4" borderId="5" xfId="0" applyFont="1" applyFill="1" applyBorder="1" applyAlignment="1" applyProtection="1">
      <alignment vertical="center" wrapText="1"/>
    </xf>
    <xf numFmtId="0" fontId="76" fillId="4" borderId="9" xfId="0" applyFont="1" applyFill="1" applyBorder="1" applyAlignment="1" applyProtection="1">
      <alignment vertical="center" wrapText="1"/>
    </xf>
    <xf numFmtId="0" fontId="76" fillId="4" borderId="9" xfId="0" applyFont="1" applyFill="1" applyBorder="1" applyAlignment="1" applyProtection="1">
      <alignment vertical="center"/>
    </xf>
    <xf numFmtId="0" fontId="76" fillId="4" borderId="6" xfId="0" applyFont="1" applyFill="1" applyBorder="1" applyAlignment="1" applyProtection="1">
      <alignment vertical="center" wrapText="1"/>
    </xf>
    <xf numFmtId="0" fontId="116" fillId="0" borderId="0" xfId="0" applyFont="1" applyFill="1" applyAlignment="1" applyProtection="1">
      <alignment horizontal="center" vertical="center" wrapText="1"/>
    </xf>
    <xf numFmtId="0" fontId="29" fillId="0" borderId="0" xfId="0" applyFont="1" applyFill="1" applyAlignment="1" applyProtection="1">
      <alignment horizontal="center" vertical="center"/>
    </xf>
    <xf numFmtId="0" fontId="62" fillId="0" borderId="0" xfId="0" applyFont="1" applyFill="1" applyAlignment="1" applyProtection="1">
      <alignment horizontal="center" vertical="center"/>
    </xf>
    <xf numFmtId="0" fontId="17" fillId="0" borderId="0" xfId="0" applyFont="1" applyFill="1" applyBorder="1" applyAlignment="1" applyProtection="1">
      <alignment horizontal="center" vertical="center" wrapText="1"/>
    </xf>
    <xf numFmtId="0" fontId="62" fillId="0" borderId="7" xfId="0" applyFont="1" applyFill="1" applyBorder="1" applyAlignment="1" applyProtection="1">
      <alignment vertical="center"/>
    </xf>
    <xf numFmtId="174" fontId="120" fillId="0" borderId="7" xfId="0" applyNumberFormat="1" applyFont="1" applyFill="1" applyBorder="1" applyAlignment="1" applyProtection="1">
      <alignment vertical="center" wrapText="1"/>
    </xf>
    <xf numFmtId="174" fontId="120" fillId="0" borderId="7" xfId="0" quotePrefix="1" applyNumberFormat="1" applyFont="1" applyFill="1" applyBorder="1" applyAlignment="1" applyProtection="1">
      <alignment horizontal="center" vertical="center" wrapText="1"/>
    </xf>
    <xf numFmtId="179" fontId="58" fillId="0" borderId="7" xfId="0" applyNumberFormat="1" applyFont="1" applyFill="1" applyBorder="1" applyAlignment="1" applyProtection="1">
      <alignment horizontal="center" vertical="center"/>
      <protection locked="0"/>
    </xf>
    <xf numFmtId="0" fontId="62" fillId="0" borderId="0" xfId="0" applyFont="1" applyFill="1" applyBorder="1" applyAlignment="1" applyProtection="1">
      <alignment vertical="center"/>
    </xf>
    <xf numFmtId="0" fontId="62" fillId="0" borderId="1" xfId="0" applyFont="1" applyFill="1" applyBorder="1" applyAlignment="1" applyProtection="1">
      <alignment horizontal="center" vertical="center" wrapText="1"/>
    </xf>
    <xf numFmtId="0" fontId="120" fillId="0" borderId="0" xfId="0" applyFont="1" applyFill="1" applyBorder="1" applyAlignment="1" applyProtection="1">
      <alignment horizontal="center" vertical="center"/>
    </xf>
    <xf numFmtId="0" fontId="62" fillId="0" borderId="1" xfId="0" applyFont="1" applyFill="1" applyBorder="1" applyAlignment="1" applyProtection="1">
      <alignment horizontal="center" vertical="center"/>
    </xf>
    <xf numFmtId="0" fontId="62" fillId="0" borderId="10" xfId="0" applyFont="1" applyFill="1" applyBorder="1" applyAlignment="1" applyProtection="1">
      <alignment horizontal="center" vertical="center" wrapText="1"/>
    </xf>
    <xf numFmtId="0" fontId="62" fillId="0" borderId="1" xfId="0" applyFont="1" applyFill="1" applyBorder="1" applyAlignment="1">
      <alignment horizontal="center" vertical="center" wrapText="1"/>
    </xf>
    <xf numFmtId="0" fontId="29" fillId="0" borderId="1" xfId="0" applyFont="1" applyFill="1" applyBorder="1" applyAlignment="1">
      <alignment horizontal="center" vertical="center"/>
    </xf>
    <xf numFmtId="0" fontId="16" fillId="0" borderId="1" xfId="0" applyFont="1" applyFill="1" applyBorder="1" applyAlignment="1">
      <alignment horizontal="center" vertical="center" wrapText="1"/>
    </xf>
    <xf numFmtId="171" fontId="62" fillId="0" borderId="1" xfId="0" applyNumberFormat="1" applyFont="1" applyFill="1" applyBorder="1" applyAlignment="1" applyProtection="1">
      <alignment horizontal="center" vertical="center"/>
    </xf>
    <xf numFmtId="166" fontId="62" fillId="0" borderId="5" xfId="0" quotePrefix="1" applyNumberFormat="1" applyFont="1" applyFill="1" applyBorder="1" applyAlignment="1" applyProtection="1">
      <alignment horizontal="center" vertical="center"/>
    </xf>
    <xf numFmtId="168" fontId="62" fillId="0" borderId="6" xfId="0" applyNumberFormat="1" applyFont="1" applyFill="1" applyBorder="1" applyAlignment="1" applyProtection="1">
      <alignment horizontal="center" vertical="center"/>
    </xf>
    <xf numFmtId="0" fontId="62" fillId="0" borderId="3" xfId="0" applyFont="1" applyFill="1" applyBorder="1" applyAlignment="1">
      <alignment horizontal="center" vertical="center" wrapText="1"/>
    </xf>
    <xf numFmtId="183" fontId="50" fillId="0" borderId="1" xfId="0" applyNumberFormat="1" applyFont="1" applyFill="1" applyBorder="1" applyAlignment="1">
      <alignment horizontal="center" vertical="center"/>
    </xf>
    <xf numFmtId="166" fontId="16" fillId="0" borderId="5" xfId="0" quotePrefix="1" applyNumberFormat="1" applyFont="1" applyFill="1" applyBorder="1" applyAlignment="1" applyProtection="1">
      <alignment horizontal="center" vertical="center"/>
    </xf>
    <xf numFmtId="168" fontId="16" fillId="0" borderId="6" xfId="0" applyNumberFormat="1" applyFont="1" applyFill="1" applyBorder="1" applyAlignment="1" applyProtection="1">
      <alignment horizontal="center" vertical="center"/>
    </xf>
    <xf numFmtId="0" fontId="29" fillId="0" borderId="1" xfId="0" applyFont="1" applyFill="1" applyBorder="1" applyAlignment="1" applyProtection="1">
      <alignment horizontal="center" vertical="center"/>
    </xf>
    <xf numFmtId="0" fontId="29" fillId="0" borderId="3" xfId="0" applyFont="1" applyFill="1" applyBorder="1" applyAlignment="1">
      <alignment horizontal="center" vertical="center" wrapText="1"/>
    </xf>
    <xf numFmtId="0" fontId="29" fillId="0" borderId="10" xfId="0" applyFont="1" applyFill="1" applyBorder="1" applyAlignment="1">
      <alignment horizontal="center" vertical="center" wrapText="1"/>
    </xf>
    <xf numFmtId="0" fontId="29" fillId="0" borderId="2" xfId="0" applyFont="1" applyFill="1" applyBorder="1" applyAlignment="1">
      <alignment horizontal="center" vertical="center" wrapText="1"/>
    </xf>
    <xf numFmtId="166" fontId="62" fillId="0" borderId="1" xfId="0" applyNumberFormat="1" applyFont="1" applyFill="1" applyBorder="1" applyAlignment="1" applyProtection="1">
      <alignment horizontal="center" vertical="center"/>
    </xf>
    <xf numFmtId="0" fontId="62" fillId="0" borderId="1" xfId="0" applyFont="1" applyFill="1" applyBorder="1" applyAlignment="1">
      <alignment horizontal="center" vertical="center"/>
    </xf>
    <xf numFmtId="171" fontId="62" fillId="0" borderId="6" xfId="0" applyNumberFormat="1" applyFont="1" applyFill="1" applyBorder="1" applyAlignment="1" applyProtection="1">
      <alignment horizontal="center" vertical="center"/>
    </xf>
    <xf numFmtId="0" fontId="122" fillId="0" borderId="1" xfId="0" applyFont="1" applyFill="1" applyBorder="1" applyAlignment="1" applyProtection="1">
      <alignment horizontal="center" vertical="center"/>
    </xf>
    <xf numFmtId="0" fontId="122" fillId="0" borderId="0" xfId="0" applyFont="1" applyFill="1" applyAlignment="1" applyProtection="1">
      <alignment horizontal="center" vertical="center"/>
    </xf>
    <xf numFmtId="0" fontId="62" fillId="0" borderId="2" xfId="0" applyFont="1" applyFill="1" applyBorder="1" applyAlignment="1">
      <alignment horizontal="center" vertical="center" wrapText="1"/>
    </xf>
    <xf numFmtId="0" fontId="63" fillId="0" borderId="1" xfId="0" applyFont="1" applyFill="1" applyBorder="1" applyAlignment="1" applyProtection="1">
      <alignment horizontal="center" vertical="center" wrapText="1"/>
    </xf>
    <xf numFmtId="0" fontId="58" fillId="0" borderId="1" xfId="0" applyFont="1" applyFill="1" applyBorder="1" applyAlignment="1" applyProtection="1">
      <alignment horizontal="center" vertical="center" wrapText="1"/>
    </xf>
    <xf numFmtId="0" fontId="124" fillId="0" borderId="1" xfId="0" applyFont="1" applyFill="1" applyBorder="1" applyAlignment="1" applyProtection="1">
      <alignment horizontal="center" vertical="center"/>
    </xf>
    <xf numFmtId="0" fontId="58" fillId="0" borderId="1" xfId="0" applyFont="1" applyFill="1" applyBorder="1" applyAlignment="1">
      <alignment horizontal="center" vertical="center" wrapText="1"/>
    </xf>
    <xf numFmtId="0" fontId="29" fillId="0" borderId="1" xfId="8" applyFont="1" applyFill="1" applyBorder="1" applyAlignment="1" applyProtection="1">
      <alignment vertical="center" wrapText="1"/>
    </xf>
    <xf numFmtId="0" fontId="32" fillId="0" borderId="1" xfId="0" applyFont="1" applyFill="1" applyBorder="1" applyAlignment="1" applyProtection="1">
      <alignment horizontal="center" vertical="center"/>
    </xf>
    <xf numFmtId="0" fontId="62" fillId="0" borderId="0" xfId="0" applyFont="1" applyFill="1" applyBorder="1" applyAlignment="1" applyProtection="1">
      <alignment horizontal="center" vertical="center"/>
    </xf>
    <xf numFmtId="0" fontId="58" fillId="0" borderId="0" xfId="0" applyFont="1" applyFill="1" applyBorder="1" applyAlignment="1" applyProtection="1">
      <alignment horizontal="center" vertical="center" wrapText="1"/>
    </xf>
    <xf numFmtId="0" fontId="124" fillId="0" borderId="0" xfId="0" applyFont="1" applyFill="1" applyBorder="1" applyAlignment="1" applyProtection="1">
      <alignment horizontal="center" vertical="center"/>
    </xf>
    <xf numFmtId="0" fontId="58" fillId="0" borderId="0" xfId="0" applyFont="1" applyFill="1" applyBorder="1" applyAlignment="1">
      <alignment horizontal="center" vertical="center" wrapText="1"/>
    </xf>
    <xf numFmtId="0" fontId="32" fillId="0" borderId="0" xfId="0" applyFont="1" applyFill="1" applyBorder="1" applyAlignment="1" applyProtection="1">
      <alignment horizontal="center" vertical="center"/>
    </xf>
    <xf numFmtId="0" fontId="62" fillId="0" borderId="2" xfId="0" applyFont="1" applyFill="1" applyBorder="1" applyAlignment="1" applyProtection="1">
      <alignment horizontal="center" vertical="center" wrapText="1"/>
    </xf>
    <xf numFmtId="0" fontId="29" fillId="0" borderId="0" xfId="8" applyFont="1" applyFill="1" applyBorder="1" applyAlignment="1" applyProtection="1">
      <alignment vertical="center"/>
    </xf>
    <xf numFmtId="0" fontId="62" fillId="0" borderId="0" xfId="0" applyFont="1" applyFill="1" applyBorder="1" applyAlignment="1" applyProtection="1">
      <alignment horizontal="center" vertical="center" wrapText="1"/>
    </xf>
    <xf numFmtId="0" fontId="126" fillId="0" borderId="0" xfId="0" applyFont="1" applyFill="1" applyBorder="1" applyAlignment="1" applyProtection="1">
      <alignment horizontal="center" vertical="center"/>
    </xf>
    <xf numFmtId="0" fontId="62" fillId="0" borderId="0" xfId="8" applyFont="1" applyFill="1" applyAlignment="1" applyProtection="1">
      <alignment horizontal="left" vertical="center"/>
    </xf>
    <xf numFmtId="173" fontId="62" fillId="0" borderId="0" xfId="7" applyNumberFormat="1" applyFont="1" applyFill="1" applyBorder="1" applyAlignment="1" applyProtection="1">
      <alignment horizontal="center" vertical="center"/>
    </xf>
    <xf numFmtId="166" fontId="62" fillId="0" borderId="0" xfId="0" quotePrefix="1" applyNumberFormat="1" applyFont="1" applyFill="1" applyBorder="1" applyAlignment="1" applyProtection="1">
      <alignment horizontal="center" vertical="center"/>
    </xf>
    <xf numFmtId="0" fontId="122" fillId="0" borderId="0" xfId="0" applyFont="1" applyFill="1" applyBorder="1" applyAlignment="1" applyProtection="1">
      <alignment horizontal="center" vertical="center"/>
    </xf>
    <xf numFmtId="0" fontId="62" fillId="0" borderId="0" xfId="0" applyFont="1" applyFill="1" applyAlignment="1" applyProtection="1">
      <alignment horizontal="left" vertical="center"/>
    </xf>
    <xf numFmtId="0" fontId="62" fillId="0" borderId="0" xfId="0" applyNumberFormat="1" applyFont="1" applyFill="1" applyAlignment="1" applyProtection="1">
      <alignment horizontal="center" vertical="center"/>
    </xf>
    <xf numFmtId="0" fontId="62" fillId="0" borderId="0" xfId="0" applyFont="1" applyFill="1" applyBorder="1" applyAlignment="1" applyProtection="1">
      <alignment horizontal="left" vertical="center" wrapText="1"/>
    </xf>
    <xf numFmtId="0" fontId="9" fillId="0" borderId="3" xfId="0" applyFont="1" applyBorder="1" applyAlignment="1" applyProtection="1">
      <alignment horizontal="center" vertical="center"/>
      <protection locked="0"/>
    </xf>
    <xf numFmtId="0" fontId="127" fillId="0" borderId="0" xfId="0" applyFont="1" applyFill="1" applyBorder="1" applyAlignment="1" applyProtection="1">
      <alignment horizontal="center" vertical="center"/>
    </xf>
    <xf numFmtId="0" fontId="16" fillId="0" borderId="10" xfId="0" applyFont="1" applyFill="1" applyBorder="1" applyAlignment="1" applyProtection="1">
      <alignment horizontal="center" vertical="center" wrapText="1"/>
    </xf>
    <xf numFmtId="0" fontId="127" fillId="0" borderId="2" xfId="0" applyFont="1" applyFill="1" applyBorder="1" applyAlignment="1" applyProtection="1">
      <alignment horizontal="center" vertical="center"/>
    </xf>
    <xf numFmtId="0" fontId="16" fillId="0" borderId="3" xfId="0" applyFont="1" applyFill="1" applyBorder="1" applyAlignment="1">
      <alignment horizontal="center" vertical="center" wrapText="1"/>
    </xf>
    <xf numFmtId="0" fontId="16" fillId="0" borderId="1" xfId="0" applyFont="1" applyFill="1" applyBorder="1" applyAlignment="1">
      <alignment horizontal="center" vertical="center"/>
    </xf>
    <xf numFmtId="171" fontId="16" fillId="0" borderId="1" xfId="0" applyNumberFormat="1" applyFont="1" applyFill="1" applyBorder="1" applyAlignment="1" applyProtection="1">
      <alignment horizontal="center" vertical="center"/>
    </xf>
    <xf numFmtId="0" fontId="13" fillId="0" borderId="3" xfId="0" applyFont="1" applyFill="1" applyBorder="1" applyAlignment="1">
      <alignment horizontal="center" vertical="center" wrapText="1"/>
    </xf>
    <xf numFmtId="0" fontId="16" fillId="0" borderId="1" xfId="0" applyFont="1" applyBorder="1" applyAlignment="1" applyProtection="1">
      <alignment horizontal="center" vertical="center"/>
    </xf>
    <xf numFmtId="0" fontId="9" fillId="0" borderId="1" xfId="0" applyFont="1" applyFill="1" applyBorder="1" applyAlignment="1">
      <alignment horizontal="center" vertical="center" wrapText="1"/>
    </xf>
    <xf numFmtId="0" fontId="16" fillId="0" borderId="0" xfId="0" applyFont="1" applyFill="1" applyAlignment="1" applyProtection="1">
      <alignment horizontal="center" vertical="center"/>
    </xf>
    <xf numFmtId="166" fontId="16" fillId="0" borderId="6" xfId="0" applyNumberFormat="1" applyFont="1" applyFill="1" applyBorder="1" applyAlignment="1" applyProtection="1">
      <alignment horizontal="center" vertical="center"/>
    </xf>
    <xf numFmtId="0" fontId="10" fillId="0" borderId="1" xfId="0" applyNumberFormat="1" applyFont="1" applyFill="1" applyBorder="1" applyAlignment="1" applyProtection="1">
      <alignment horizontal="center" vertical="center"/>
    </xf>
    <xf numFmtId="171" fontId="16" fillId="0" borderId="6" xfId="0" applyNumberFormat="1" applyFont="1" applyFill="1" applyBorder="1" applyAlignment="1" applyProtection="1">
      <alignment horizontal="center" vertical="center"/>
    </xf>
    <xf numFmtId="0" fontId="13" fillId="0" borderId="1" xfId="8" applyFont="1" applyFill="1" applyBorder="1" applyAlignment="1" applyProtection="1">
      <alignment horizontal="center" vertical="center" wrapText="1"/>
      <protection locked="0"/>
    </xf>
    <xf numFmtId="0" fontId="128" fillId="0" borderId="0" xfId="0" applyFont="1" applyFill="1" applyAlignment="1" applyProtection="1">
      <alignment horizontal="center" vertical="center"/>
    </xf>
    <xf numFmtId="0" fontId="13" fillId="0" borderId="1" xfId="0" applyFont="1" applyFill="1" applyBorder="1" applyAlignment="1">
      <alignment horizontal="center" vertical="center"/>
    </xf>
    <xf numFmtId="0" fontId="16" fillId="0" borderId="1" xfId="0" applyFont="1" applyFill="1" applyBorder="1" applyAlignment="1" applyProtection="1">
      <alignment horizontal="center" vertical="center" wrapText="1"/>
    </xf>
    <xf numFmtId="0" fontId="131" fillId="0" borderId="1" xfId="0" applyFont="1" applyFill="1" applyBorder="1" applyAlignment="1" applyProtection="1">
      <alignment horizontal="center" vertical="center"/>
    </xf>
    <xf numFmtId="0" fontId="9" fillId="0" borderId="0" xfId="0" applyFont="1" applyFill="1" applyBorder="1" applyAlignment="1" applyProtection="1">
      <alignment horizontal="center" vertical="center" wrapText="1"/>
    </xf>
    <xf numFmtId="0" fontId="9" fillId="0" borderId="0" xfId="0" applyFont="1" applyBorder="1" applyAlignment="1" applyProtection="1">
      <alignment horizontal="center" vertical="center"/>
      <protection locked="0"/>
    </xf>
    <xf numFmtId="171" fontId="16" fillId="0" borderId="5" xfId="0" quotePrefix="1" applyNumberFormat="1" applyFont="1" applyFill="1" applyBorder="1" applyAlignment="1" applyProtection="1">
      <alignment horizontal="center" vertical="center"/>
    </xf>
    <xf numFmtId="0" fontId="13" fillId="0" borderId="10"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6" fillId="0" borderId="9" xfId="0" applyFont="1" applyFill="1" applyBorder="1" applyAlignment="1" applyProtection="1">
      <alignment horizontal="center" vertical="center" wrapText="1"/>
    </xf>
    <xf numFmtId="0" fontId="29" fillId="0" borderId="1" xfId="8" applyFont="1" applyFill="1" applyBorder="1" applyAlignment="1" applyProtection="1">
      <alignment horizontal="center" vertical="center" wrapText="1"/>
      <protection locked="0"/>
    </xf>
    <xf numFmtId="0" fontId="62" fillId="0" borderId="1" xfId="0" applyNumberFormat="1" applyFont="1" applyFill="1" applyBorder="1" applyAlignment="1" applyProtection="1">
      <alignment horizontal="center" vertical="center"/>
    </xf>
    <xf numFmtId="0" fontId="9" fillId="0" borderId="0" xfId="0" applyFont="1" applyFill="1" applyAlignment="1">
      <alignment horizontal="center" vertical="center"/>
    </xf>
    <xf numFmtId="0" fontId="9" fillId="0" borderId="7" xfId="0" applyFont="1" applyFill="1" applyBorder="1" applyAlignment="1">
      <alignment vertical="center" wrapText="1"/>
    </xf>
    <xf numFmtId="179" fontId="57" fillId="0" borderId="7" xfId="0" applyNumberFormat="1" applyFont="1" applyFill="1" applyBorder="1" applyAlignment="1" applyProtection="1">
      <alignment horizontal="center" vertical="center"/>
      <protection locked="0"/>
    </xf>
    <xf numFmtId="174" fontId="9" fillId="0" borderId="7" xfId="0" applyNumberFormat="1" applyFont="1" applyFill="1" applyBorder="1" applyAlignment="1">
      <alignment vertical="center" wrapText="1"/>
    </xf>
    <xf numFmtId="0" fontId="9" fillId="0" borderId="0" xfId="0" applyFont="1" applyFill="1" applyBorder="1" applyAlignment="1">
      <alignment horizontal="left" vertical="center" wrapText="1"/>
    </xf>
    <xf numFmtId="0" fontId="9" fillId="0" borderId="5" xfId="0" applyFont="1" applyFill="1" applyBorder="1" applyAlignment="1">
      <alignment horizontal="centerContinuous" vertical="center" wrapText="1"/>
    </xf>
    <xf numFmtId="0" fontId="9" fillId="0" borderId="9" xfId="0" applyFont="1" applyFill="1" applyBorder="1" applyAlignment="1">
      <alignment horizontal="centerContinuous" vertical="center" wrapText="1"/>
    </xf>
    <xf numFmtId="0" fontId="9" fillId="0" borderId="6" xfId="0" applyFont="1" applyFill="1" applyBorder="1" applyAlignment="1">
      <alignment horizontal="centerContinuous" vertical="center" wrapText="1"/>
    </xf>
    <xf numFmtId="0" fontId="9" fillId="0" borderId="0" xfId="0" applyFont="1" applyFill="1" applyBorder="1" applyAlignment="1">
      <alignment horizontal="center" vertical="center"/>
    </xf>
    <xf numFmtId="0" fontId="23" fillId="0" borderId="1" xfId="8" applyFont="1" applyFill="1" applyBorder="1" applyAlignment="1">
      <alignment horizontal="center" vertical="center" wrapText="1"/>
    </xf>
    <xf numFmtId="0" fontId="23" fillId="0" borderId="1" xfId="0" applyFont="1" applyFill="1" applyBorder="1" applyAlignment="1">
      <alignment horizontal="center" vertical="center" wrapText="1"/>
    </xf>
    <xf numFmtId="0" fontId="20" fillId="0" borderId="1" xfId="0" applyFont="1" applyFill="1" applyBorder="1" applyAlignment="1" applyProtection="1">
      <alignment horizontal="center" vertical="center" wrapText="1"/>
      <protection locked="0"/>
    </xf>
    <xf numFmtId="0" fontId="9" fillId="0" borderId="5" xfId="0" applyNumberFormat="1" applyFont="1" applyFill="1" applyBorder="1" applyAlignment="1" applyProtection="1">
      <alignment vertical="center"/>
      <protection locked="0"/>
    </xf>
    <xf numFmtId="0" fontId="9" fillId="0" borderId="46" xfId="8" applyFont="1" applyFill="1" applyBorder="1" applyAlignment="1">
      <alignment vertical="center"/>
    </xf>
    <xf numFmtId="0" fontId="136" fillId="0" borderId="1" xfId="0" applyFont="1" applyFill="1" applyBorder="1" applyAlignment="1" applyProtection="1">
      <alignment horizontal="center" vertical="center" wrapText="1"/>
      <protection locked="0"/>
    </xf>
    <xf numFmtId="0" fontId="9" fillId="0" borderId="47" xfId="86" applyFont="1" applyFill="1" applyBorder="1" applyAlignment="1" applyProtection="1">
      <alignment horizontal="center" vertical="center" shrinkToFit="1"/>
    </xf>
    <xf numFmtId="167" fontId="9" fillId="0" borderId="5" xfId="0" applyNumberFormat="1" applyFont="1" applyFill="1" applyBorder="1" applyAlignment="1" applyProtection="1">
      <alignment horizontal="left" vertical="center"/>
      <protection locked="0"/>
    </xf>
    <xf numFmtId="0" fontId="9" fillId="0" borderId="2" xfId="0" applyFont="1" applyFill="1" applyBorder="1" applyAlignment="1" applyProtection="1">
      <alignment horizontal="center" vertical="center"/>
    </xf>
    <xf numFmtId="0" fontId="9" fillId="0" borderId="4" xfId="0" applyFont="1" applyFill="1" applyBorder="1" applyAlignment="1">
      <alignment horizontal="centerContinuous" vertical="center" wrapText="1"/>
    </xf>
    <xf numFmtId="0" fontId="9" fillId="0" borderId="7" xfId="0" applyFont="1" applyFill="1" applyBorder="1" applyAlignment="1">
      <alignment horizontal="centerContinuous" vertical="center" wrapText="1"/>
    </xf>
    <xf numFmtId="0" fontId="9" fillId="0" borderId="15" xfId="0" applyFont="1" applyFill="1" applyBorder="1" applyAlignment="1">
      <alignment horizontal="centerContinuous" vertical="center" wrapText="1"/>
    </xf>
    <xf numFmtId="0" fontId="25" fillId="0" borderId="1" xfId="0" applyFont="1" applyFill="1" applyBorder="1" applyAlignment="1">
      <alignment horizontal="center" vertical="center"/>
    </xf>
    <xf numFmtId="0" fontId="16" fillId="0" borderId="6" xfId="0" applyNumberFormat="1" applyFont="1" applyFill="1" applyBorder="1" applyAlignment="1">
      <alignment horizontal="center" vertical="center" wrapText="1"/>
    </xf>
    <xf numFmtId="0" fontId="9" fillId="0" borderId="0" xfId="0" applyFont="1" applyFill="1" applyAlignment="1">
      <alignment horizontal="left" vertical="center"/>
    </xf>
    <xf numFmtId="0" fontId="9" fillId="0" borderId="0" xfId="0" applyNumberFormat="1" applyFont="1" applyFill="1" applyAlignment="1">
      <alignment horizontal="center" vertical="center"/>
    </xf>
    <xf numFmtId="0" fontId="141" fillId="0" borderId="0" xfId="0" applyFont="1" applyFill="1" applyAlignment="1" applyProtection="1">
      <alignment horizontal="center" vertical="center" wrapText="1"/>
    </xf>
    <xf numFmtId="0" fontId="140" fillId="0" borderId="0" xfId="0" applyFont="1" applyFill="1" applyAlignment="1" applyProtection="1">
      <alignment horizontal="center" vertical="center" wrapText="1"/>
    </xf>
    <xf numFmtId="0" fontId="51" fillId="0" borderId="1" xfId="0" applyFont="1" applyFill="1" applyBorder="1" applyAlignment="1" applyProtection="1">
      <alignment horizontal="center" vertical="center" wrapText="1"/>
    </xf>
    <xf numFmtId="14" fontId="74" fillId="0" borderId="7" xfId="8" applyNumberFormat="1" applyFont="1" applyFill="1" applyBorder="1" applyAlignment="1" applyProtection="1">
      <alignment horizontal="center" vertical="center" wrapText="1"/>
      <protection locked="0"/>
    </xf>
    <xf numFmtId="14" fontId="144" fillId="0" borderId="7" xfId="8" applyNumberFormat="1" applyFont="1" applyFill="1" applyBorder="1" applyAlignment="1" applyProtection="1">
      <alignment horizontal="center" vertical="center" wrapText="1"/>
      <protection locked="0"/>
    </xf>
    <xf numFmtId="0" fontId="54" fillId="0" borderId="7" xfId="8" applyFont="1" applyFill="1" applyBorder="1" applyAlignment="1" applyProtection="1">
      <alignment horizontal="center" vertical="center" wrapText="1"/>
      <protection locked="0"/>
    </xf>
    <xf numFmtId="20" fontId="54" fillId="0" borderId="7" xfId="8" applyNumberFormat="1" applyFont="1" applyFill="1" applyBorder="1" applyAlignment="1" applyProtection="1">
      <alignment horizontal="center" vertical="center" wrapText="1"/>
      <protection locked="0"/>
    </xf>
    <xf numFmtId="20" fontId="97" fillId="0" borderId="7" xfId="8" applyNumberFormat="1" applyFont="1" applyFill="1" applyBorder="1" applyAlignment="1" applyProtection="1">
      <alignment horizontal="center" vertical="center" wrapText="1"/>
      <protection locked="0"/>
    </xf>
    <xf numFmtId="0" fontId="51" fillId="0" borderId="7" xfId="8" applyFont="1" applyFill="1" applyBorder="1" applyAlignment="1" applyProtection="1">
      <alignment horizontal="center" vertical="center" wrapText="1"/>
      <protection locked="0"/>
    </xf>
    <xf numFmtId="0" fontId="51" fillId="0" borderId="3" xfId="0" applyFont="1" applyFill="1" applyBorder="1" applyAlignment="1" applyProtection="1">
      <alignment horizontal="center" vertical="center"/>
      <protection locked="0"/>
    </xf>
    <xf numFmtId="0" fontId="74" fillId="0" borderId="5" xfId="0" applyFont="1" applyFill="1" applyBorder="1" applyAlignment="1" applyProtection="1">
      <alignment vertical="center"/>
    </xf>
    <xf numFmtId="0" fontId="74" fillId="0" borderId="9" xfId="0" applyFont="1" applyFill="1" applyBorder="1" applyAlignment="1" applyProtection="1">
      <alignment vertical="center" wrapText="1"/>
    </xf>
    <xf numFmtId="0" fontId="74" fillId="0" borderId="6" xfId="0" applyFont="1" applyFill="1" applyBorder="1" applyAlignment="1" applyProtection="1">
      <alignment vertical="center" wrapText="1"/>
    </xf>
    <xf numFmtId="0" fontId="74" fillId="0" borderId="0" xfId="0" applyFont="1" applyFill="1" applyBorder="1" applyAlignment="1" applyProtection="1">
      <alignment horizontal="center" vertical="center"/>
      <protection locked="0"/>
    </xf>
    <xf numFmtId="0" fontId="74" fillId="0" borderId="1" xfId="0" applyFont="1" applyFill="1" applyBorder="1" applyAlignment="1" applyProtection="1">
      <alignment vertical="center"/>
    </xf>
    <xf numFmtId="0" fontId="49" fillId="0" borderId="3" xfId="0" applyFont="1" applyFill="1" applyBorder="1" applyAlignment="1" applyProtection="1">
      <alignment vertical="center"/>
    </xf>
    <xf numFmtId="177" fontId="49" fillId="0" borderId="14" xfId="0" applyNumberFormat="1" applyFont="1" applyFill="1" applyBorder="1" applyAlignment="1" applyProtection="1">
      <alignment horizontal="center" vertical="center"/>
    </xf>
    <xf numFmtId="166" fontId="49" fillId="0" borderId="1" xfId="0" applyNumberFormat="1" applyFont="1" applyFill="1" applyBorder="1" applyAlignment="1" applyProtection="1">
      <alignment horizontal="center" vertical="center"/>
    </xf>
    <xf numFmtId="0" fontId="51" fillId="0" borderId="1" xfId="8" applyFont="1" applyFill="1" applyBorder="1" applyAlignment="1" applyProtection="1">
      <alignment horizontal="center" vertical="center" wrapText="1"/>
      <protection locked="0"/>
    </xf>
    <xf numFmtId="169" fontId="49" fillId="0" borderId="1" xfId="0" applyNumberFormat="1" applyFont="1" applyFill="1" applyBorder="1" applyAlignment="1">
      <alignment horizontal="left" vertical="center"/>
    </xf>
    <xf numFmtId="169" fontId="49" fillId="0" borderId="1" xfId="0" applyNumberFormat="1" applyFont="1" applyFill="1" applyBorder="1" applyAlignment="1">
      <alignment horizontal="right" vertical="center"/>
    </xf>
    <xf numFmtId="16" fontId="49" fillId="0" borderId="1" xfId="0" applyNumberFormat="1" applyFont="1" applyFill="1" applyBorder="1" applyAlignment="1">
      <alignment horizontal="center" vertical="center" wrapText="1"/>
    </xf>
    <xf numFmtId="170" fontId="49" fillId="0" borderId="1" xfId="0" applyNumberFormat="1" applyFont="1" applyFill="1" applyBorder="1" applyAlignment="1">
      <alignment horizontal="left" vertical="center"/>
    </xf>
    <xf numFmtId="170" fontId="49" fillId="0" borderId="1" xfId="0" applyNumberFormat="1" applyFont="1" applyFill="1" applyBorder="1" applyAlignment="1">
      <alignment horizontal="right" vertical="center"/>
    </xf>
    <xf numFmtId="165" fontId="49" fillId="0" borderId="1" xfId="1" applyNumberFormat="1" applyFont="1" applyFill="1" applyBorder="1" applyAlignment="1" applyProtection="1">
      <alignment horizontal="center" vertical="center"/>
    </xf>
    <xf numFmtId="0" fontId="74" fillId="0" borderId="1" xfId="0" applyFont="1" applyFill="1" applyBorder="1" applyAlignment="1" applyProtection="1">
      <alignment horizontal="center" vertical="center"/>
    </xf>
    <xf numFmtId="0" fontId="97" fillId="0" borderId="1" xfId="0"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wrapText="1"/>
      <protection locked="0"/>
    </xf>
    <xf numFmtId="0" fontId="144" fillId="0" borderId="1" xfId="0" applyFont="1" applyFill="1" applyBorder="1" applyAlignment="1" applyProtection="1">
      <alignment horizontal="center" vertical="center" wrapText="1"/>
    </xf>
    <xf numFmtId="0" fontId="54" fillId="0" borderId="0" xfId="0" applyFont="1" applyFill="1" applyAlignment="1" applyProtection="1">
      <alignment horizontal="center" vertical="center"/>
      <protection locked="0"/>
    </xf>
    <xf numFmtId="0" fontId="51" fillId="0" borderId="0" xfId="0" applyNumberFormat="1" applyFont="1" applyFill="1" applyAlignment="1" applyProtection="1">
      <alignment horizontal="center" vertical="center"/>
      <protection locked="0"/>
    </xf>
    <xf numFmtId="0" fontId="116" fillId="0" borderId="0" xfId="0" applyFont="1" applyFill="1" applyAlignment="1" applyProtection="1">
      <alignment vertical="center" wrapText="1"/>
    </xf>
    <xf numFmtId="169" fontId="58" fillId="0" borderId="1" xfId="0" applyNumberFormat="1" applyFont="1" applyFill="1" applyBorder="1" applyAlignment="1">
      <alignment horizontal="center" vertical="center"/>
    </xf>
    <xf numFmtId="170" fontId="58" fillId="0" borderId="1" xfId="0" applyNumberFormat="1" applyFont="1" applyFill="1" applyBorder="1" applyAlignment="1">
      <alignment horizontal="center" vertical="center"/>
    </xf>
    <xf numFmtId="0" fontId="131" fillId="0" borderId="0" xfId="0" applyFont="1" applyFill="1" applyBorder="1" applyAlignment="1" applyProtection="1">
      <alignment horizontal="center" vertical="center"/>
    </xf>
    <xf numFmtId="0" fontId="16" fillId="0" borderId="0" xfId="0" applyFont="1" applyFill="1" applyBorder="1" applyAlignment="1">
      <alignment horizontal="center" vertical="center" wrapText="1"/>
    </xf>
    <xf numFmtId="168" fontId="16" fillId="0" borderId="0" xfId="0" applyNumberFormat="1" applyFont="1" applyFill="1" applyBorder="1" applyAlignment="1" applyProtection="1">
      <alignment horizontal="center" vertical="center"/>
    </xf>
    <xf numFmtId="166" fontId="16" fillId="0" borderId="0" xfId="0" applyNumberFormat="1" applyFont="1" applyFill="1" applyBorder="1" applyAlignment="1" applyProtection="1">
      <alignment horizontal="center" vertical="center"/>
    </xf>
    <xf numFmtId="0" fontId="37" fillId="0" borderId="0" xfId="0" applyFont="1" applyFill="1" applyBorder="1" applyAlignment="1">
      <alignment horizontal="center" vertical="center" wrapText="1"/>
    </xf>
    <xf numFmtId="0" fontId="37" fillId="0" borderId="5" xfId="0" applyFont="1" applyFill="1" applyBorder="1" applyAlignment="1" applyProtection="1">
      <alignment vertical="center" wrapText="1"/>
      <protection locked="0"/>
    </xf>
    <xf numFmtId="0" fontId="75" fillId="0" borderId="0" xfId="0" applyFont="1" applyFill="1" applyAlignment="1">
      <alignment horizontal="center" vertical="center"/>
    </xf>
    <xf numFmtId="0" fontId="145" fillId="0" borderId="7" xfId="0" applyFont="1" applyFill="1" applyBorder="1" applyAlignment="1">
      <alignment horizontal="center" vertical="center" wrapText="1"/>
    </xf>
    <xf numFmtId="0" fontId="97" fillId="0" borderId="7" xfId="0" applyFont="1" applyFill="1" applyBorder="1" applyAlignment="1">
      <alignment horizontal="center" vertical="center" wrapText="1"/>
    </xf>
    <xf numFmtId="0" fontId="49" fillId="0" borderId="7" xfId="0" applyFont="1" applyFill="1" applyBorder="1" applyAlignment="1">
      <alignment horizontal="center" vertical="center" wrapText="1"/>
    </xf>
    <xf numFmtId="168" fontId="49" fillId="0" borderId="7" xfId="0" quotePrefix="1" applyNumberFormat="1" applyFont="1" applyFill="1" applyBorder="1" applyAlignment="1">
      <alignment horizontal="center" vertical="center" wrapText="1"/>
    </xf>
    <xf numFmtId="174" fontId="147" fillId="5" borderId="5" xfId="0" quotePrefix="1" applyNumberFormat="1" applyFont="1" applyFill="1" applyBorder="1" applyAlignment="1">
      <alignment horizontal="center" vertical="center"/>
    </xf>
    <xf numFmtId="174" fontId="147" fillId="5" borderId="9" xfId="0" quotePrefix="1" applyNumberFormat="1" applyFont="1" applyFill="1" applyBorder="1" applyAlignment="1">
      <alignment horizontal="center" vertical="center"/>
    </xf>
    <xf numFmtId="174" fontId="147" fillId="5" borderId="6" xfId="0" quotePrefix="1" applyNumberFormat="1" applyFont="1" applyFill="1" applyBorder="1" applyAlignment="1">
      <alignment horizontal="center" vertical="center"/>
    </xf>
    <xf numFmtId="0" fontId="147" fillId="0" borderId="0" xfId="0" applyFont="1" applyFill="1" applyAlignment="1">
      <alignment horizontal="center" vertical="center"/>
    </xf>
    <xf numFmtId="0" fontId="149" fillId="0" borderId="11" xfId="0" quotePrefix="1" applyFont="1" applyFill="1" applyBorder="1" applyAlignment="1" applyProtection="1">
      <alignment vertical="center" wrapText="1"/>
    </xf>
    <xf numFmtId="0" fontId="149" fillId="0" borderId="4" xfId="0" quotePrefix="1" applyFont="1" applyFill="1" applyBorder="1" applyAlignment="1" applyProtection="1">
      <alignment vertical="center" wrapText="1"/>
    </xf>
    <xf numFmtId="0" fontId="150" fillId="0" borderId="1" xfId="0" quotePrefix="1" applyFont="1" applyFill="1" applyBorder="1" applyAlignment="1" applyProtection="1">
      <alignment vertical="center" wrapText="1"/>
    </xf>
    <xf numFmtId="0" fontId="151" fillId="0" borderId="4" xfId="0" applyFont="1" applyFill="1" applyBorder="1" applyAlignment="1" applyProtection="1">
      <alignment vertical="center" wrapText="1"/>
    </xf>
    <xf numFmtId="0" fontId="52" fillId="0" borderId="1" xfId="0" applyNumberFormat="1" applyFont="1" applyFill="1" applyBorder="1" applyAlignment="1" applyProtection="1">
      <alignment horizontal="center" vertical="center"/>
    </xf>
    <xf numFmtId="0" fontId="148" fillId="0" borderId="6" xfId="0" applyFont="1" applyFill="1" applyBorder="1" applyAlignment="1" applyProtection="1">
      <alignment horizontal="center" vertical="center"/>
    </xf>
    <xf numFmtId="0" fontId="148" fillId="0" borderId="5" xfId="0" applyFont="1" applyFill="1" applyBorder="1" applyAlignment="1" applyProtection="1">
      <alignment vertical="center"/>
    </xf>
    <xf numFmtId="0" fontId="148" fillId="0" borderId="5" xfId="0" applyFont="1" applyFill="1" applyBorder="1" applyAlignment="1" applyProtection="1">
      <alignment horizontal="center" vertical="center"/>
    </xf>
    <xf numFmtId="0" fontId="75" fillId="0" borderId="1" xfId="0" applyFont="1" applyFill="1" applyBorder="1" applyAlignment="1">
      <alignment horizontal="center" vertical="center"/>
    </xf>
    <xf numFmtId="0" fontId="75" fillId="0" borderId="3" xfId="0" applyFont="1" applyFill="1" applyBorder="1" applyAlignment="1">
      <alignment horizontal="center" vertical="center"/>
    </xf>
    <xf numFmtId="0" fontId="52" fillId="0" borderId="1" xfId="0" applyFont="1" applyFill="1" applyBorder="1" applyAlignment="1">
      <alignment horizontal="center" vertical="center" wrapText="1"/>
    </xf>
    <xf numFmtId="187" fontId="75" fillId="0" borderId="6" xfId="0" applyNumberFormat="1" applyFont="1" applyFill="1" applyBorder="1" applyAlignment="1" applyProtection="1">
      <alignment horizontal="center" vertical="center"/>
    </xf>
    <xf numFmtId="186" fontId="75" fillId="0" borderId="6" xfId="0" applyNumberFormat="1" applyFont="1" applyFill="1" applyBorder="1" applyAlignment="1" applyProtection="1">
      <alignment horizontal="center" vertical="center"/>
    </xf>
    <xf numFmtId="186" fontId="154" fillId="0" borderId="6" xfId="0" applyNumberFormat="1" applyFont="1" applyFill="1" applyBorder="1" applyAlignment="1" applyProtection="1">
      <alignment horizontal="center" vertical="center"/>
    </xf>
    <xf numFmtId="169" fontId="97" fillId="0" borderId="1" xfId="0" applyNumberFormat="1" applyFont="1" applyFill="1" applyBorder="1" applyAlignment="1">
      <alignment horizontal="center" vertical="center"/>
    </xf>
    <xf numFmtId="166" fontId="154" fillId="0" borderId="5" xfId="0" applyNumberFormat="1" applyFont="1" applyFill="1" applyBorder="1" applyAlignment="1">
      <alignment horizontal="center" vertical="center"/>
    </xf>
    <xf numFmtId="168" fontId="154" fillId="0" borderId="1" xfId="0" applyNumberFormat="1" applyFont="1" applyFill="1" applyBorder="1" applyAlignment="1">
      <alignment horizontal="center" vertical="center"/>
    </xf>
    <xf numFmtId="0" fontId="52" fillId="0" borderId="1" xfId="0" applyFont="1" applyFill="1" applyBorder="1" applyAlignment="1" applyProtection="1">
      <alignment horizontal="center" vertical="center"/>
    </xf>
    <xf numFmtId="169" fontId="97" fillId="40" borderId="1" xfId="0" applyNumberFormat="1" applyFont="1" applyFill="1" applyBorder="1" applyAlignment="1">
      <alignment horizontal="center" vertical="center"/>
    </xf>
    <xf numFmtId="166" fontId="154" fillId="40" borderId="5" xfId="0" applyNumberFormat="1" applyFont="1" applyFill="1" applyBorder="1" applyAlignment="1">
      <alignment horizontal="center" vertical="center"/>
    </xf>
    <xf numFmtId="168" fontId="154" fillId="40" borderId="1" xfId="0" applyNumberFormat="1" applyFont="1" applyFill="1" applyBorder="1" applyAlignment="1">
      <alignment horizontal="center" vertical="center"/>
    </xf>
    <xf numFmtId="186" fontId="154" fillId="41" borderId="6" xfId="0" applyNumberFormat="1" applyFont="1" applyFill="1" applyBorder="1" applyAlignment="1" applyProtection="1">
      <alignment horizontal="center" vertical="center"/>
    </xf>
    <xf numFmtId="185" fontId="75" fillId="0" borderId="6" xfId="0" applyNumberFormat="1" applyFont="1" applyFill="1" applyBorder="1" applyAlignment="1" applyProtection="1">
      <alignment horizontal="center" vertical="center"/>
    </xf>
    <xf numFmtId="170" fontId="97" fillId="0" borderId="1" xfId="0" applyNumberFormat="1" applyFont="1" applyFill="1" applyBorder="1" applyAlignment="1">
      <alignment horizontal="center" vertical="center"/>
    </xf>
    <xf numFmtId="170" fontId="154" fillId="0" borderId="5" xfId="0" applyNumberFormat="1" applyFont="1" applyFill="1" applyBorder="1" applyAlignment="1">
      <alignment horizontal="center" vertical="center"/>
    </xf>
    <xf numFmtId="170" fontId="154" fillId="0" borderId="1" xfId="0" applyNumberFormat="1" applyFont="1" applyFill="1" applyBorder="1" applyAlignment="1">
      <alignment horizontal="center" vertical="center"/>
    </xf>
    <xf numFmtId="170" fontId="154" fillId="0" borderId="6" xfId="0" applyNumberFormat="1" applyFont="1" applyFill="1" applyBorder="1" applyAlignment="1" applyProtection="1">
      <alignment horizontal="center" vertical="center"/>
    </xf>
    <xf numFmtId="170" fontId="97" fillId="40" borderId="1" xfId="0" applyNumberFormat="1" applyFont="1" applyFill="1" applyBorder="1" applyAlignment="1">
      <alignment horizontal="center" vertical="center"/>
    </xf>
    <xf numFmtId="170" fontId="154" fillId="40" borderId="5" xfId="0" applyNumberFormat="1" applyFont="1" applyFill="1" applyBorder="1" applyAlignment="1">
      <alignment horizontal="center" vertical="center"/>
    </xf>
    <xf numFmtId="170" fontId="154" fillId="40" borderId="1" xfId="0" applyNumberFormat="1" applyFont="1" applyFill="1" applyBorder="1" applyAlignment="1">
      <alignment horizontal="center" vertical="center"/>
    </xf>
    <xf numFmtId="0" fontId="151" fillId="0" borderId="1" xfId="0" applyFont="1" applyFill="1" applyBorder="1" applyAlignment="1">
      <alignment horizontal="center" vertical="center" wrapText="1"/>
    </xf>
    <xf numFmtId="165" fontId="75" fillId="0" borderId="1" xfId="1" applyFont="1" applyFill="1" applyBorder="1" applyAlignment="1">
      <alignment horizontal="center" vertical="center"/>
    </xf>
    <xf numFmtId="0" fontId="147" fillId="0" borderId="5" xfId="0" applyFont="1" applyFill="1" applyBorder="1" applyAlignment="1" applyProtection="1">
      <alignment vertical="center"/>
    </xf>
    <xf numFmtId="0" fontId="147" fillId="0" borderId="9" xfId="0" applyFont="1" applyFill="1" applyBorder="1" applyAlignment="1" applyProtection="1">
      <alignment vertical="center"/>
    </xf>
    <xf numFmtId="0" fontId="151" fillId="0" borderId="1" xfId="0" applyFont="1" applyFill="1" applyBorder="1" applyAlignment="1" applyProtection="1">
      <alignment horizontal="center" vertical="center"/>
    </xf>
    <xf numFmtId="0" fontId="151" fillId="0" borderId="1" xfId="0" applyFont="1" applyFill="1" applyBorder="1" applyAlignment="1" applyProtection="1">
      <alignment horizontal="center" vertical="center" wrapText="1"/>
    </xf>
    <xf numFmtId="0" fontId="145" fillId="0" borderId="5" xfId="0" applyFont="1" applyFill="1" applyBorder="1" applyAlignment="1" applyProtection="1">
      <alignment vertical="center"/>
    </xf>
    <xf numFmtId="0" fontId="92" fillId="0" borderId="9" xfId="0" applyFont="1" applyBorder="1" applyAlignment="1">
      <alignment vertical="center"/>
    </xf>
    <xf numFmtId="0" fontId="158" fillId="0" borderId="1" xfId="0" applyFont="1" applyFill="1" applyBorder="1" applyAlignment="1" applyProtection="1">
      <alignment horizontal="center" vertical="center"/>
    </xf>
    <xf numFmtId="169" fontId="97" fillId="41" borderId="1" xfId="0" applyNumberFormat="1" applyFont="1" applyFill="1" applyBorder="1" applyAlignment="1">
      <alignment horizontal="center" vertical="center"/>
    </xf>
    <xf numFmtId="169" fontId="97" fillId="41" borderId="1" xfId="0" applyNumberFormat="1" applyFont="1" applyFill="1" applyBorder="1" applyAlignment="1" applyProtection="1">
      <alignment horizontal="center" vertical="center"/>
      <protection locked="0"/>
    </xf>
    <xf numFmtId="174" fontId="147" fillId="5" borderId="5" xfId="0" quotePrefix="1" applyNumberFormat="1" applyFont="1" applyFill="1" applyBorder="1" applyAlignment="1">
      <alignment vertical="center" wrapText="1"/>
    </xf>
    <xf numFmtId="174" fontId="147" fillId="5" borderId="9" xfId="0" quotePrefix="1" applyNumberFormat="1" applyFont="1" applyFill="1" applyBorder="1" applyAlignment="1">
      <alignment vertical="center" wrapText="1"/>
    </xf>
    <xf numFmtId="165" fontId="75" fillId="0" borderId="3" xfId="1" applyFont="1" applyFill="1" applyBorder="1" applyAlignment="1">
      <alignment horizontal="center" vertical="center"/>
    </xf>
    <xf numFmtId="186" fontId="75" fillId="0" borderId="12" xfId="0" applyNumberFormat="1" applyFont="1" applyFill="1" applyBorder="1" applyAlignment="1" applyProtection="1">
      <alignment horizontal="center" vertical="center"/>
    </xf>
    <xf numFmtId="186" fontId="154" fillId="0" borderId="12" xfId="0" applyNumberFormat="1" applyFont="1" applyFill="1" applyBorder="1" applyAlignment="1" applyProtection="1">
      <alignment horizontal="center" vertical="center"/>
    </xf>
    <xf numFmtId="169" fontId="97" fillId="0" borderId="3" xfId="0" applyNumberFormat="1" applyFont="1" applyFill="1" applyBorder="1" applyAlignment="1">
      <alignment horizontal="center" vertical="center"/>
    </xf>
    <xf numFmtId="166" fontId="154" fillId="0" borderId="13" xfId="0" applyNumberFormat="1" applyFont="1" applyFill="1" applyBorder="1" applyAlignment="1">
      <alignment horizontal="center" vertical="center"/>
    </xf>
    <xf numFmtId="168" fontId="154" fillId="0" borderId="3" xfId="0" applyNumberFormat="1" applyFont="1" applyFill="1" applyBorder="1" applyAlignment="1">
      <alignment horizontal="center" vertical="center"/>
    </xf>
    <xf numFmtId="0" fontId="52" fillId="0" borderId="0" xfId="0" applyFont="1" applyFill="1" applyAlignment="1">
      <alignment horizontal="center" vertical="center"/>
    </xf>
    <xf numFmtId="0" fontId="154" fillId="0" borderId="0" xfId="0" applyFont="1" applyFill="1" applyAlignment="1">
      <alignment horizontal="center" vertical="center"/>
    </xf>
    <xf numFmtId="168" fontId="75" fillId="0" borderId="0" xfId="0" applyNumberFormat="1" applyFont="1" applyFill="1" applyAlignment="1">
      <alignment horizontal="center" vertical="center"/>
    </xf>
    <xf numFmtId="0" fontId="23" fillId="0" borderId="0" xfId="0" applyFont="1">
      <alignment vertical="center"/>
    </xf>
    <xf numFmtId="179" fontId="57" fillId="0" borderId="0" xfId="0" applyNumberFormat="1" applyFont="1" applyFill="1" applyBorder="1" applyAlignment="1" applyProtection="1">
      <alignment vertical="center"/>
      <protection locked="0"/>
    </xf>
    <xf numFmtId="0" fontId="23" fillId="0" borderId="0" xfId="0" applyFont="1" applyBorder="1">
      <alignment vertical="center"/>
    </xf>
    <xf numFmtId="0" fontId="23" fillId="5" borderId="0" xfId="0" applyFont="1" applyFill="1">
      <alignment vertical="center"/>
    </xf>
    <xf numFmtId="179" fontId="54" fillId="43" borderId="0" xfId="0" applyNumberFormat="1" applyFont="1" applyFill="1" applyBorder="1" applyAlignment="1" applyProtection="1">
      <alignment vertical="center"/>
      <protection locked="0"/>
    </xf>
    <xf numFmtId="0" fontId="23" fillId="6" borderId="0" xfId="0" applyFont="1" applyFill="1" applyBorder="1" applyAlignment="1" applyProtection="1">
      <alignment horizontal="center" vertical="center" wrapText="1"/>
    </xf>
    <xf numFmtId="0" fontId="23" fillId="6" borderId="0" xfId="0" applyFont="1" applyFill="1" applyBorder="1" applyAlignment="1">
      <alignment vertical="center"/>
    </xf>
    <xf numFmtId="0" fontId="24" fillId="0" borderId="0" xfId="0" applyFont="1" applyFill="1" applyBorder="1" applyAlignment="1" applyProtection="1">
      <alignment horizontal="center" vertical="center"/>
    </xf>
    <xf numFmtId="0" fontId="23" fillId="6" borderId="0" xfId="0" applyFont="1" applyFill="1" applyBorder="1" applyAlignment="1" applyProtection="1">
      <alignment horizontal="center" vertical="center"/>
    </xf>
    <xf numFmtId="20" fontId="23" fillId="6" borderId="0" xfId="0" applyNumberFormat="1" applyFont="1" applyFill="1" applyBorder="1">
      <alignment vertical="center"/>
    </xf>
    <xf numFmtId="0" fontId="23" fillId="0" borderId="48" xfId="0" applyFont="1" applyFill="1" applyBorder="1" applyAlignment="1" applyProtection="1">
      <alignment horizontal="center" vertical="center"/>
    </xf>
    <xf numFmtId="0" fontId="23" fillId="0" borderId="49" xfId="0" applyFont="1" applyFill="1" applyBorder="1" applyAlignment="1" applyProtection="1">
      <alignment horizontal="center" vertical="center"/>
    </xf>
    <xf numFmtId="0" fontId="23" fillId="0" borderId="50" xfId="0" applyFont="1" applyFill="1" applyBorder="1" applyAlignment="1" applyProtection="1">
      <alignment horizontal="center" vertical="center"/>
    </xf>
    <xf numFmtId="0" fontId="23" fillId="0" borderId="0" xfId="0" applyFont="1" applyFill="1" applyAlignment="1" applyProtection="1">
      <alignment horizontal="center" vertical="center"/>
    </xf>
    <xf numFmtId="0" fontId="23" fillId="0" borderId="51" xfId="0" applyFont="1" applyFill="1" applyBorder="1" applyAlignment="1" applyProtection="1">
      <alignment horizontal="center" vertical="center"/>
    </xf>
    <xf numFmtId="0" fontId="23" fillId="0" borderId="0" xfId="0" applyFont="1" applyFill="1" applyBorder="1" applyAlignment="1" applyProtection="1">
      <alignment horizontal="center" vertical="center"/>
    </xf>
    <xf numFmtId="0" fontId="23" fillId="0" borderId="52" xfId="0" applyFont="1" applyFill="1" applyBorder="1" applyAlignment="1" applyProtection="1">
      <alignment horizontal="center" vertical="center"/>
    </xf>
    <xf numFmtId="0" fontId="160" fillId="0" borderId="0" xfId="0" applyFont="1" applyFill="1" applyBorder="1" applyAlignment="1">
      <alignment horizontal="center" vertical="center" wrapText="1"/>
    </xf>
    <xf numFmtId="0" fontId="26" fillId="0" borderId="0" xfId="0" applyFont="1" applyFill="1" applyAlignment="1" applyProtection="1">
      <alignment horizontal="center" vertical="center"/>
    </xf>
    <xf numFmtId="0" fontId="23" fillId="6" borderId="51" xfId="0" applyFont="1" applyFill="1" applyBorder="1" applyAlignment="1">
      <alignment vertical="center"/>
    </xf>
    <xf numFmtId="0" fontId="26" fillId="0" borderId="52" xfId="0" applyFont="1" applyFill="1" applyBorder="1" applyAlignment="1" applyProtection="1">
      <alignment horizontal="center" vertical="center"/>
    </xf>
    <xf numFmtId="0" fontId="23" fillId="6" borderId="5" xfId="0" applyFont="1" applyFill="1" applyBorder="1" applyAlignment="1" applyProtection="1">
      <alignment horizontal="center" vertical="center" wrapText="1"/>
    </xf>
    <xf numFmtId="20" fontId="23" fillId="6" borderId="51" xfId="0" applyNumberFormat="1" applyFont="1" applyFill="1" applyBorder="1">
      <alignment vertical="center"/>
    </xf>
    <xf numFmtId="20" fontId="23" fillId="6" borderId="52" xfId="0" applyNumberFormat="1" applyFont="1" applyFill="1" applyBorder="1">
      <alignment vertical="center"/>
    </xf>
    <xf numFmtId="0" fontId="51" fillId="0" borderId="5"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xf>
    <xf numFmtId="0" fontId="23" fillId="0" borderId="52" xfId="0" applyFont="1" applyBorder="1">
      <alignment vertical="center"/>
    </xf>
    <xf numFmtId="1" fontId="23" fillId="0" borderId="51" xfId="0" applyNumberFormat="1" applyFont="1" applyFill="1" applyBorder="1" applyAlignment="1" applyProtection="1">
      <alignment horizontal="center" vertical="center"/>
    </xf>
    <xf numFmtId="1" fontId="23" fillId="0" borderId="0" xfId="0" applyNumberFormat="1" applyFont="1" applyFill="1" applyBorder="1" applyAlignment="1" applyProtection="1">
      <alignment horizontal="center" vertical="center"/>
    </xf>
    <xf numFmtId="1" fontId="23" fillId="0" borderId="52" xfId="0" applyNumberFormat="1" applyFont="1" applyFill="1" applyBorder="1" applyAlignment="1" applyProtection="1">
      <alignment horizontal="center" vertical="center"/>
    </xf>
    <xf numFmtId="0" fontId="23" fillId="0" borderId="51" xfId="0" applyFont="1" applyBorder="1">
      <alignment vertical="center"/>
    </xf>
    <xf numFmtId="0" fontId="23" fillId="5" borderId="0" xfId="0" applyFont="1" applyFill="1" applyBorder="1">
      <alignment vertical="center"/>
    </xf>
    <xf numFmtId="0" fontId="23" fillId="0" borderId="13" xfId="0" applyFont="1" applyFill="1" applyBorder="1" applyAlignment="1">
      <alignment horizontal="center" vertical="center" wrapText="1"/>
    </xf>
    <xf numFmtId="0" fontId="23" fillId="0" borderId="0" xfId="0" applyFont="1" applyFill="1" applyBorder="1" applyAlignment="1" applyProtection="1">
      <alignment horizontal="center" vertical="center" wrapText="1"/>
    </xf>
    <xf numFmtId="1" fontId="23" fillId="0" borderId="52" xfId="0" applyNumberFormat="1" applyFont="1" applyBorder="1">
      <alignment vertical="center"/>
    </xf>
    <xf numFmtId="0" fontId="23" fillId="38" borderId="0" xfId="0" applyFont="1" applyFill="1" applyBorder="1" applyAlignment="1" applyProtection="1">
      <alignment horizontal="center" vertical="center"/>
    </xf>
    <xf numFmtId="0" fontId="23" fillId="38" borderId="0" xfId="0" applyFont="1" applyFill="1" applyBorder="1" applyAlignment="1">
      <alignment horizontal="center" vertical="center" wrapText="1"/>
    </xf>
    <xf numFmtId="1" fontId="23" fillId="38" borderId="51" xfId="0" applyNumberFormat="1" applyFont="1" applyFill="1" applyBorder="1" applyAlignment="1" applyProtection="1">
      <alignment horizontal="center" vertical="center"/>
    </xf>
    <xf numFmtId="1" fontId="23" fillId="38" borderId="0" xfId="0" applyNumberFormat="1" applyFont="1" applyFill="1" applyBorder="1" applyAlignment="1" applyProtection="1">
      <alignment horizontal="center" vertical="center"/>
    </xf>
    <xf numFmtId="0" fontId="23" fillId="38" borderId="52" xfId="0" applyFont="1" applyFill="1" applyBorder="1">
      <alignment vertical="center"/>
    </xf>
    <xf numFmtId="0" fontId="23" fillId="38" borderId="0" xfId="0" applyFont="1" applyFill="1">
      <alignment vertical="center"/>
    </xf>
    <xf numFmtId="0" fontId="37" fillId="38" borderId="5" xfId="85" applyFont="1" applyFill="1" applyBorder="1" applyAlignment="1">
      <alignment vertical="center" wrapText="1"/>
    </xf>
    <xf numFmtId="0" fontId="37" fillId="38" borderId="9" xfId="85" applyFont="1" applyFill="1" applyBorder="1" applyAlignment="1">
      <alignment vertical="center" wrapText="1"/>
    </xf>
    <xf numFmtId="0" fontId="23" fillId="38" borderId="51" xfId="0" applyFont="1" applyFill="1" applyBorder="1" applyAlignment="1" applyProtection="1">
      <alignment horizontal="center" vertical="center" wrapText="1"/>
      <protection locked="0"/>
    </xf>
    <xf numFmtId="0" fontId="23" fillId="38" borderId="0" xfId="0" applyFont="1" applyFill="1" applyBorder="1" applyAlignment="1" applyProtection="1">
      <alignment horizontal="center" vertical="center" wrapText="1"/>
      <protection locked="0"/>
    </xf>
    <xf numFmtId="0" fontId="23" fillId="38" borderId="52" xfId="0" applyFont="1" applyFill="1" applyBorder="1" applyAlignment="1" applyProtection="1">
      <alignment horizontal="center" vertical="center" wrapText="1"/>
      <protection locked="0"/>
    </xf>
    <xf numFmtId="1" fontId="23" fillId="38" borderId="52" xfId="0" applyNumberFormat="1" applyFont="1" applyFill="1" applyBorder="1" applyAlignment="1" applyProtection="1">
      <alignment horizontal="center" vertical="center"/>
    </xf>
    <xf numFmtId="1" fontId="23" fillId="0" borderId="53" xfId="0" applyNumberFormat="1" applyFont="1" applyFill="1" applyBorder="1" applyAlignment="1" applyProtection="1">
      <alignment horizontal="center" vertical="center"/>
    </xf>
    <xf numFmtId="1" fontId="23" fillId="0" borderId="54" xfId="0" applyNumberFormat="1" applyFont="1" applyFill="1" applyBorder="1" applyAlignment="1" applyProtection="1">
      <alignment horizontal="center" vertical="center"/>
    </xf>
    <xf numFmtId="0" fontId="23" fillId="0" borderId="55" xfId="0" applyFont="1" applyBorder="1">
      <alignment vertical="center"/>
    </xf>
    <xf numFmtId="0" fontId="23" fillId="0" borderId="3" xfId="0" applyFont="1" applyFill="1" applyBorder="1" applyAlignment="1" applyProtection="1">
      <alignment vertical="center"/>
    </xf>
    <xf numFmtId="0" fontId="23" fillId="0" borderId="17" xfId="0" applyFont="1" applyBorder="1">
      <alignment vertical="center"/>
    </xf>
    <xf numFmtId="0" fontId="23" fillId="0" borderId="19" xfId="0" applyFont="1" applyBorder="1">
      <alignment vertical="center"/>
    </xf>
    <xf numFmtId="0" fontId="23" fillId="0" borderId="22" xfId="0" applyFont="1" applyBorder="1">
      <alignment vertical="center"/>
    </xf>
    <xf numFmtId="0" fontId="23" fillId="0" borderId="23" xfId="0" applyFont="1" applyBorder="1">
      <alignment vertical="center"/>
    </xf>
    <xf numFmtId="0" fontId="23" fillId="0" borderId="5" xfId="0" applyFont="1" applyFill="1" applyBorder="1" applyAlignment="1" applyProtection="1">
      <alignment horizontal="left" vertical="center" wrapText="1"/>
    </xf>
    <xf numFmtId="0" fontId="67" fillId="0" borderId="3" xfId="0" applyFont="1" applyFill="1" applyBorder="1" applyAlignment="1" applyProtection="1">
      <alignment vertical="center"/>
    </xf>
    <xf numFmtId="0" fontId="67" fillId="0" borderId="5" xfId="0" applyFont="1" applyFill="1" applyBorder="1" applyAlignment="1" applyProtection="1">
      <alignment horizontal="left" vertical="center" wrapText="1"/>
    </xf>
    <xf numFmtId="0" fontId="24" fillId="0" borderId="5" xfId="0" applyFont="1" applyFill="1" applyBorder="1" applyAlignment="1" applyProtection="1">
      <alignment horizontal="center" vertical="center" wrapText="1"/>
    </xf>
    <xf numFmtId="0" fontId="23" fillId="6" borderId="22" xfId="0" applyFont="1" applyFill="1" applyBorder="1" applyAlignment="1">
      <alignment vertical="center"/>
    </xf>
    <xf numFmtId="0" fontId="23" fillId="6" borderId="23" xfId="0" applyFont="1" applyFill="1" applyBorder="1">
      <alignment vertical="center"/>
    </xf>
    <xf numFmtId="20" fontId="23" fillId="6" borderId="22" xfId="0" applyNumberFormat="1" applyFont="1" applyFill="1" applyBorder="1">
      <alignment vertical="center"/>
    </xf>
    <xf numFmtId="20" fontId="23" fillId="6" borderId="23" xfId="0" applyNumberFormat="1" applyFont="1" applyFill="1" applyBorder="1">
      <alignment vertical="center"/>
    </xf>
    <xf numFmtId="0" fontId="24" fillId="6" borderId="5" xfId="0" applyFont="1" applyFill="1" applyBorder="1" applyAlignment="1" applyProtection="1">
      <alignment horizontal="center" vertical="center" wrapText="1"/>
    </xf>
    <xf numFmtId="0" fontId="13" fillId="0" borderId="5" xfId="0" applyFont="1" applyFill="1" applyBorder="1" applyAlignment="1" applyProtection="1">
      <alignment vertical="center" wrapText="1"/>
    </xf>
    <xf numFmtId="0" fontId="24" fillId="0" borderId="3" xfId="0" applyFont="1" applyFill="1" applyBorder="1" applyAlignment="1" applyProtection="1">
      <alignment horizontal="center" vertical="center"/>
    </xf>
    <xf numFmtId="0" fontId="37" fillId="0" borderId="5" xfId="0" applyFont="1" applyFill="1" applyBorder="1" applyAlignment="1">
      <alignment vertical="center" wrapText="1"/>
    </xf>
    <xf numFmtId="0" fontId="24" fillId="6" borderId="3" xfId="0" applyFont="1" applyFill="1" applyBorder="1" applyAlignment="1" applyProtection="1">
      <alignment vertical="center"/>
    </xf>
    <xf numFmtId="0" fontId="24" fillId="6" borderId="13" xfId="0" applyFont="1" applyFill="1" applyBorder="1" applyAlignment="1" applyProtection="1">
      <alignment vertical="center" wrapText="1"/>
    </xf>
    <xf numFmtId="0" fontId="23" fillId="6" borderId="22" xfId="0" applyFont="1" applyFill="1" applyBorder="1">
      <alignment vertical="center"/>
    </xf>
    <xf numFmtId="0" fontId="24" fillId="6" borderId="2" xfId="0" applyFont="1" applyFill="1" applyBorder="1" applyAlignment="1" applyProtection="1">
      <alignment vertical="center"/>
    </xf>
    <xf numFmtId="0" fontId="24" fillId="6" borderId="4" xfId="0" applyFont="1" applyFill="1" applyBorder="1" applyAlignment="1" applyProtection="1">
      <alignment vertical="center" wrapText="1"/>
    </xf>
    <xf numFmtId="1" fontId="23" fillId="0" borderId="22" xfId="0" applyNumberFormat="1" applyFont="1" applyBorder="1">
      <alignment vertical="center"/>
    </xf>
    <xf numFmtId="1" fontId="23" fillId="0" borderId="23" xfId="0" applyNumberFormat="1" applyFont="1" applyBorder="1">
      <alignment vertical="center"/>
    </xf>
    <xf numFmtId="0" fontId="23" fillId="0" borderId="26" xfId="0" applyFont="1" applyBorder="1">
      <alignment vertical="center"/>
    </xf>
    <xf numFmtId="0" fontId="23" fillId="0" borderId="28" xfId="0" applyFont="1" applyBorder="1">
      <alignment vertical="center"/>
    </xf>
    <xf numFmtId="0" fontId="51" fillId="0" borderId="1" xfId="0" applyFont="1" applyFill="1" applyBorder="1" applyAlignment="1">
      <alignment horizontal="center" vertical="center"/>
    </xf>
    <xf numFmtId="0" fontId="51" fillId="0" borderId="5" xfId="0" applyFont="1" applyFill="1" applyBorder="1" applyAlignment="1">
      <alignment horizontal="center" vertical="center"/>
    </xf>
    <xf numFmtId="0" fontId="51" fillId="0" borderId="56" xfId="86" applyFont="1" applyFill="1" applyBorder="1" applyAlignment="1" applyProtection="1">
      <alignment horizontal="center" vertical="center" shrinkToFit="1"/>
    </xf>
    <xf numFmtId="0" fontId="51" fillId="0" borderId="4" xfId="0" applyFont="1" applyFill="1" applyBorder="1" applyAlignment="1" applyProtection="1">
      <alignment horizontal="center" vertical="center"/>
    </xf>
    <xf numFmtId="0" fontId="51" fillId="0" borderId="57" xfId="86" applyFont="1" applyFill="1" applyBorder="1" applyAlignment="1" applyProtection="1">
      <alignment horizontal="center" vertical="center" shrinkToFit="1"/>
    </xf>
    <xf numFmtId="0" fontId="51" fillId="6" borderId="5" xfId="0" applyFont="1" applyFill="1" applyBorder="1" applyAlignment="1">
      <alignment vertical="center" wrapText="1"/>
    </xf>
    <xf numFmtId="0" fontId="23" fillId="6" borderId="23" xfId="0" applyFont="1" applyFill="1" applyBorder="1" applyAlignment="1">
      <alignment vertical="center"/>
    </xf>
    <xf numFmtId="0" fontId="51" fillId="6" borderId="4" xfId="0" applyFont="1" applyFill="1" applyBorder="1" applyAlignment="1" applyProtection="1">
      <alignment horizontal="center" vertical="center" wrapText="1"/>
    </xf>
    <xf numFmtId="0" fontId="23" fillId="0" borderId="0" xfId="0" applyFont="1" applyFill="1" applyBorder="1" applyAlignment="1">
      <alignment horizontal="center" vertical="center"/>
    </xf>
    <xf numFmtId="0" fontId="37" fillId="38" borderId="0" xfId="85" applyFont="1" applyFill="1" applyBorder="1" applyAlignment="1">
      <alignment vertical="center" wrapText="1"/>
    </xf>
    <xf numFmtId="181" fontId="23" fillId="38" borderId="51" xfId="0" applyNumberFormat="1" applyFont="1" applyFill="1" applyBorder="1" applyAlignment="1" applyProtection="1">
      <alignment horizontal="center" vertical="center"/>
    </xf>
    <xf numFmtId="181" fontId="23" fillId="38" borderId="0" xfId="0" applyNumberFormat="1" applyFont="1" applyFill="1" applyBorder="1" applyAlignment="1" applyProtection="1">
      <alignment horizontal="center" vertical="center"/>
    </xf>
    <xf numFmtId="181" fontId="23" fillId="38" borderId="52" xfId="0" applyNumberFormat="1" applyFont="1" applyFill="1" applyBorder="1" applyAlignment="1" applyProtection="1">
      <alignment horizontal="center" vertical="center"/>
    </xf>
    <xf numFmtId="1" fontId="23" fillId="0" borderId="28" xfId="0" applyNumberFormat="1" applyFont="1" applyBorder="1">
      <alignment vertical="center"/>
    </xf>
    <xf numFmtId="0" fontId="4" fillId="5" borderId="1" xfId="82" applyFont="1" applyFill="1" applyBorder="1"/>
    <xf numFmtId="0" fontId="49" fillId="35" borderId="0" xfId="0" applyFont="1" applyFill="1">
      <alignment vertical="center"/>
    </xf>
    <xf numFmtId="0" fontId="54" fillId="35" borderId="59" xfId="0" applyFont="1" applyFill="1" applyBorder="1" applyAlignment="1">
      <alignment vertical="center"/>
    </xf>
    <xf numFmtId="0" fontId="54" fillId="35" borderId="60" xfId="0" applyFont="1" applyFill="1" applyBorder="1" applyAlignment="1">
      <alignment vertical="center"/>
    </xf>
    <xf numFmtId="0" fontId="54" fillId="35" borderId="61" xfId="0" applyFont="1" applyFill="1" applyBorder="1" applyAlignment="1">
      <alignment vertical="center"/>
    </xf>
    <xf numFmtId="0" fontId="54" fillId="35" borderId="58" xfId="0" applyFont="1" applyFill="1" applyBorder="1" applyAlignment="1">
      <alignment vertical="center"/>
    </xf>
    <xf numFmtId="174" fontId="49" fillId="5" borderId="1" xfId="0" applyNumberFormat="1" applyFont="1" applyFill="1" applyBorder="1" applyAlignment="1" applyProtection="1">
      <alignment horizontal="centerContinuous" vertical="center"/>
    </xf>
    <xf numFmtId="0" fontId="75" fillId="5" borderId="5" xfId="0" applyFont="1" applyFill="1" applyBorder="1" applyAlignment="1">
      <alignment vertical="center"/>
    </xf>
    <xf numFmtId="0" fontId="75" fillId="5" borderId="9" xfId="0" applyFont="1" applyFill="1" applyBorder="1" applyAlignment="1">
      <alignment vertical="center"/>
    </xf>
    <xf numFmtId="169" fontId="49" fillId="0" borderId="9" xfId="0" applyNumberFormat="1" applyFont="1" applyFill="1" applyBorder="1" applyAlignment="1">
      <alignment horizontal="center" vertical="center"/>
    </xf>
    <xf numFmtId="0" fontId="49" fillId="0" borderId="0" xfId="0" quotePrefix="1" applyFont="1" applyFill="1" applyBorder="1" applyAlignment="1" applyProtection="1">
      <alignment vertical="center"/>
    </xf>
    <xf numFmtId="0" fontId="49" fillId="0" borderId="0" xfId="0" applyFont="1" applyFill="1" applyBorder="1" applyAlignment="1" applyProtection="1">
      <alignment vertical="center"/>
    </xf>
    <xf numFmtId="169" fontId="49" fillId="0" borderId="0" xfId="0" applyNumberFormat="1" applyFont="1" applyFill="1" applyBorder="1" applyAlignment="1">
      <alignment horizontal="center" vertical="center"/>
    </xf>
    <xf numFmtId="166" fontId="49" fillId="0" borderId="0" xfId="0" applyNumberFormat="1" applyFont="1" applyFill="1" applyBorder="1" applyAlignment="1">
      <alignment horizontal="center" vertical="center"/>
    </xf>
    <xf numFmtId="168" fontId="49" fillId="0" borderId="0" xfId="0" applyNumberFormat="1" applyFont="1" applyFill="1" applyBorder="1" applyAlignment="1" applyProtection="1">
      <alignment horizontal="center" vertical="center"/>
    </xf>
    <xf numFmtId="168" fontId="49" fillId="0" borderId="0" xfId="0" applyNumberFormat="1" applyFont="1" applyFill="1" applyBorder="1" applyAlignment="1">
      <alignment horizontal="center" vertical="center"/>
    </xf>
    <xf numFmtId="171" fontId="49" fillId="0" borderId="0" xfId="0" applyNumberFormat="1" applyFont="1" applyFill="1" applyBorder="1" applyAlignment="1" applyProtection="1">
      <alignment horizontal="center" vertical="center"/>
    </xf>
    <xf numFmtId="0" fontId="49" fillId="0" borderId="0" xfId="0" applyFont="1" applyFill="1" applyBorder="1" applyAlignment="1" applyProtection="1">
      <alignment vertical="center" wrapText="1"/>
      <protection locked="0"/>
    </xf>
    <xf numFmtId="0" fontId="49" fillId="0" borderId="0" xfId="0" applyFont="1" applyFill="1" applyBorder="1" applyAlignment="1" applyProtection="1">
      <alignment vertical="center" wrapText="1"/>
    </xf>
    <xf numFmtId="0" fontId="97" fillId="0" borderId="0" xfId="0" applyFont="1" applyFill="1" applyAlignment="1">
      <alignment horizontal="left" vertical="center"/>
    </xf>
    <xf numFmtId="0" fontId="49" fillId="12" borderId="1" xfId="0" applyFont="1" applyFill="1" applyBorder="1" applyAlignment="1">
      <alignment horizontal="center" vertical="center"/>
    </xf>
    <xf numFmtId="0" fontId="163" fillId="0" borderId="7" xfId="82" applyFont="1" applyBorder="1" applyAlignment="1">
      <alignment horizontal="centerContinuous" vertical="center"/>
    </xf>
    <xf numFmtId="0" fontId="163" fillId="0" borderId="0" xfId="82" applyFont="1" applyBorder="1" applyAlignment="1">
      <alignment horizontal="centerContinuous" vertical="center"/>
    </xf>
    <xf numFmtId="0" fontId="164" fillId="0" borderId="0" xfId="82" applyFont="1" applyAlignment="1">
      <alignment horizontal="centerContinuous"/>
    </xf>
    <xf numFmtId="0" fontId="165" fillId="0" borderId="1" xfId="0" applyFont="1" applyBorder="1" applyAlignment="1"/>
    <xf numFmtId="0" fontId="0" fillId="0" borderId="0" xfId="0" applyAlignment="1"/>
    <xf numFmtId="0" fontId="165" fillId="0" borderId="3" xfId="0" applyFont="1" applyBorder="1" applyAlignment="1"/>
    <xf numFmtId="0" fontId="165" fillId="36" borderId="3" xfId="0" applyFont="1" applyFill="1" applyBorder="1" applyAlignment="1">
      <alignment horizontal="center" vertical="center"/>
    </xf>
    <xf numFmtId="0" fontId="166" fillId="0" borderId="7" xfId="82" applyFont="1" applyBorder="1" applyAlignment="1">
      <alignment horizontal="centerContinuous" vertical="center" wrapText="1"/>
    </xf>
    <xf numFmtId="0" fontId="4"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8" fontId="96" fillId="5" borderId="1" xfId="83" applyNumberFormat="1" applyFont="1" applyFill="1" applyBorder="1" applyAlignment="1">
      <alignment horizontal="center" vertical="center"/>
    </xf>
    <xf numFmtId="0" fontId="4" fillId="6" borderId="0" xfId="82" applyFont="1" applyFill="1"/>
    <xf numFmtId="0" fontId="168" fillId="0" borderId="0" xfId="82" applyFont="1" applyFill="1"/>
    <xf numFmtId="43" fontId="0" fillId="0" borderId="1" xfId="1" applyNumberFormat="1" applyFont="1" applyFill="1" applyBorder="1" applyAlignment="1"/>
    <xf numFmtId="0" fontId="2" fillId="0" borderId="0" xfId="82" applyFont="1"/>
    <xf numFmtId="0" fontId="163" fillId="0" borderId="7" xfId="82" applyFont="1" applyFill="1" applyBorder="1" applyAlignment="1">
      <alignment horizontal="centerContinuous" vertical="center"/>
    </xf>
    <xf numFmtId="43" fontId="96" fillId="0" borderId="1" xfId="83" applyFont="1" applyFill="1" applyBorder="1" applyAlignment="1">
      <alignment horizontal="center" vertical="center"/>
    </xf>
    <xf numFmtId="0" fontId="96"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4" fillId="0" borderId="0" xfId="82" applyFill="1"/>
    <xf numFmtId="0" fontId="3" fillId="5" borderId="1" xfId="82" applyFont="1" applyFill="1" applyBorder="1"/>
    <xf numFmtId="0" fontId="3" fillId="5" borderId="0" xfId="82" applyFont="1" applyFill="1"/>
    <xf numFmtId="0" fontId="4" fillId="5" borderId="0" xfId="82" applyFont="1" applyFill="1"/>
    <xf numFmtId="179" fontId="70" fillId="0" borderId="7" xfId="0" applyNumberFormat="1" applyFont="1" applyFill="1" applyBorder="1" applyAlignment="1" applyProtection="1">
      <alignment horizontal="center" vertical="center"/>
      <protection locked="0"/>
    </xf>
    <xf numFmtId="14" fontId="4" fillId="0" borderId="1" xfId="82" quotePrefix="1" applyNumberFormat="1" applyFont="1" applyFill="1" applyBorder="1"/>
    <xf numFmtId="41" fontId="23" fillId="0" borderId="22" xfId="0" applyNumberFormat="1" applyFont="1" applyBorder="1">
      <alignment vertical="center"/>
    </xf>
    <xf numFmtId="41" fontId="23" fillId="0" borderId="23" xfId="0" applyNumberFormat="1" applyFont="1" applyBorder="1">
      <alignment vertical="center"/>
    </xf>
    <xf numFmtId="188" fontId="96" fillId="6" borderId="1" xfId="83" applyNumberFormat="1" applyFont="1" applyFill="1" applyBorder="1" applyAlignment="1">
      <alignment horizontal="center" vertical="center"/>
    </xf>
    <xf numFmtId="0" fontId="4" fillId="0" borderId="13" xfId="82" applyFont="1" applyBorder="1"/>
    <xf numFmtId="0" fontId="4" fillId="0" borderId="8" xfId="82" applyFont="1" applyBorder="1"/>
    <xf numFmtId="0" fontId="4" fillId="0" borderId="12" xfId="82" applyFont="1" applyBorder="1"/>
    <xf numFmtId="0" fontId="4" fillId="0" borderId="11" xfId="82" applyFont="1" applyBorder="1"/>
    <xf numFmtId="0" fontId="4" fillId="0" borderId="0" xfId="82" applyFont="1" applyBorder="1"/>
    <xf numFmtId="0" fontId="4" fillId="0" borderId="16" xfId="82" applyFont="1" applyBorder="1"/>
    <xf numFmtId="0" fontId="4" fillId="0" borderId="4" xfId="82" applyFont="1" applyBorder="1"/>
    <xf numFmtId="0" fontId="4" fillId="0" borderId="7" xfId="82" applyFont="1" applyBorder="1"/>
    <xf numFmtId="0" fontId="4" fillId="0" borderId="15" xfId="82" applyFont="1" applyBorder="1"/>
    <xf numFmtId="0" fontId="4" fillId="0" borderId="13" xfId="82" applyFont="1" applyFill="1" applyBorder="1"/>
    <xf numFmtId="0" fontId="4" fillId="0" borderId="8" xfId="82" applyFont="1" applyFill="1" applyBorder="1"/>
    <xf numFmtId="0" fontId="4" fillId="0" borderId="11" xfId="82" applyFont="1" applyFill="1" applyBorder="1"/>
    <xf numFmtId="0" fontId="4" fillId="0" borderId="0" xfId="82" applyFont="1" applyFill="1" applyBorder="1"/>
    <xf numFmtId="0" fontId="4" fillId="0" borderId="4" xfId="82" applyFont="1" applyFill="1" applyBorder="1"/>
    <xf numFmtId="0" fontId="4" fillId="0" borderId="7" xfId="82" applyFont="1" applyFill="1" applyBorder="1"/>
    <xf numFmtId="0" fontId="4" fillId="0" borderId="12" xfId="82" applyFont="1" applyFill="1" applyBorder="1"/>
    <xf numFmtId="0" fontId="4" fillId="0" borderId="16" xfId="82" applyFont="1" applyFill="1" applyBorder="1"/>
    <xf numFmtId="0" fontId="4" fillId="0" borderId="15" xfId="82" applyFont="1" applyFill="1" applyBorder="1"/>
    <xf numFmtId="0" fontId="9" fillId="0" borderId="0" xfId="0" applyFont="1" applyBorder="1" applyAlignment="1" applyProtection="1">
      <alignment horizontal="center" vertical="center" wrapText="1"/>
    </xf>
    <xf numFmtId="0" fontId="25" fillId="0" borderId="0" xfId="0" applyFont="1" applyFill="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0" fontId="24" fillId="0" borderId="0" xfId="0" applyFont="1" applyAlignment="1">
      <alignment horizontal="center" vertical="center"/>
    </xf>
    <xf numFmtId="0" fontId="50" fillId="0" borderId="0" xfId="0" applyFont="1" applyAlignment="1">
      <alignment horizontal="center" vertical="center"/>
    </xf>
    <xf numFmtId="14" fontId="170" fillId="4" borderId="1" xfId="0" applyNumberFormat="1" applyFont="1" applyFill="1" applyBorder="1" applyAlignment="1">
      <alignment horizontal="center" vertical="center"/>
    </xf>
    <xf numFmtId="173" fontId="171" fillId="0" borderId="1" xfId="7" applyNumberFormat="1" applyFont="1" applyFill="1" applyBorder="1" applyAlignment="1">
      <alignment horizontal="center" vertical="center"/>
    </xf>
    <xf numFmtId="20" fontId="171" fillId="0" borderId="1" xfId="0" applyNumberFormat="1" applyFont="1" applyBorder="1" applyAlignment="1">
      <alignment horizontal="center" vertical="center"/>
    </xf>
    <xf numFmtId="0" fontId="17" fillId="0" borderId="1" xfId="0" applyFont="1" applyBorder="1" applyAlignment="1">
      <alignment horizontal="center" vertical="center"/>
    </xf>
    <xf numFmtId="0" fontId="171" fillId="0" borderId="1" xfId="0" applyFont="1" applyBorder="1" applyAlignment="1">
      <alignment horizontal="center" vertical="center"/>
    </xf>
    <xf numFmtId="0" fontId="24" fillId="6" borderId="1" xfId="0" applyFont="1" applyFill="1" applyBorder="1" applyAlignment="1">
      <alignment horizontal="center" vertical="center"/>
    </xf>
    <xf numFmtId="0" fontId="24" fillId="6" borderId="1" xfId="0" applyFont="1" applyFill="1" applyBorder="1" applyAlignment="1">
      <alignment horizontal="center" vertical="center" wrapText="1"/>
    </xf>
    <xf numFmtId="0" fontId="57" fillId="5" borderId="1" xfId="0" applyFont="1" applyFill="1" applyBorder="1" applyAlignment="1">
      <alignment horizontal="center" vertical="center"/>
    </xf>
    <xf numFmtId="0" fontId="73" fillId="5" borderId="1" xfId="0" applyFont="1" applyFill="1" applyBorder="1" applyAlignment="1">
      <alignment horizontal="center" vertical="center"/>
    </xf>
    <xf numFmtId="179" fontId="17" fillId="0" borderId="7" xfId="0" applyNumberFormat="1" applyFont="1" applyFill="1" applyBorder="1" applyAlignment="1" applyProtection="1">
      <alignment horizontal="center" vertical="center"/>
      <protection locked="0"/>
    </xf>
    <xf numFmtId="0" fontId="24" fillId="0" borderId="1" xfId="0" applyFont="1" applyBorder="1" applyAlignment="1">
      <alignment horizontal="center" vertical="center"/>
    </xf>
    <xf numFmtId="0" fontId="37" fillId="0" borderId="1" xfId="0" applyFont="1" applyBorder="1" applyAlignment="1">
      <alignment horizontal="center" vertical="center"/>
    </xf>
    <xf numFmtId="0" fontId="37" fillId="0" borderId="3" xfId="0" applyFont="1" applyFill="1" applyBorder="1" applyAlignment="1" applyProtection="1"/>
    <xf numFmtId="14" fontId="24" fillId="0" borderId="7" xfId="8" applyNumberFormat="1" applyFont="1" applyFill="1" applyBorder="1" applyAlignment="1" applyProtection="1">
      <alignment wrapText="1"/>
      <protection locked="0"/>
    </xf>
    <xf numFmtId="0" fontId="37" fillId="0" borderId="1" xfId="0" applyFont="1" applyFill="1" applyBorder="1" applyAlignment="1" applyProtection="1"/>
    <xf numFmtId="0" fontId="24" fillId="0" borderId="1" xfId="0" applyFont="1" applyFill="1" applyBorder="1" applyAlignment="1" applyProtection="1"/>
    <xf numFmtId="0" fontId="23" fillId="0" borderId="0" xfId="0" applyFont="1" applyFill="1" applyAlignment="1" applyProtection="1">
      <protection locked="0"/>
    </xf>
    <xf numFmtId="189" fontId="4" fillId="5" borderId="1" xfId="82" quotePrefix="1" applyNumberFormat="1" applyFont="1" applyFill="1" applyBorder="1"/>
    <xf numFmtId="179" fontId="97" fillId="5" borderId="9" xfId="0" applyNumberFormat="1" applyFont="1" applyFill="1" applyBorder="1" applyAlignment="1">
      <alignment horizontal="right" vertical="center" wrapText="1"/>
    </xf>
    <xf numFmtId="0" fontId="62" fillId="0" borderId="1" xfId="0" applyFont="1" applyFill="1" applyBorder="1" applyAlignment="1" applyProtection="1">
      <alignment horizontal="center" vertical="center"/>
    </xf>
    <xf numFmtId="0" fontId="13" fillId="0" borderId="3" xfId="0" applyFont="1" applyFill="1" applyBorder="1" applyAlignment="1">
      <alignment horizontal="center" vertical="center" wrapText="1"/>
    </xf>
    <xf numFmtId="0" fontId="16" fillId="0" borderId="1" xfId="0" applyFont="1" applyFill="1" applyBorder="1" applyAlignment="1">
      <alignment horizontal="center" vertical="center"/>
    </xf>
    <xf numFmtId="0" fontId="16" fillId="0" borderId="1"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xf>
    <xf numFmtId="0" fontId="9"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183" fontId="157" fillId="0" borderId="1" xfId="0" applyNumberFormat="1" applyFont="1" applyFill="1" applyBorder="1" applyAlignment="1">
      <alignment horizontal="center" vertical="center"/>
    </xf>
    <xf numFmtId="0" fontId="167" fillId="35" borderId="0" xfId="84" applyFont="1" applyFill="1" applyBorder="1" applyAlignment="1" applyProtection="1">
      <alignment horizontal="center" vertical="center"/>
    </xf>
    <xf numFmtId="0" fontId="162" fillId="35" borderId="0" xfId="84" applyFont="1" applyFill="1" applyBorder="1" applyAlignment="1" applyProtection="1">
      <alignment horizontal="center" vertical="center"/>
    </xf>
    <xf numFmtId="0" fontId="37" fillId="35" borderId="0" xfId="0" applyFont="1" applyFill="1" applyBorder="1" applyAlignment="1">
      <alignment vertical="center"/>
    </xf>
    <xf numFmtId="0" fontId="163" fillId="0" borderId="7" xfId="82" applyFont="1" applyBorder="1" applyAlignment="1">
      <alignment horizontal="left" vertical="center"/>
    </xf>
    <xf numFmtId="0" fontId="4" fillId="0" borderId="1" xfId="82" applyFont="1" applyFill="1" applyBorder="1"/>
    <xf numFmtId="0" fontId="96" fillId="0" borderId="1" xfId="82" applyFont="1" applyBorder="1"/>
    <xf numFmtId="0" fontId="175" fillId="0" borderId="7" xfId="82" applyFont="1" applyBorder="1" applyAlignment="1">
      <alignment horizontal="centerContinuous" vertical="center"/>
    </xf>
    <xf numFmtId="0" fontId="175" fillId="0" borderId="7" xfId="82" applyFont="1" applyFill="1" applyBorder="1" applyAlignment="1">
      <alignment horizontal="centerContinuous" vertical="center"/>
    </xf>
    <xf numFmtId="0" fontId="176" fillId="0" borderId="0" xfId="82" applyFont="1"/>
    <xf numFmtId="0" fontId="175" fillId="36" borderId="1" xfId="82" applyFont="1" applyFill="1" applyBorder="1" applyAlignment="1">
      <alignment horizontal="center" vertical="center"/>
    </xf>
    <xf numFmtId="43" fontId="175" fillId="0" borderId="1" xfId="83" applyFont="1" applyFill="1" applyBorder="1" applyAlignment="1">
      <alignment horizontal="center" vertical="center"/>
    </xf>
    <xf numFmtId="0" fontId="175" fillId="0" borderId="0" xfId="82" applyFont="1"/>
    <xf numFmtId="188" fontId="175" fillId="5" borderId="1" xfId="83" applyNumberFormat="1" applyFont="1" applyFill="1" applyBorder="1" applyAlignment="1">
      <alignment horizontal="center" vertical="center"/>
    </xf>
    <xf numFmtId="188" fontId="175" fillId="6" borderId="1" xfId="83" applyNumberFormat="1" applyFont="1" applyFill="1" applyBorder="1" applyAlignment="1">
      <alignment horizontal="center" vertical="center"/>
    </xf>
    <xf numFmtId="0" fontId="176" fillId="0" borderId="1" xfId="82" applyFont="1" applyBorder="1"/>
    <xf numFmtId="43" fontId="177" fillId="0" borderId="1" xfId="1" applyNumberFormat="1" applyFont="1" applyFill="1" applyBorder="1" applyAlignment="1"/>
    <xf numFmtId="0" fontId="176" fillId="0" borderId="1" xfId="82" applyFont="1" applyFill="1" applyBorder="1"/>
    <xf numFmtId="0" fontId="176" fillId="5" borderId="1" xfId="82" applyFont="1" applyFill="1" applyBorder="1"/>
    <xf numFmtId="43" fontId="177" fillId="5" borderId="1" xfId="1" applyNumberFormat="1" applyFont="1" applyFill="1" applyBorder="1" applyAlignment="1"/>
    <xf numFmtId="0" fontId="176" fillId="5" borderId="0" xfId="82" applyFont="1" applyFill="1"/>
    <xf numFmtId="0" fontId="176" fillId="6" borderId="0" xfId="82" applyFont="1" applyFill="1"/>
    <xf numFmtId="0" fontId="178" fillId="0" borderId="0" xfId="82" applyFont="1" applyFill="1"/>
    <xf numFmtId="0" fontId="179" fillId="0" borderId="0" xfId="82" applyFont="1"/>
    <xf numFmtId="43" fontId="177" fillId="0" borderId="0" xfId="83" applyFont="1" applyFill="1"/>
    <xf numFmtId="188" fontId="175" fillId="5" borderId="5" xfId="83" applyNumberFormat="1" applyFont="1" applyFill="1" applyBorder="1" applyAlignment="1">
      <alignment horizontal="center" vertical="center"/>
    </xf>
    <xf numFmtId="0" fontId="175" fillId="0" borderId="1" xfId="82" applyFont="1" applyBorder="1"/>
    <xf numFmtId="0" fontId="97" fillId="35" borderId="65" xfId="84" applyFont="1" applyFill="1" applyBorder="1" applyAlignment="1" applyProtection="1">
      <alignment vertical="center"/>
    </xf>
    <xf numFmtId="0" fontId="174" fillId="0" borderId="7" xfId="82" applyFont="1" applyFill="1" applyBorder="1" applyAlignment="1">
      <alignment horizontal="left" vertical="center"/>
    </xf>
    <xf numFmtId="0" fontId="174" fillId="0" borderId="7" xfId="82" applyFont="1" applyBorder="1" applyAlignment="1">
      <alignment horizontal="left" vertical="center"/>
    </xf>
    <xf numFmtId="0" fontId="17" fillId="35" borderId="0" xfId="0" applyFont="1" applyFill="1">
      <alignment vertical="center"/>
    </xf>
    <xf numFmtId="190" fontId="177" fillId="10" borderId="1" xfId="82" quotePrefix="1" applyNumberFormat="1" applyFont="1" applyFill="1" applyBorder="1" applyAlignment="1">
      <alignment horizontal="left"/>
    </xf>
    <xf numFmtId="0" fontId="175" fillId="36" borderId="1" xfId="82" applyFont="1" applyFill="1" applyBorder="1" applyAlignment="1">
      <alignment horizontal="left" vertical="center"/>
    </xf>
    <xf numFmtId="0" fontId="179" fillId="0" borderId="0" xfId="82" applyFont="1" applyAlignment="1">
      <alignment horizontal="left"/>
    </xf>
    <xf numFmtId="190" fontId="177" fillId="0" borderId="1" xfId="82" quotePrefix="1" applyNumberFormat="1" applyFont="1" applyFill="1" applyBorder="1" applyAlignment="1">
      <alignment horizontal="left"/>
    </xf>
    <xf numFmtId="0" fontId="96" fillId="36" borderId="1" xfId="82" applyFont="1" applyFill="1" applyBorder="1" applyAlignment="1">
      <alignment horizontal="left" vertical="center"/>
    </xf>
    <xf numFmtId="0" fontId="95" fillId="0" borderId="0" xfId="82" applyFont="1" applyAlignment="1">
      <alignment horizontal="left"/>
    </xf>
    <xf numFmtId="190" fontId="176" fillId="10" borderId="1" xfId="82" quotePrefix="1" applyNumberFormat="1" applyFont="1" applyFill="1" applyBorder="1" applyAlignment="1">
      <alignment horizontal="left"/>
    </xf>
    <xf numFmtId="190" fontId="176" fillId="0" borderId="1" xfId="82" quotePrefix="1" applyNumberFormat="1" applyFont="1" applyFill="1" applyBorder="1" applyAlignment="1">
      <alignment horizontal="left"/>
    </xf>
    <xf numFmtId="0" fontId="175" fillId="0" borderId="1" xfId="82" applyFont="1" applyFill="1" applyBorder="1" applyAlignment="1">
      <alignment horizontal="left" vertical="center"/>
    </xf>
    <xf numFmtId="0" fontId="179" fillId="0" borderId="0" xfId="82" applyFont="1" applyFill="1" applyAlignment="1">
      <alignment horizontal="left"/>
    </xf>
    <xf numFmtId="190" fontId="177" fillId="35" borderId="1" xfId="82" quotePrefix="1" applyNumberFormat="1" applyFont="1" applyFill="1" applyBorder="1" applyAlignment="1">
      <alignment horizontal="left"/>
    </xf>
    <xf numFmtId="0" fontId="176" fillId="35" borderId="1" xfId="82" applyFont="1" applyFill="1" applyBorder="1"/>
    <xf numFmtId="43" fontId="177" fillId="35" borderId="1" xfId="1" applyNumberFormat="1" applyFont="1" applyFill="1" applyBorder="1" applyAlignment="1"/>
    <xf numFmtId="0" fontId="176" fillId="35" borderId="0" xfId="82" applyFont="1" applyFill="1"/>
    <xf numFmtId="0" fontId="178" fillId="35" borderId="0" xfId="82" applyFont="1" applyFill="1"/>
    <xf numFmtId="190" fontId="176" fillId="5" borderId="1" xfId="82" quotePrefix="1" applyNumberFormat="1" applyFont="1" applyFill="1" applyBorder="1" applyAlignment="1">
      <alignment horizontal="left"/>
    </xf>
    <xf numFmtId="190" fontId="177" fillId="5" borderId="1" xfId="82" quotePrefix="1" applyNumberFormat="1" applyFont="1" applyFill="1" applyBorder="1" applyAlignment="1">
      <alignment horizontal="left"/>
    </xf>
    <xf numFmtId="14" fontId="4" fillId="5" borderId="1" xfId="82" quotePrefix="1" applyNumberFormat="1" applyFont="1" applyFill="1" applyBorder="1"/>
    <xf numFmtId="0" fontId="4" fillId="5" borderId="11" xfId="82" applyFont="1" applyFill="1" applyBorder="1"/>
    <xf numFmtId="0" fontId="4" fillId="5" borderId="0" xfId="82" applyFont="1" applyFill="1" applyBorder="1"/>
    <xf numFmtId="0" fontId="4" fillId="5" borderId="16" xfId="82" applyFont="1" applyFill="1" applyBorder="1"/>
    <xf numFmtId="0" fontId="97" fillId="35" borderId="0" xfId="84" applyFont="1" applyFill="1" applyBorder="1" applyAlignment="1" applyProtection="1">
      <alignment horizontal="center" vertical="center"/>
    </xf>
    <xf numFmtId="190" fontId="144" fillId="35" borderId="0" xfId="0" quotePrefix="1" applyNumberFormat="1" applyFont="1" applyFill="1" applyBorder="1" applyAlignment="1" applyProtection="1">
      <alignment horizontal="center" vertical="center"/>
      <protection locked="0"/>
    </xf>
    <xf numFmtId="190" fontId="144" fillId="35" borderId="0" xfId="0" applyNumberFormat="1" applyFont="1" applyFill="1" applyBorder="1" applyAlignment="1" applyProtection="1">
      <alignment horizontal="center" vertical="center"/>
      <protection locked="0"/>
    </xf>
    <xf numFmtId="0" fontId="97" fillId="35" borderId="0" xfId="84" applyFont="1" applyFill="1" applyBorder="1" applyAlignment="1" applyProtection="1">
      <alignment vertical="center"/>
    </xf>
    <xf numFmtId="0" fontId="51" fillId="0" borderId="0" xfId="4" applyFont="1">
      <alignment vertical="center"/>
    </xf>
    <xf numFmtId="0" fontId="51" fillId="0" borderId="1" xfId="4" applyFont="1" applyBorder="1" applyAlignment="1">
      <alignment horizontal="center" vertical="center"/>
    </xf>
    <xf numFmtId="0" fontId="51" fillId="0" borderId="1" xfId="4" applyFont="1" applyBorder="1">
      <alignment vertical="center"/>
    </xf>
    <xf numFmtId="0" fontId="51" fillId="0" borderId="1" xfId="4" applyFont="1" applyFill="1" applyBorder="1">
      <alignment vertical="center"/>
    </xf>
    <xf numFmtId="0" fontId="51" fillId="0" borderId="0" xfId="4" applyFont="1" applyFill="1">
      <alignment vertical="center"/>
    </xf>
    <xf numFmtId="0" fontId="51" fillId="0" borderId="5" xfId="0" applyFont="1" applyFill="1" applyBorder="1" applyAlignment="1" applyProtection="1">
      <alignment horizontal="center" vertical="center" wrapText="1"/>
    </xf>
    <xf numFmtId="0" fontId="13" fillId="0" borderId="0" xfId="0" applyFont="1" applyFill="1" applyBorder="1" applyAlignment="1">
      <alignment horizontal="center" vertical="center" wrapText="1"/>
    </xf>
    <xf numFmtId="0" fontId="37" fillId="0" borderId="0" xfId="0" applyFont="1" applyAlignment="1">
      <alignment horizontal="left" vertical="center"/>
    </xf>
    <xf numFmtId="0" fontId="9" fillId="0" borderId="6" xfId="0" applyFont="1" applyBorder="1" applyAlignment="1" applyProtection="1">
      <alignment horizontal="center" vertical="center"/>
    </xf>
    <xf numFmtId="49" fontId="90" fillId="0" borderId="1" xfId="0" applyNumberFormat="1" applyFont="1" applyFill="1" applyBorder="1" applyAlignment="1">
      <alignment horizontal="center" vertical="center"/>
    </xf>
    <xf numFmtId="0" fontId="13" fillId="0" borderId="1" xfId="0" applyNumberFormat="1" applyFont="1" applyFill="1" applyBorder="1" applyAlignment="1" applyProtection="1">
      <alignment horizontal="center" vertical="center" wrapText="1"/>
    </xf>
    <xf numFmtId="0" fontId="54" fillId="0" borderId="0" xfId="0" applyFont="1" applyFill="1" applyBorder="1" applyAlignment="1">
      <alignment horizontal="center" vertical="center" wrapText="1"/>
    </xf>
    <xf numFmtId="0" fontId="29" fillId="0" borderId="0" xfId="8" applyFont="1" applyFill="1" applyBorder="1" applyAlignment="1" applyProtection="1">
      <alignment horizontal="center" vertical="center"/>
    </xf>
    <xf numFmtId="9" fontId="37" fillId="0" borderId="0" xfId="0" applyNumberFormat="1" applyFont="1" applyFill="1" applyBorder="1" applyAlignment="1" applyProtection="1">
      <alignment horizontal="center" vertical="center"/>
    </xf>
    <xf numFmtId="0" fontId="23" fillId="0" borderId="10" xfId="8" applyFont="1" applyFill="1" applyBorder="1" applyAlignment="1" applyProtection="1">
      <alignment horizontal="center" vertical="center" wrapText="1"/>
    </xf>
    <xf numFmtId="0" fontId="55" fillId="0" borderId="0" xfId="0" applyFont="1" applyBorder="1" applyAlignment="1" applyProtection="1">
      <alignment horizontal="center" vertical="center" wrapText="1"/>
      <protection locked="0"/>
    </xf>
    <xf numFmtId="0" fontId="56" fillId="0" borderId="0" xfId="0" applyFont="1" applyFill="1" applyBorder="1" applyAlignment="1" applyProtection="1">
      <alignment horizontal="center" vertical="center" wrapText="1"/>
    </xf>
    <xf numFmtId="0" fontId="50" fillId="0" borderId="0" xfId="0" applyFont="1" applyFill="1" applyBorder="1" applyAlignment="1" applyProtection="1">
      <alignment horizontal="center" vertical="center" wrapText="1"/>
      <protection locked="0"/>
    </xf>
    <xf numFmtId="0" fontId="67" fillId="0" borderId="73" xfId="8" applyFont="1" applyFill="1" applyBorder="1" applyAlignment="1" applyProtection="1">
      <alignment horizontal="center" vertical="center" wrapText="1"/>
    </xf>
    <xf numFmtId="0" fontId="67" fillId="0" borderId="84" xfId="0" applyFont="1" applyFill="1" applyBorder="1" applyAlignment="1" applyProtection="1">
      <alignment vertical="center" wrapText="1"/>
    </xf>
    <xf numFmtId="169" fontId="50" fillId="0" borderId="84" xfId="0" applyNumberFormat="1" applyFont="1" applyFill="1" applyBorder="1" applyAlignment="1" applyProtection="1">
      <alignment horizontal="center" vertical="center"/>
    </xf>
    <xf numFmtId="167" fontId="67" fillId="0" borderId="85" xfId="8" applyNumberFormat="1" applyFont="1" applyFill="1" applyBorder="1" applyAlignment="1" applyProtection="1">
      <alignment horizontal="center" vertical="center"/>
    </xf>
    <xf numFmtId="177" fontId="67" fillId="0" borderId="85" xfId="8" applyNumberFormat="1" applyFont="1" applyFill="1" applyBorder="1" applyAlignment="1" applyProtection="1">
      <alignment horizontal="center" vertical="center"/>
    </xf>
    <xf numFmtId="166" fontId="67" fillId="0" borderId="86" xfId="8" applyNumberFormat="1" applyFont="1" applyFill="1" applyBorder="1" applyAlignment="1" applyProtection="1">
      <alignment horizontal="center" vertical="center"/>
    </xf>
    <xf numFmtId="167" fontId="196" fillId="0" borderId="85" xfId="0" applyNumberFormat="1" applyFont="1" applyFill="1" applyBorder="1" applyAlignment="1" applyProtection="1">
      <alignment horizontal="center" vertical="center"/>
    </xf>
    <xf numFmtId="176" fontId="50" fillId="0" borderId="85" xfId="0" applyNumberFormat="1" applyFont="1" applyFill="1" applyBorder="1" applyAlignment="1" applyProtection="1">
      <alignment horizontal="center" vertical="center"/>
    </xf>
    <xf numFmtId="166" fontId="50" fillId="0" borderId="86" xfId="0" applyNumberFormat="1" applyFont="1" applyFill="1" applyBorder="1" applyAlignment="1" applyProtection="1">
      <alignment horizontal="center" vertical="center"/>
    </xf>
    <xf numFmtId="170" fontId="67" fillId="0" borderId="85" xfId="8" applyNumberFormat="1" applyFont="1" applyFill="1" applyBorder="1" applyAlignment="1" applyProtection="1">
      <alignment vertical="center"/>
    </xf>
    <xf numFmtId="170" fontId="67" fillId="0" borderId="86" xfId="8" applyNumberFormat="1" applyFont="1" applyFill="1" applyBorder="1" applyAlignment="1" applyProtection="1">
      <alignment vertical="center"/>
    </xf>
    <xf numFmtId="177" fontId="50" fillId="0" borderId="85" xfId="0" applyNumberFormat="1" applyFont="1" applyFill="1" applyBorder="1" applyAlignment="1" applyProtection="1">
      <alignment horizontal="center" vertical="center"/>
    </xf>
    <xf numFmtId="173" fontId="50" fillId="0" borderId="84" xfId="7" applyNumberFormat="1" applyFont="1" applyFill="1" applyBorder="1" applyAlignment="1" applyProtection="1">
      <alignment horizontal="center" vertical="center"/>
    </xf>
    <xf numFmtId="10" fontId="50" fillId="0" borderId="87" xfId="7" applyNumberFormat="1" applyFont="1" applyFill="1" applyBorder="1" applyAlignment="1" applyProtection="1">
      <alignment horizontal="center" vertical="center"/>
    </xf>
    <xf numFmtId="0" fontId="67" fillId="0" borderId="88" xfId="0" applyFont="1" applyFill="1" applyBorder="1" applyAlignment="1" applyProtection="1">
      <alignment vertical="center"/>
    </xf>
    <xf numFmtId="176" fontId="67" fillId="0" borderId="88" xfId="8" applyNumberFormat="1" applyFont="1" applyFill="1" applyBorder="1" applyAlignment="1" applyProtection="1">
      <alignment horizontal="center" vertical="center"/>
    </xf>
    <xf numFmtId="166" fontId="67" fillId="0" borderId="89" xfId="8" applyNumberFormat="1" applyFont="1" applyFill="1" applyBorder="1" applyAlignment="1" applyProtection="1">
      <alignment horizontal="center" vertical="center"/>
    </xf>
    <xf numFmtId="0" fontId="104" fillId="0" borderId="13" xfId="8" applyFont="1" applyFill="1" applyBorder="1" applyAlignment="1" applyProtection="1">
      <alignment horizontal="center" vertical="center" wrapText="1"/>
    </xf>
    <xf numFmtId="0" fontId="104" fillId="0" borderId="8" xfId="8" applyFont="1" applyFill="1" applyBorder="1" applyAlignment="1" applyProtection="1">
      <alignment horizontal="center" vertical="center" wrapText="1"/>
    </xf>
    <xf numFmtId="0" fontId="104" fillId="0" borderId="12" xfId="8" applyFont="1" applyFill="1" applyBorder="1" applyAlignment="1" applyProtection="1">
      <alignment horizontal="center" vertical="center" wrapText="1"/>
    </xf>
    <xf numFmtId="0" fontId="104" fillId="0" borderId="11" xfId="8" applyFont="1" applyFill="1" applyBorder="1" applyAlignment="1" applyProtection="1">
      <alignment horizontal="center" vertical="center" wrapText="1"/>
    </xf>
    <xf numFmtId="0" fontId="104" fillId="0" borderId="0" xfId="8" applyFont="1" applyFill="1" applyBorder="1" applyAlignment="1" applyProtection="1">
      <alignment horizontal="center" vertical="center" wrapText="1"/>
    </xf>
    <xf numFmtId="0" fontId="104" fillId="0" borderId="16" xfId="8" applyFont="1" applyFill="1" applyBorder="1" applyAlignment="1" applyProtection="1">
      <alignment horizontal="center" vertical="center" wrapText="1"/>
    </xf>
    <xf numFmtId="0" fontId="104" fillId="0" borderId="4" xfId="8" applyFont="1" applyFill="1" applyBorder="1" applyAlignment="1" applyProtection="1">
      <alignment horizontal="center" vertical="center" wrapText="1"/>
    </xf>
    <xf numFmtId="0" fontId="104" fillId="0" borderId="73" xfId="8" applyFont="1" applyFill="1" applyBorder="1" applyAlignment="1" applyProtection="1">
      <alignment horizontal="center" vertical="center" wrapText="1"/>
    </xf>
    <xf numFmtId="0" fontId="104" fillId="0" borderId="74" xfId="8" applyFont="1" applyFill="1" applyBorder="1" applyAlignment="1" applyProtection="1">
      <alignment horizontal="center" vertical="center" wrapText="1"/>
    </xf>
    <xf numFmtId="0" fontId="50" fillId="0" borderId="65" xfId="0" applyFont="1" applyFill="1" applyBorder="1" applyAlignment="1" applyProtection="1">
      <alignment horizontal="center" vertical="center" wrapText="1"/>
      <protection locked="0"/>
    </xf>
    <xf numFmtId="0" fontId="50" fillId="0" borderId="16" xfId="0" applyFont="1" applyFill="1" applyBorder="1" applyAlignment="1" applyProtection="1">
      <alignment horizontal="center" vertical="center" wrapText="1"/>
      <protection locked="0"/>
    </xf>
    <xf numFmtId="0" fontId="50" fillId="0" borderId="4" xfId="0" applyFont="1" applyFill="1" applyBorder="1" applyAlignment="1" applyProtection="1">
      <alignment horizontal="center" vertical="center" wrapText="1"/>
      <protection locked="0"/>
    </xf>
    <xf numFmtId="0" fontId="50" fillId="0" borderId="73" xfId="0" applyFont="1" applyFill="1" applyBorder="1" applyAlignment="1" applyProtection="1">
      <alignment horizontal="center" vertical="center" wrapText="1"/>
      <protection locked="0"/>
    </xf>
    <xf numFmtId="0" fontId="50" fillId="0" borderId="74" xfId="0" applyFont="1" applyFill="1" applyBorder="1" applyAlignment="1" applyProtection="1">
      <alignment horizontal="center" vertical="center" wrapText="1"/>
      <protection locked="0"/>
    </xf>
    <xf numFmtId="0" fontId="157" fillId="0" borderId="0" xfId="8" applyFont="1" applyFill="1" applyBorder="1" applyAlignment="1" applyProtection="1">
      <alignment horizontal="center" vertical="center"/>
    </xf>
    <xf numFmtId="0" fontId="67" fillId="0" borderId="0" xfId="8" applyFont="1" applyFill="1" applyAlignment="1" applyProtection="1">
      <alignment horizontal="center" vertical="center"/>
    </xf>
    <xf numFmtId="0" fontId="197" fillId="0" borderId="0" xfId="0" applyFont="1" applyAlignment="1" applyProtection="1">
      <alignment vertical="center" wrapText="1"/>
    </xf>
    <xf numFmtId="191" fontId="50" fillId="0" borderId="85" xfId="0" applyNumberFormat="1" applyFont="1" applyFill="1" applyBorder="1" applyAlignment="1" applyProtection="1">
      <alignment vertical="center"/>
    </xf>
    <xf numFmtId="191" fontId="50" fillId="0" borderId="88" xfId="0" applyNumberFormat="1" applyFont="1" applyFill="1" applyBorder="1" applyAlignment="1" applyProtection="1">
      <alignment vertical="center"/>
    </xf>
    <xf numFmtId="0" fontId="67" fillId="0" borderId="73" xfId="8" applyFont="1" applyFill="1" applyBorder="1" applyAlignment="1" applyProtection="1">
      <alignment horizontal="center" vertical="center" wrapText="1"/>
      <protection locked="0"/>
    </xf>
    <xf numFmtId="191" fontId="50" fillId="0" borderId="85" xfId="0" applyNumberFormat="1" applyFont="1" applyFill="1" applyBorder="1" applyAlignment="1" applyProtection="1">
      <alignment horizontal="center" vertical="center"/>
    </xf>
    <xf numFmtId="0" fontId="67" fillId="0" borderId="7" xfId="8" applyFont="1" applyFill="1" applyBorder="1" applyAlignment="1" applyProtection="1">
      <alignment horizontal="center" vertical="center" wrapText="1"/>
      <protection locked="0"/>
    </xf>
    <xf numFmtId="0" fontId="67" fillId="0" borderId="73" xfId="8" applyFont="1" applyFill="1" applyBorder="1" applyAlignment="1" applyProtection="1">
      <alignment horizontal="center" vertical="center"/>
      <protection locked="0"/>
    </xf>
    <xf numFmtId="0" fontId="197" fillId="0" borderId="0" xfId="0" applyFont="1" applyFill="1" applyBorder="1" applyAlignment="1" applyProtection="1">
      <alignment horizontal="center" vertical="center" wrapText="1"/>
    </xf>
    <xf numFmtId="0" fontId="67" fillId="0" borderId="0" xfId="0" applyFont="1" applyFill="1" applyBorder="1" applyAlignment="1" applyProtection="1">
      <alignment horizontal="center" vertical="center" wrapText="1"/>
    </xf>
    <xf numFmtId="0" fontId="67" fillId="0" borderId="0" xfId="0" applyFont="1" applyFill="1" applyBorder="1" applyAlignment="1" applyProtection="1">
      <alignment horizontal="center" vertical="center"/>
      <protection locked="0"/>
    </xf>
    <xf numFmtId="0" fontId="197" fillId="0" borderId="0" xfId="0" applyFont="1" applyFill="1" applyAlignment="1" applyProtection="1">
      <alignment horizontal="center" vertical="center" wrapText="1"/>
    </xf>
    <xf numFmtId="0" fontId="152" fillId="0" borderId="0" xfId="0" applyFont="1" applyFill="1" applyBorder="1" applyAlignment="1" applyProtection="1">
      <alignment horizontal="left" vertical="center" wrapText="1"/>
    </xf>
    <xf numFmtId="0" fontId="152" fillId="0" borderId="0" xfId="0" applyFont="1" applyFill="1" applyBorder="1" applyAlignment="1" applyProtection="1">
      <alignment horizontal="center" vertical="center"/>
    </xf>
    <xf numFmtId="0" fontId="152" fillId="0" borderId="0" xfId="0" applyFont="1" applyFill="1" applyAlignment="1" applyProtection="1">
      <alignment horizontal="center" vertical="center"/>
    </xf>
    <xf numFmtId="0" fontId="198" fillId="0" borderId="0" xfId="0" applyFont="1" applyAlignment="1" applyProtection="1">
      <alignment horizontal="center" vertical="center" wrapText="1"/>
    </xf>
    <xf numFmtId="167" fontId="50" fillId="0" borderId="85" xfId="0" applyNumberFormat="1" applyFont="1" applyFill="1" applyBorder="1" applyAlignment="1">
      <alignment horizontal="center" vertical="center"/>
    </xf>
    <xf numFmtId="167" fontId="50" fillId="0" borderId="85" xfId="0" applyNumberFormat="1" applyFont="1" applyFill="1" applyBorder="1" applyAlignment="1">
      <alignment horizontal="center" vertical="center" wrapText="1"/>
    </xf>
    <xf numFmtId="167" fontId="50" fillId="0" borderId="85" xfId="0" applyNumberFormat="1" applyFont="1" applyFill="1" applyBorder="1" applyAlignment="1" applyProtection="1">
      <alignment horizontal="center" vertical="center"/>
    </xf>
    <xf numFmtId="167" fontId="67" fillId="0" borderId="88" xfId="8" applyNumberFormat="1" applyFont="1" applyFill="1" applyBorder="1" applyAlignment="1" applyProtection="1">
      <alignment horizontal="center" vertical="center"/>
    </xf>
    <xf numFmtId="167" fontId="50" fillId="0" borderId="88" xfId="0" applyNumberFormat="1" applyFont="1" applyFill="1" applyBorder="1" applyAlignment="1">
      <alignment horizontal="center" vertical="center"/>
    </xf>
    <xf numFmtId="0" fontId="51" fillId="0" borderId="7" xfId="8" applyFont="1" applyFill="1" applyBorder="1" applyAlignment="1" applyProtection="1">
      <alignment horizontal="center" vertical="center" wrapText="1"/>
    </xf>
    <xf numFmtId="0" fontId="51" fillId="0" borderId="3" xfId="0" applyFont="1" applyFill="1" applyBorder="1" applyAlignment="1" applyProtection="1">
      <alignment vertical="center" wrapText="1"/>
    </xf>
    <xf numFmtId="167" fontId="51" fillId="0" borderId="5" xfId="8" applyNumberFormat="1" applyFont="1" applyFill="1" applyBorder="1" applyAlignment="1" applyProtection="1">
      <alignment horizontal="center" vertical="center"/>
    </xf>
    <xf numFmtId="177" fontId="51" fillId="0" borderId="6" xfId="8" applyNumberFormat="1" applyFont="1" applyFill="1" applyBorder="1" applyAlignment="1" applyProtection="1">
      <alignment horizontal="center" vertical="center"/>
    </xf>
    <xf numFmtId="166" fontId="51" fillId="0" borderId="1" xfId="8" applyNumberFormat="1" applyFont="1" applyFill="1" applyBorder="1" applyAlignment="1" applyProtection="1">
      <alignment horizontal="center" vertical="center"/>
    </xf>
    <xf numFmtId="176" fontId="49" fillId="0" borderId="14" xfId="0" applyNumberFormat="1" applyFont="1" applyFill="1" applyBorder="1" applyAlignment="1" applyProtection="1">
      <alignment horizontal="center" vertical="center"/>
    </xf>
    <xf numFmtId="170" fontId="51" fillId="0" borderId="5" xfId="8" applyNumberFormat="1" applyFont="1" applyFill="1" applyBorder="1" applyAlignment="1" applyProtection="1">
      <alignment vertical="center"/>
    </xf>
    <xf numFmtId="170" fontId="51" fillId="0" borderId="6" xfId="8" applyNumberFormat="1" applyFont="1" applyFill="1" applyBorder="1" applyAlignment="1" applyProtection="1">
      <alignment vertical="center"/>
    </xf>
    <xf numFmtId="176" fontId="51" fillId="0" borderId="6" xfId="8" applyNumberFormat="1" applyFont="1" applyFill="1" applyBorder="1" applyAlignment="1" applyProtection="1">
      <alignment horizontal="center" vertical="center"/>
    </xf>
    <xf numFmtId="0" fontId="58" fillId="0" borderId="0" xfId="8" applyFont="1" applyFill="1" applyBorder="1" applyAlignment="1" applyProtection="1">
      <alignment horizontal="center" vertical="center"/>
    </xf>
    <xf numFmtId="0" fontId="51" fillId="0" borderId="0" xfId="8" applyFont="1" applyFill="1" applyAlignment="1" applyProtection="1">
      <alignment horizontal="center" vertical="center"/>
    </xf>
    <xf numFmtId="0" fontId="51" fillId="0" borderId="1" xfId="8" applyFont="1" applyFill="1" applyBorder="1" applyAlignment="1" applyProtection="1">
      <alignment horizontal="center" vertical="center"/>
    </xf>
    <xf numFmtId="0" fontId="51" fillId="0" borderId="1" xfId="0" applyFont="1" applyFill="1" applyBorder="1" applyAlignment="1" applyProtection="1">
      <alignment horizontal="center" vertical="center"/>
    </xf>
    <xf numFmtId="0" fontId="58" fillId="0" borderId="1" xfId="8" applyFont="1" applyFill="1" applyBorder="1" applyAlignment="1" applyProtection="1">
      <alignment horizontal="center" vertical="center"/>
    </xf>
    <xf numFmtId="0" fontId="51" fillId="0" borderId="0" xfId="8" applyFont="1" applyFill="1" applyBorder="1" applyAlignment="1" applyProtection="1">
      <alignment horizontal="center" vertical="center"/>
    </xf>
    <xf numFmtId="0" fontId="54" fillId="0" borderId="0" xfId="0" applyFont="1" applyFill="1" applyBorder="1" applyAlignment="1" applyProtection="1">
      <alignment horizontal="center" vertical="center" wrapText="1"/>
    </xf>
    <xf numFmtId="0" fontId="54" fillId="0" borderId="0" xfId="8" applyFont="1" applyFill="1" applyAlignment="1" applyProtection="1">
      <alignment horizontal="center" vertical="center"/>
    </xf>
    <xf numFmtId="14" fontId="51" fillId="0" borderId="7" xfId="8" applyNumberFormat="1" applyFont="1" applyFill="1" applyBorder="1" applyAlignment="1" applyProtection="1">
      <alignment horizontal="center" vertical="center" wrapText="1"/>
      <protection locked="0"/>
    </xf>
    <xf numFmtId="20" fontId="49" fillId="0" borderId="7" xfId="8" applyNumberFormat="1" applyFont="1" applyFill="1" applyBorder="1" applyAlignment="1" applyProtection="1">
      <alignment horizontal="center" vertical="center" wrapText="1"/>
      <protection locked="0"/>
    </xf>
    <xf numFmtId="179" fontId="51" fillId="0" borderId="7" xfId="0" applyNumberFormat="1" applyFont="1" applyFill="1" applyBorder="1" applyAlignment="1" applyProtection="1">
      <alignment horizontal="center" vertical="center"/>
      <protection locked="0"/>
    </xf>
    <xf numFmtId="0" fontId="49" fillId="0" borderId="1" xfId="8" applyNumberFormat="1" applyFont="1" applyFill="1" applyBorder="1" applyAlignment="1" applyProtection="1">
      <alignment horizontal="center" vertical="center"/>
      <protection locked="0"/>
    </xf>
    <xf numFmtId="0" fontId="51" fillId="0" borderId="7" xfId="8" applyFont="1" applyFill="1" applyBorder="1" applyAlignment="1" applyProtection="1">
      <alignment horizontal="center" vertical="center"/>
      <protection locked="0"/>
    </xf>
    <xf numFmtId="0" fontId="51" fillId="0" borderId="0" xfId="8" applyFont="1" applyFill="1" applyBorder="1" applyAlignment="1" applyProtection="1">
      <alignment horizontal="center" vertical="center"/>
      <protection locked="0"/>
    </xf>
    <xf numFmtId="0" fontId="51" fillId="0" borderId="1" xfId="0" applyFont="1" applyFill="1" applyBorder="1" applyAlignment="1" applyProtection="1">
      <alignment vertical="center" wrapText="1"/>
    </xf>
    <xf numFmtId="0" fontId="52" fillId="0" borderId="7" xfId="0" applyFont="1" applyBorder="1" applyAlignment="1" applyProtection="1">
      <alignment vertical="center" wrapText="1"/>
    </xf>
    <xf numFmtId="0" fontId="52" fillId="0" borderId="7" xfId="0" applyFont="1" applyFill="1" applyBorder="1" applyAlignment="1" applyProtection="1">
      <alignment vertical="center" wrapText="1"/>
    </xf>
    <xf numFmtId="0" fontId="52" fillId="0" borderId="0" xfId="0" applyFont="1" applyFill="1" applyBorder="1" applyAlignment="1" applyProtection="1">
      <alignment horizontal="left" vertical="center" wrapText="1"/>
    </xf>
    <xf numFmtId="166" fontId="52" fillId="0" borderId="5" xfId="0" applyNumberFormat="1" applyFont="1" applyFill="1" applyBorder="1" applyAlignment="1" applyProtection="1">
      <alignment horizontal="right" vertical="center"/>
    </xf>
    <xf numFmtId="177" fontId="52" fillId="0" borderId="14" xfId="1" applyNumberFormat="1" applyFont="1" applyFill="1" applyBorder="1" applyAlignment="1" applyProtection="1">
      <alignment horizontal="center" vertical="center"/>
    </xf>
    <xf numFmtId="168" fontId="52" fillId="0" borderId="9" xfId="0" applyNumberFormat="1" applyFont="1" applyFill="1" applyBorder="1" applyAlignment="1" applyProtection="1">
      <alignment horizontal="center" vertical="center"/>
    </xf>
    <xf numFmtId="0" fontId="52" fillId="0" borderId="1" xfId="0" applyFont="1" applyBorder="1" applyAlignment="1" applyProtection="1">
      <alignment horizontal="center" vertical="center"/>
    </xf>
    <xf numFmtId="176" fontId="52" fillId="0" borderId="14" xfId="1" applyNumberFormat="1" applyFont="1" applyFill="1" applyBorder="1" applyAlignment="1" applyProtection="1">
      <alignment horizontal="center" vertical="center"/>
    </xf>
    <xf numFmtId="173" fontId="52" fillId="0" borderId="1" xfId="7" applyNumberFormat="1" applyFont="1" applyFill="1" applyBorder="1" applyAlignment="1" applyProtection="1">
      <alignment horizontal="center" vertical="center"/>
    </xf>
    <xf numFmtId="0" fontId="52" fillId="0" borderId="1" xfId="0" applyFont="1" applyFill="1" applyBorder="1" applyAlignment="1" applyProtection="1">
      <alignment horizontal="center" vertical="center" wrapText="1"/>
    </xf>
    <xf numFmtId="0" fontId="202" fillId="0" borderId="1" xfId="0" applyFont="1" applyFill="1" applyBorder="1" applyAlignment="1" applyProtection="1">
      <alignment horizontal="center" vertical="center"/>
    </xf>
    <xf numFmtId="0" fontId="52" fillId="0" borderId="0" xfId="0" applyFont="1" applyBorder="1" applyAlignment="1" applyProtection="1">
      <alignment horizontal="center" vertical="center"/>
    </xf>
    <xf numFmtId="0" fontId="52" fillId="0" borderId="0" xfId="0" applyFont="1" applyFill="1" applyBorder="1" applyAlignment="1" applyProtection="1">
      <alignment horizontal="center" vertical="center"/>
    </xf>
    <xf numFmtId="0" fontId="52" fillId="0" borderId="0" xfId="0" applyFont="1" applyAlignment="1" applyProtection="1">
      <alignment horizontal="center" vertical="center"/>
    </xf>
    <xf numFmtId="0" fontId="52" fillId="0" borderId="0" xfId="0" applyFont="1" applyFill="1" applyAlignment="1" applyProtection="1">
      <alignment horizontal="left" vertical="center"/>
    </xf>
    <xf numFmtId="0" fontId="52" fillId="0" borderId="0" xfId="0" applyFont="1" applyFill="1" applyAlignment="1" applyProtection="1">
      <alignment horizontal="center" vertical="center"/>
    </xf>
    <xf numFmtId="0" fontId="132" fillId="0" borderId="0" xfId="0" applyFont="1" applyAlignment="1" applyProtection="1">
      <alignment horizontal="center" vertical="center" wrapText="1"/>
    </xf>
    <xf numFmtId="0" fontId="13" fillId="0" borderId="1" xfId="0" applyFont="1" applyFill="1" applyBorder="1" applyAlignment="1">
      <alignment horizontal="center" vertical="center" wrapText="1"/>
    </xf>
    <xf numFmtId="0" fontId="49" fillId="0" borderId="5" xfId="0" applyFont="1" applyFill="1" applyBorder="1" applyAlignment="1" applyProtection="1">
      <alignment vertical="center" wrapText="1"/>
      <protection locked="0"/>
    </xf>
    <xf numFmtId="0" fontId="49" fillId="0" borderId="9" xfId="0" applyFont="1" applyFill="1" applyBorder="1" applyAlignment="1" applyProtection="1">
      <alignment vertical="center" wrapText="1"/>
      <protection locked="0"/>
    </xf>
    <xf numFmtId="165" fontId="37" fillId="0" borderId="1" xfId="1" applyFont="1" applyFill="1" applyBorder="1" applyAlignment="1" applyProtection="1">
      <alignment horizontal="center" vertical="center"/>
    </xf>
    <xf numFmtId="0" fontId="9" fillId="0" borderId="9" xfId="0" applyFont="1" applyFill="1" applyBorder="1" applyAlignment="1" applyProtection="1">
      <alignment vertical="center"/>
    </xf>
    <xf numFmtId="0" fontId="37" fillId="0" borderId="1"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wrapText="1"/>
    </xf>
    <xf numFmtId="0" fontId="62" fillId="0" borderId="0" xfId="0" applyFont="1" applyAlignment="1" applyProtection="1">
      <alignment horizontal="center" vertical="center" wrapText="1"/>
    </xf>
    <xf numFmtId="0" fontId="9" fillId="0" borderId="1" xfId="0" applyFont="1" applyBorder="1" applyAlignment="1" applyProtection="1">
      <alignment horizontal="center" vertical="center"/>
    </xf>
    <xf numFmtId="0" fontId="37" fillId="0" borderId="1" xfId="0" applyFont="1" applyFill="1" applyBorder="1" applyAlignment="1" applyProtection="1">
      <alignment horizontal="center" vertical="center" wrapText="1"/>
    </xf>
    <xf numFmtId="0" fontId="37" fillId="0" borderId="3" xfId="0" applyFont="1" applyFill="1" applyBorder="1" applyAlignment="1" applyProtection="1">
      <alignment horizontal="center" vertical="center"/>
    </xf>
    <xf numFmtId="0" fontId="37" fillId="0" borderId="10" xfId="0" applyFont="1" applyFill="1" applyBorder="1" applyAlignment="1" applyProtection="1">
      <alignment horizontal="center" vertical="center"/>
    </xf>
    <xf numFmtId="0" fontId="37" fillId="0" borderId="5" xfId="0" applyFont="1" applyFill="1" applyBorder="1" applyAlignment="1">
      <alignment horizontal="center" vertical="center"/>
    </xf>
    <xf numFmtId="0" fontId="37" fillId="0" borderId="5" xfId="0" applyFont="1" applyFill="1" applyBorder="1" applyAlignment="1">
      <alignment horizontal="center" vertical="center" wrapText="1"/>
    </xf>
    <xf numFmtId="0" fontId="37" fillId="0" borderId="3" xfId="0" applyFont="1" applyFill="1" applyBorder="1" applyAlignment="1">
      <alignment horizontal="center" vertical="center" wrapText="1"/>
    </xf>
    <xf numFmtId="0" fontId="37" fillId="0" borderId="2" xfId="0" applyFont="1" applyFill="1" applyBorder="1" applyAlignment="1">
      <alignment horizontal="center" vertical="center" wrapText="1"/>
    </xf>
    <xf numFmtId="0" fontId="37" fillId="0" borderId="3" xfId="0"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0" fontId="37" fillId="0" borderId="1" xfId="0" quotePrefix="1" applyFont="1" applyFill="1" applyBorder="1" applyAlignment="1" applyProtection="1">
      <alignment horizontal="centerContinuous" vertical="center"/>
    </xf>
    <xf numFmtId="0" fontId="37" fillId="4" borderId="6" xfId="0" applyFont="1" applyFill="1" applyBorder="1" applyAlignment="1" applyProtection="1">
      <alignment horizontal="centerContinuous" vertical="center"/>
    </xf>
    <xf numFmtId="170" fontId="37" fillId="0" borderId="1" xfId="0" applyNumberFormat="1" applyFont="1" applyFill="1" applyBorder="1" applyAlignment="1" applyProtection="1">
      <alignment vertical="center"/>
      <protection locked="0"/>
    </xf>
    <xf numFmtId="168" fontId="37" fillId="0" borderId="9" xfId="0" applyNumberFormat="1" applyFont="1" applyFill="1" applyBorder="1" applyAlignment="1" applyProtection="1">
      <alignment horizontal="center" vertical="center"/>
    </xf>
    <xf numFmtId="0" fontId="37" fillId="0" borderId="1" xfId="8" applyFont="1" applyFill="1" applyBorder="1" applyAlignment="1" applyProtection="1">
      <alignment horizontal="center" vertical="center"/>
      <protection locked="0"/>
    </xf>
    <xf numFmtId="171" fontId="37" fillId="0" borderId="1" xfId="0" applyNumberFormat="1" applyFont="1" applyFill="1" applyBorder="1" applyAlignment="1" applyProtection="1">
      <alignment vertical="center"/>
      <protection locked="0"/>
    </xf>
    <xf numFmtId="170" fontId="37" fillId="7" borderId="1" xfId="0" applyNumberFormat="1" applyFont="1" applyFill="1" applyBorder="1" applyAlignment="1" applyProtection="1">
      <alignment vertical="center"/>
      <protection locked="0"/>
    </xf>
    <xf numFmtId="170" fontId="37" fillId="14" borderId="1" xfId="0" applyNumberFormat="1" applyFont="1" applyFill="1" applyBorder="1" applyAlignment="1" applyProtection="1">
      <alignment vertical="center"/>
      <protection locked="0"/>
    </xf>
    <xf numFmtId="0" fontId="37" fillId="4" borderId="15" xfId="0" applyFont="1" applyFill="1" applyBorder="1" applyAlignment="1" applyProtection="1">
      <alignment horizontal="centerContinuous" vertical="center"/>
    </xf>
    <xf numFmtId="0" fontId="23" fillId="0" borderId="0" xfId="0" applyFont="1" applyAlignment="1">
      <alignment vertical="center"/>
    </xf>
    <xf numFmtId="49" fontId="205" fillId="0"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wrapText="1"/>
    </xf>
    <xf numFmtId="0" fontId="13"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3" fillId="0" borderId="6" xfId="0" applyNumberFormat="1" applyFont="1" applyFill="1" applyBorder="1" applyAlignment="1">
      <alignment horizontal="center" vertical="center" wrapText="1"/>
    </xf>
    <xf numFmtId="0" fontId="206" fillId="0" borderId="0" xfId="0" applyFont="1" applyFill="1" applyAlignment="1" applyProtection="1">
      <alignment horizontal="center" vertical="center" wrapText="1"/>
    </xf>
    <xf numFmtId="49" fontId="205" fillId="0" borderId="1" xfId="0" applyNumberFormat="1" applyFont="1" applyBorder="1" applyAlignment="1">
      <alignment horizontal="center" vertical="center"/>
    </xf>
    <xf numFmtId="0" fontId="206" fillId="0" borderId="0" xfId="0" applyFont="1" applyAlignment="1" applyProtection="1">
      <alignment vertical="center" wrapText="1"/>
    </xf>
    <xf numFmtId="0" fontId="13" fillId="0" borderId="0" xfId="0" applyNumberFormat="1" applyFont="1" applyFill="1" applyBorder="1" applyAlignment="1">
      <alignment horizontal="center" vertical="center" wrapText="1"/>
    </xf>
    <xf numFmtId="167" fontId="37" fillId="0" borderId="1" xfId="0" applyNumberFormat="1" applyFont="1" applyFill="1" applyBorder="1" applyAlignment="1" applyProtection="1">
      <alignment horizontal="center" vertical="center"/>
    </xf>
    <xf numFmtId="0" fontId="37" fillId="14" borderId="5" xfId="0" applyFont="1" applyFill="1" applyBorder="1" applyAlignment="1" applyProtection="1">
      <alignment horizontal="center" vertical="center" wrapText="1"/>
    </xf>
    <xf numFmtId="0" fontId="41" fillId="14" borderId="1" xfId="0" applyFont="1" applyFill="1" applyBorder="1" applyAlignment="1">
      <alignment horizontal="center" vertical="center"/>
    </xf>
    <xf numFmtId="0" fontId="37" fillId="0" borderId="1" xfId="0" applyFont="1" applyFill="1" applyBorder="1" applyAlignment="1" applyProtection="1">
      <alignment horizontal="center" vertical="center" wrapText="1"/>
      <protection locked="0"/>
    </xf>
    <xf numFmtId="0" fontId="37" fillId="0" borderId="5" xfId="0" applyFont="1" applyFill="1" applyBorder="1" applyAlignment="1" applyProtection="1">
      <alignment horizontal="center" vertical="center" wrapText="1"/>
    </xf>
    <xf numFmtId="0" fontId="37" fillId="0" borderId="9" xfId="0" applyFont="1" applyFill="1" applyBorder="1" applyAlignment="1" applyProtection="1">
      <alignment horizontal="center" vertical="center" wrapText="1"/>
    </xf>
    <xf numFmtId="0" fontId="23" fillId="0" borderId="7" xfId="8" applyFont="1" applyFill="1" applyBorder="1" applyAlignment="1" applyProtection="1">
      <alignment horizontal="center" vertical="center" wrapText="1"/>
    </xf>
    <xf numFmtId="0" fontId="13" fillId="0" borderId="1" xfId="8" applyFont="1" applyFill="1" applyBorder="1" applyAlignment="1" applyProtection="1">
      <alignment horizontal="center" vertical="center" wrapText="1"/>
    </xf>
    <xf numFmtId="0" fontId="23" fillId="0" borderId="6" xfId="8" applyFont="1" applyFill="1" applyBorder="1" applyAlignment="1" applyProtection="1">
      <alignment horizontal="center" vertical="center"/>
    </xf>
    <xf numFmtId="0" fontId="23" fillId="0" borderId="3"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wrapText="1"/>
    </xf>
    <xf numFmtId="0" fontId="62" fillId="0" borderId="0" xfId="0" applyFont="1" applyAlignment="1" applyProtection="1">
      <alignment horizontal="center" vertical="center" wrapText="1"/>
    </xf>
    <xf numFmtId="0" fontId="9" fillId="0" borderId="1" xfId="0" applyFont="1" applyBorder="1" applyAlignment="1" applyProtection="1">
      <alignment horizontal="center" vertical="center"/>
    </xf>
    <xf numFmtId="0" fontId="23" fillId="0" borderId="1"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xf>
    <xf numFmtId="0" fontId="13" fillId="0" borderId="1" xfId="0" applyFont="1" applyFill="1" applyBorder="1" applyAlignment="1" applyProtection="1">
      <alignment horizontal="center" vertical="center" wrapText="1"/>
    </xf>
    <xf numFmtId="0" fontId="37" fillId="0" borderId="3" xfId="0" applyFont="1" applyFill="1" applyBorder="1" applyAlignment="1" applyProtection="1">
      <alignment horizontal="center" vertical="center"/>
    </xf>
    <xf numFmtId="0" fontId="37" fillId="0" borderId="1" xfId="0" applyFont="1" applyFill="1" applyBorder="1" applyAlignment="1" applyProtection="1">
      <alignment horizontal="center" vertical="center" wrapText="1"/>
    </xf>
    <xf numFmtId="0" fontId="37" fillId="0" borderId="5" xfId="0" applyFont="1" applyFill="1" applyBorder="1" applyAlignment="1">
      <alignment horizontal="center" vertical="center" wrapText="1"/>
    </xf>
    <xf numFmtId="0" fontId="37" fillId="0" borderId="10" xfId="0" applyFont="1" applyFill="1" applyBorder="1" applyAlignment="1" applyProtection="1">
      <alignment horizontal="center" vertical="center"/>
    </xf>
    <xf numFmtId="0" fontId="37" fillId="0" borderId="5" xfId="0" applyFont="1" applyFill="1" applyBorder="1" applyAlignment="1">
      <alignment horizontal="center" vertical="center"/>
    </xf>
    <xf numFmtId="0" fontId="37" fillId="0" borderId="3" xfId="0" applyFont="1" applyFill="1" applyBorder="1" applyAlignment="1">
      <alignment horizontal="center" vertical="center" wrapText="1"/>
    </xf>
    <xf numFmtId="0" fontId="37" fillId="0" borderId="3" xfId="0"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0" fontId="37" fillId="0" borderId="1" xfId="0" applyFont="1" applyFill="1" applyBorder="1" applyAlignment="1" applyProtection="1">
      <alignment horizontal="center" vertical="center"/>
    </xf>
    <xf numFmtId="0" fontId="37" fillId="0" borderId="0" xfId="0" applyFont="1" applyAlignment="1">
      <alignment vertical="center"/>
    </xf>
    <xf numFmtId="173" fontId="208" fillId="0" borderId="0" xfId="7" applyNumberFormat="1" applyFont="1" applyFill="1" applyBorder="1" applyAlignment="1">
      <alignment horizontal="center" vertical="center"/>
    </xf>
    <xf numFmtId="173" fontId="76" fillId="0" borderId="0" xfId="7" applyNumberFormat="1" applyFont="1" applyFill="1" applyBorder="1" applyAlignment="1">
      <alignment horizontal="center" vertical="center"/>
    </xf>
    <xf numFmtId="0" fontId="98" fillId="0" borderId="0" xfId="84" applyAlignment="1" applyProtection="1">
      <alignment horizontal="center" vertical="center" wrapText="1"/>
    </xf>
    <xf numFmtId="0" fontId="98" fillId="0" borderId="1" xfId="84" applyFill="1" applyBorder="1" applyAlignment="1" applyProtection="1">
      <alignment vertical="center"/>
    </xf>
    <xf numFmtId="0" fontId="98" fillId="0" borderId="1" xfId="84" applyFill="1" applyBorder="1" applyAlignment="1" applyProtection="1">
      <alignment horizontal="left" vertical="center"/>
    </xf>
    <xf numFmtId="0" fontId="37" fillId="0" borderId="1" xfId="0" applyFont="1" applyFill="1" applyBorder="1" applyAlignment="1">
      <alignment horizontal="left" vertical="center"/>
    </xf>
    <xf numFmtId="0" fontId="37" fillId="13" borderId="1" xfId="0" applyFont="1" applyFill="1" applyBorder="1" applyAlignment="1">
      <alignment horizontal="center" vertical="center"/>
    </xf>
    <xf numFmtId="0" fontId="37" fillId="13" borderId="1" xfId="0" applyFont="1" applyFill="1" applyBorder="1" applyAlignment="1">
      <alignment vertical="center"/>
    </xf>
    <xf numFmtId="0" fontId="5" fillId="0" borderId="1" xfId="84" applyFont="1" applyFill="1" applyBorder="1" applyAlignment="1" applyProtection="1">
      <alignment vertical="center"/>
    </xf>
    <xf numFmtId="0" fontId="72" fillId="0" borderId="0" xfId="0" applyFont="1" applyFill="1" applyAlignment="1" applyProtection="1">
      <alignment vertical="center"/>
    </xf>
    <xf numFmtId="0" fontId="98" fillId="0" borderId="0" xfId="84" applyFill="1" applyAlignment="1" applyProtection="1">
      <alignment vertical="center"/>
    </xf>
    <xf numFmtId="0" fontId="98" fillId="0" borderId="1" xfId="84" applyFill="1" applyBorder="1" applyAlignment="1" applyProtection="1">
      <alignment horizontal="left" vertical="center"/>
    </xf>
    <xf numFmtId="0" fontId="37" fillId="13" borderId="0" xfId="0" applyFont="1" applyFill="1" applyAlignment="1">
      <alignment horizontal="center" vertical="center"/>
    </xf>
    <xf numFmtId="0" fontId="37" fillId="0" borderId="3" xfId="0" applyFont="1" applyFill="1" applyBorder="1" applyAlignment="1" applyProtection="1">
      <alignment horizontal="center" vertical="center" wrapText="1"/>
    </xf>
    <xf numFmtId="14" fontId="37" fillId="13" borderId="5" xfId="0" applyNumberFormat="1" applyFont="1" applyFill="1" applyBorder="1" applyAlignment="1" applyProtection="1">
      <alignment vertical="center"/>
    </xf>
    <xf numFmtId="14" fontId="37" fillId="13" borderId="9" xfId="0" applyNumberFormat="1" applyFont="1" applyFill="1" applyBorder="1" applyAlignment="1" applyProtection="1">
      <alignment vertical="center"/>
    </xf>
    <xf numFmtId="0" fontId="37" fillId="13" borderId="9" xfId="0" applyFont="1" applyFill="1" applyBorder="1" applyAlignment="1" applyProtection="1">
      <alignment vertical="center" wrapText="1"/>
    </xf>
    <xf numFmtId="174" fontId="37" fillId="13" borderId="9" xfId="0" applyNumberFormat="1" applyFont="1" applyFill="1" applyBorder="1" applyAlignment="1" applyProtection="1">
      <alignment vertical="center" wrapText="1"/>
    </xf>
    <xf numFmtId="174" fontId="37" fillId="13" borderId="9" xfId="0" applyNumberFormat="1" applyFont="1" applyFill="1" applyBorder="1" applyAlignment="1" applyProtection="1">
      <alignment vertical="center"/>
    </xf>
    <xf numFmtId="174" fontId="94" fillId="13" borderId="9" xfId="0" applyNumberFormat="1" applyFont="1" applyFill="1" applyBorder="1" applyAlignment="1" applyProtection="1">
      <alignment vertical="center" wrapText="1"/>
    </xf>
    <xf numFmtId="0" fontId="37" fillId="13" borderId="9" xfId="0" applyFont="1" applyFill="1" applyBorder="1" applyAlignment="1">
      <alignment horizontal="center" vertical="center"/>
    </xf>
    <xf numFmtId="0" fontId="37" fillId="13" borderId="6" xfId="0" applyFont="1" applyFill="1" applyBorder="1" applyAlignment="1">
      <alignment horizontal="center" vertical="center"/>
    </xf>
    <xf numFmtId="0" fontId="98" fillId="0" borderId="1" xfId="84" applyFill="1" applyBorder="1" applyAlignment="1" applyProtection="1">
      <alignment horizontal="left" vertical="center"/>
    </xf>
    <xf numFmtId="0" fontId="23" fillId="0" borderId="5" xfId="0" applyFont="1" applyFill="1" applyBorder="1" applyAlignment="1" applyProtection="1">
      <alignment horizontal="center" vertical="center" wrapText="1"/>
      <protection locked="0"/>
    </xf>
    <xf numFmtId="0" fontId="9" fillId="0" borderId="2" xfId="0" applyFont="1" applyFill="1" applyBorder="1" applyAlignment="1">
      <alignment horizontal="center" vertical="center"/>
    </xf>
    <xf numFmtId="0" fontId="9" fillId="0" borderId="1" xfId="0" applyFont="1" applyFill="1" applyBorder="1" applyAlignment="1">
      <alignment horizontal="center" vertical="center"/>
    </xf>
    <xf numFmtId="165" fontId="37" fillId="0" borderId="3" xfId="1" applyFont="1" applyFill="1" applyBorder="1" applyAlignment="1" applyProtection="1">
      <alignment horizontal="center" vertical="center"/>
    </xf>
    <xf numFmtId="165" fontId="37" fillId="0" borderId="5" xfId="1" applyFont="1" applyFill="1" applyBorder="1" applyAlignment="1" applyProtection="1">
      <alignment vertical="center"/>
    </xf>
    <xf numFmtId="165" fontId="37" fillId="0" borderId="9" xfId="1" applyFont="1" applyFill="1" applyBorder="1" applyAlignment="1" applyProtection="1">
      <alignment horizontal="centerContinuous" vertical="center"/>
    </xf>
    <xf numFmtId="165" fontId="37" fillId="0" borderId="6" xfId="1" applyFont="1" applyFill="1" applyBorder="1" applyAlignment="1" applyProtection="1">
      <alignment horizontal="centerContinuous" vertical="center"/>
    </xf>
    <xf numFmtId="165" fontId="37" fillId="0" borderId="6" xfId="1" applyFont="1" applyFill="1" applyBorder="1" applyAlignment="1" applyProtection="1">
      <alignment horizontal="center" vertical="center"/>
    </xf>
    <xf numFmtId="167" fontId="37" fillId="0" borderId="5" xfId="0" applyNumberFormat="1" applyFont="1" applyFill="1" applyBorder="1" applyAlignment="1" applyProtection="1">
      <alignment horizontal="center" vertical="center"/>
    </xf>
    <xf numFmtId="0" fontId="37" fillId="0" borderId="1" xfId="8" applyFont="1" applyFill="1" applyBorder="1" applyAlignment="1" applyProtection="1">
      <alignment horizontal="center" vertical="center" wrapText="1"/>
    </xf>
    <xf numFmtId="167" fontId="37" fillId="0" borderId="1" xfId="8" applyNumberFormat="1" applyFont="1" applyFill="1" applyBorder="1" applyAlignment="1" applyProtection="1">
      <alignment horizontal="center" vertical="center"/>
    </xf>
    <xf numFmtId="168" fontId="10" fillId="0" borderId="9" xfId="0" applyNumberFormat="1" applyFont="1" applyFill="1" applyBorder="1" applyAlignment="1" applyProtection="1">
      <alignment horizontal="center" vertical="center"/>
    </xf>
    <xf numFmtId="0" fontId="49" fillId="0" borderId="1" xfId="0" applyFont="1" applyFill="1" applyBorder="1" applyAlignment="1" applyProtection="1">
      <alignment horizontal="center" vertical="center" wrapText="1"/>
      <protection locked="0"/>
    </xf>
    <xf numFmtId="0" fontId="49" fillId="0" borderId="5" xfId="0" applyFont="1" applyFill="1" applyBorder="1" applyAlignment="1" applyProtection="1">
      <alignment horizontal="center" vertical="center" wrapText="1"/>
      <protection locked="0"/>
    </xf>
    <xf numFmtId="0" fontId="49" fillId="0" borderId="9" xfId="0" applyFont="1" applyFill="1" applyBorder="1" applyAlignment="1" applyProtection="1">
      <alignment horizontal="center" vertical="center" wrapText="1"/>
      <protection locked="0"/>
    </xf>
    <xf numFmtId="0" fontId="49" fillId="0" borderId="9" xfId="0" applyFont="1" applyFill="1" applyBorder="1" applyAlignment="1">
      <alignment horizontal="center" vertical="center" wrapText="1"/>
    </xf>
    <xf numFmtId="0" fontId="49" fillId="0" borderId="3" xfId="0" applyFont="1" applyFill="1" applyBorder="1" applyAlignment="1" applyProtection="1">
      <alignment horizontal="center" vertical="center"/>
    </xf>
    <xf numFmtId="0" fontId="49" fillId="0" borderId="0" xfId="0" applyFont="1" applyFill="1" applyBorder="1" applyAlignment="1" applyProtection="1">
      <alignment horizontal="center" vertical="center" wrapText="1"/>
      <protection locked="0"/>
    </xf>
    <xf numFmtId="0" fontId="49" fillId="0" borderId="1" xfId="0" applyFont="1" applyFill="1" applyBorder="1" applyAlignment="1">
      <alignment horizontal="center" vertical="center"/>
    </xf>
    <xf numFmtId="0" fontId="17" fillId="13" borderId="7" xfId="0" applyFont="1" applyFill="1" applyBorder="1" applyAlignment="1">
      <alignment vertical="center"/>
    </xf>
    <xf numFmtId="0" fontId="24" fillId="13" borderId="1" xfId="0" applyFont="1" applyFill="1" applyBorder="1" applyAlignment="1">
      <alignment vertical="center"/>
    </xf>
    <xf numFmtId="0" fontId="24" fillId="13" borderId="5" xfId="0" applyFont="1" applyFill="1" applyBorder="1" applyAlignment="1">
      <alignment vertical="center"/>
    </xf>
    <xf numFmtId="0" fontId="24" fillId="13" borderId="9" xfId="0" applyFont="1" applyFill="1" applyBorder="1" applyAlignment="1">
      <alignment vertical="center"/>
    </xf>
    <xf numFmtId="20" fontId="24" fillId="13" borderId="1" xfId="0" applyNumberFormat="1" applyFont="1" applyFill="1" applyBorder="1" applyAlignment="1">
      <alignment vertical="center"/>
    </xf>
    <xf numFmtId="170" fontId="24" fillId="13" borderId="5" xfId="0" quotePrefix="1" applyNumberFormat="1" applyFont="1" applyFill="1" applyBorder="1" applyAlignment="1" applyProtection="1">
      <alignment horizontal="center" vertical="center"/>
    </xf>
    <xf numFmtId="170" fontId="24" fillId="13" borderId="1" xfId="0" quotePrefix="1" applyNumberFormat="1" applyFont="1" applyFill="1" applyBorder="1" applyAlignment="1" applyProtection="1">
      <alignment horizontal="center" vertical="center"/>
    </xf>
    <xf numFmtId="0" fontId="23" fillId="0" borderId="0" xfId="0" applyFont="1" applyFill="1">
      <alignment vertical="center"/>
    </xf>
    <xf numFmtId="171" fontId="24" fillId="0" borderId="2" xfId="0" applyNumberFormat="1" applyFont="1" applyBorder="1" applyAlignment="1" applyProtection="1">
      <alignment horizontal="center" vertical="center"/>
      <protection locked="0"/>
    </xf>
    <xf numFmtId="171" fontId="24" fillId="0" borderId="1" xfId="0" applyNumberFormat="1" applyFont="1" applyBorder="1" applyAlignment="1" applyProtection="1">
      <alignment horizontal="center" vertical="center"/>
      <protection locked="0"/>
    </xf>
    <xf numFmtId="169" fontId="24" fillId="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169" fontId="24" fillId="0" borderId="0" xfId="0" applyNumberFormat="1" applyFont="1" applyFill="1" applyAlignment="1">
      <alignment horizontal="center" vertical="center"/>
    </xf>
    <xf numFmtId="171" fontId="7" fillId="13" borderId="1" xfId="0" applyNumberFormat="1" applyFont="1" applyFill="1" applyBorder="1" applyAlignment="1">
      <alignment horizontal="center" vertical="center" wrapText="1"/>
    </xf>
    <xf numFmtId="170" fontId="31" fillId="13" borderId="5" xfId="0" quotePrefix="1" applyNumberFormat="1" applyFont="1" applyFill="1" applyBorder="1" applyAlignment="1" applyProtection="1">
      <alignment horizontal="center" vertical="center"/>
    </xf>
    <xf numFmtId="170" fontId="31" fillId="13" borderId="1" xfId="0" quotePrefix="1" applyNumberFormat="1" applyFont="1" applyFill="1" applyBorder="1" applyAlignment="1" applyProtection="1">
      <alignment horizontal="center" vertical="center"/>
    </xf>
    <xf numFmtId="170" fontId="31" fillId="0" borderId="1" xfId="0" applyNumberFormat="1" applyFont="1" applyFill="1" applyBorder="1" applyAlignment="1" applyProtection="1">
      <alignment horizontal="center" vertical="center"/>
      <protection locked="0"/>
    </xf>
    <xf numFmtId="0" fontId="23" fillId="0" borderId="0" xfId="0" applyFont="1" applyFill="1" applyAlignment="1">
      <alignment horizontal="left" vertical="center"/>
    </xf>
    <xf numFmtId="173" fontId="23" fillId="0" borderId="0" xfId="0" applyNumberFormat="1" applyFont="1" applyFill="1" applyAlignment="1">
      <alignment horizontal="left" vertical="center"/>
    </xf>
    <xf numFmtId="9" fontId="23" fillId="0" borderId="0" xfId="0" applyNumberFormat="1" applyFont="1" applyFill="1" applyAlignment="1">
      <alignment horizontal="center" vertical="center"/>
    </xf>
    <xf numFmtId="170" fontId="31" fillId="11" borderId="1" xfId="0" applyNumberFormat="1" applyFont="1" applyFill="1" applyBorder="1" applyAlignment="1" applyProtection="1">
      <alignment horizontal="center" vertical="center"/>
      <protection locked="0"/>
    </xf>
    <xf numFmtId="170" fontId="31" fillId="0" borderId="0" xfId="0" applyNumberFormat="1" applyFont="1" applyFill="1" applyAlignment="1">
      <alignment horizontal="center" vertical="center"/>
    </xf>
    <xf numFmtId="0" fontId="23" fillId="6" borderId="0" xfId="0" applyFont="1" applyFill="1">
      <alignment vertical="center"/>
    </xf>
    <xf numFmtId="0" fontId="23" fillId="0" borderId="0" xfId="0" applyFont="1" applyFill="1" applyAlignment="1">
      <alignment horizontal="right" vertical="center"/>
    </xf>
    <xf numFmtId="171" fontId="7" fillId="13" borderId="0" xfId="0" applyNumberFormat="1" applyFont="1" applyFill="1" applyAlignment="1">
      <alignment vertical="center" wrapText="1"/>
    </xf>
    <xf numFmtId="0" fontId="23" fillId="13" borderId="1" xfId="0" applyFont="1" applyFill="1" applyBorder="1" applyAlignment="1">
      <alignment horizontal="center" vertical="center"/>
    </xf>
    <xf numFmtId="170" fontId="31" fillId="14" borderId="1" xfId="0" applyNumberFormat="1" applyFont="1" applyFill="1" applyBorder="1" applyAlignment="1" applyProtection="1">
      <alignment horizontal="center" vertical="center"/>
      <protection locked="0"/>
    </xf>
    <xf numFmtId="0" fontId="23" fillId="14" borderId="1" xfId="0" applyFont="1" applyFill="1" applyBorder="1" applyAlignment="1">
      <alignment horizontal="center" vertical="center"/>
    </xf>
    <xf numFmtId="0" fontId="23" fillId="5" borderId="1" xfId="0" applyFont="1" applyFill="1" applyBorder="1" applyAlignment="1">
      <alignment horizontal="center" vertical="center"/>
    </xf>
    <xf numFmtId="0" fontId="67" fillId="5" borderId="0" xfId="6" applyFont="1" applyFill="1" applyAlignment="1">
      <alignment horizontal="left"/>
    </xf>
    <xf numFmtId="0" fontId="51" fillId="5" borderId="0" xfId="6" applyFont="1" applyFill="1" applyAlignment="1">
      <alignment horizontal="left"/>
    </xf>
    <xf numFmtId="179" fontId="145" fillId="0" borderId="7" xfId="0" applyNumberFormat="1" applyFont="1" applyFill="1" applyBorder="1" applyAlignment="1" applyProtection="1">
      <alignment horizontal="center" vertical="center"/>
      <protection locked="0"/>
    </xf>
    <xf numFmtId="14" fontId="49" fillId="5" borderId="5" xfId="0" applyNumberFormat="1" applyFont="1" applyFill="1" applyBorder="1" applyAlignment="1" applyProtection="1">
      <alignment vertical="center"/>
    </xf>
    <xf numFmtId="14" fontId="49" fillId="5" borderId="9" xfId="0" applyNumberFormat="1" applyFont="1" applyFill="1" applyBorder="1" applyAlignment="1" applyProtection="1">
      <alignment vertical="center"/>
    </xf>
    <xf numFmtId="0" fontId="49" fillId="5" borderId="9" xfId="0" applyFont="1" applyFill="1" applyBorder="1" applyAlignment="1" applyProtection="1">
      <alignment vertical="center" wrapText="1"/>
    </xf>
    <xf numFmtId="0" fontId="49" fillId="5" borderId="6" xfId="0" applyFont="1" applyFill="1" applyBorder="1" applyAlignment="1" applyProtection="1">
      <alignment vertical="center" wrapText="1"/>
    </xf>
    <xf numFmtId="174" fontId="49" fillId="5" borderId="5" xfId="0" applyNumberFormat="1" applyFont="1" applyFill="1" applyBorder="1" applyAlignment="1" applyProtection="1">
      <alignment vertical="center" wrapText="1"/>
    </xf>
    <xf numFmtId="174" fontId="49" fillId="5" borderId="9" xfId="0" applyNumberFormat="1" applyFont="1" applyFill="1" applyBorder="1" applyAlignment="1" applyProtection="1">
      <alignment vertical="center" wrapText="1"/>
    </xf>
    <xf numFmtId="0" fontId="49" fillId="0" borderId="8" xfId="0" applyFont="1" applyFill="1" applyBorder="1" applyAlignment="1" applyProtection="1">
      <alignment horizontal="center" vertical="center"/>
    </xf>
    <xf numFmtId="0" fontId="49" fillId="0" borderId="6" xfId="0" applyFont="1" applyFill="1" applyBorder="1" applyAlignment="1" applyProtection="1">
      <alignment horizontal="center" vertical="center"/>
    </xf>
    <xf numFmtId="0" fontId="49" fillId="13" borderId="1" xfId="0" applyFont="1" applyFill="1" applyBorder="1" applyAlignment="1">
      <alignment vertical="center"/>
    </xf>
    <xf numFmtId="0" fontId="49" fillId="0" borderId="5" xfId="0" applyFont="1" applyFill="1" applyBorder="1" applyAlignment="1">
      <alignment horizontal="center" vertical="center"/>
    </xf>
    <xf numFmtId="0" fontId="211" fillId="0" borderId="0" xfId="84" applyFont="1" applyFill="1" applyAlignment="1" applyProtection="1">
      <alignment horizontal="left" vertical="center"/>
    </xf>
    <xf numFmtId="183" fontId="49" fillId="0" borderId="1" xfId="0" applyNumberFormat="1" applyFont="1" applyFill="1" applyBorder="1" applyAlignment="1">
      <alignment horizontal="center" vertical="center"/>
    </xf>
    <xf numFmtId="183" fontId="49" fillId="0" borderId="6" xfId="0" applyNumberFormat="1" applyFont="1" applyFill="1" applyBorder="1" applyAlignment="1" applyProtection="1">
      <alignment horizontal="center" vertical="center"/>
      <protection locked="0"/>
    </xf>
    <xf numFmtId="0" fontId="49" fillId="0" borderId="13" xfId="0" applyFont="1" applyFill="1" applyBorder="1" applyAlignment="1">
      <alignment horizontal="left" vertical="center" wrapText="1"/>
    </xf>
    <xf numFmtId="0" fontId="49" fillId="0" borderId="3" xfId="0" applyFont="1" applyFill="1" applyBorder="1" applyAlignment="1">
      <alignment vertical="center"/>
    </xf>
    <xf numFmtId="0" fontId="49" fillId="0" borderId="0" xfId="0" applyFont="1" applyFill="1" applyBorder="1" applyAlignment="1">
      <alignment horizontal="left" vertical="center" wrapText="1"/>
    </xf>
    <xf numFmtId="0" fontId="49" fillId="0" borderId="11" xfId="0" applyFont="1" applyFill="1" applyBorder="1" applyAlignment="1">
      <alignment horizontal="left" vertical="center" wrapText="1"/>
    </xf>
    <xf numFmtId="0" fontId="49" fillId="0" borderId="13" xfId="0" applyFont="1" applyFill="1" applyBorder="1" applyAlignment="1">
      <alignment vertical="center" wrapText="1"/>
    </xf>
    <xf numFmtId="0" fontId="49" fillId="0" borderId="12" xfId="0" applyFont="1" applyFill="1" applyBorder="1" applyAlignment="1">
      <alignment vertical="center" wrapText="1"/>
    </xf>
    <xf numFmtId="0" fontId="49" fillId="0" borderId="4" xfId="0" applyFont="1" applyFill="1" applyBorder="1" applyAlignment="1">
      <alignment vertical="center" wrapText="1"/>
    </xf>
    <xf numFmtId="0" fontId="49" fillId="0" borderId="15" xfId="0" applyFont="1" applyFill="1" applyBorder="1" applyAlignment="1">
      <alignment vertical="center" wrapText="1"/>
    </xf>
    <xf numFmtId="0" fontId="146" fillId="4" borderId="9" xfId="0" applyFont="1" applyFill="1" applyBorder="1" applyAlignment="1" applyProtection="1">
      <alignment horizontal="centerContinuous" vertical="center"/>
    </xf>
    <xf numFmtId="0" fontId="49" fillId="4" borderId="6" xfId="0" applyFont="1" applyFill="1" applyBorder="1" applyAlignment="1" applyProtection="1">
      <alignment horizontal="centerContinuous" vertical="center"/>
    </xf>
    <xf numFmtId="0" fontId="49" fillId="0" borderId="5" xfId="0" applyFont="1" applyFill="1" applyBorder="1" applyAlignment="1" applyProtection="1">
      <alignment vertical="center" wrapText="1"/>
    </xf>
    <xf numFmtId="0" fontId="49" fillId="0" borderId="9" xfId="0" applyFont="1" applyFill="1" applyBorder="1" applyAlignment="1" applyProtection="1">
      <alignment vertical="center" wrapText="1"/>
    </xf>
    <xf numFmtId="0" fontId="49" fillId="0" borderId="12" xfId="0" applyFont="1" applyFill="1" applyBorder="1" applyAlignment="1">
      <alignment horizontal="center" vertical="center" wrapText="1"/>
    </xf>
    <xf numFmtId="0" fontId="49" fillId="0" borderId="16" xfId="0" applyFont="1" applyFill="1" applyBorder="1" applyAlignment="1">
      <alignment horizontal="center" vertical="center" wrapText="1"/>
    </xf>
    <xf numFmtId="0" fontId="49" fillId="0" borderId="15" xfId="0" applyFont="1" applyFill="1" applyBorder="1" applyAlignment="1">
      <alignment horizontal="center" vertical="center" wrapText="1"/>
    </xf>
    <xf numFmtId="0" fontId="92" fillId="0" borderId="8" xfId="0" applyFont="1" applyBorder="1" applyAlignment="1">
      <alignment vertical="center"/>
    </xf>
    <xf numFmtId="0" fontId="75" fillId="5" borderId="6" xfId="0" applyFont="1" applyFill="1" applyBorder="1" applyAlignment="1">
      <alignment vertical="center"/>
    </xf>
    <xf numFmtId="0" fontId="49" fillId="0" borderId="0" xfId="0" quotePrefix="1" applyFont="1" applyFill="1" applyBorder="1" applyAlignment="1" applyProtection="1">
      <alignment vertical="center" wrapText="1"/>
    </xf>
    <xf numFmtId="0" fontId="49" fillId="0" borderId="0" xfId="0" applyNumberFormat="1" applyFont="1" applyFill="1" applyBorder="1" applyAlignment="1" applyProtection="1">
      <alignment horizontal="center" vertical="center"/>
    </xf>
    <xf numFmtId="170" fontId="49" fillId="0" borderId="0" xfId="0" applyNumberFormat="1" applyFont="1" applyFill="1" applyBorder="1" applyAlignment="1" applyProtection="1">
      <alignment horizontal="center" vertical="center"/>
      <protection locked="0"/>
    </xf>
    <xf numFmtId="186" fontId="49" fillId="9" borderId="6" xfId="0" quotePrefix="1" applyNumberFormat="1" applyFont="1" applyFill="1" applyBorder="1" applyAlignment="1" applyProtection="1">
      <alignment horizontal="center" vertical="center"/>
    </xf>
    <xf numFmtId="165" fontId="49" fillId="9" borderId="6" xfId="1" applyFont="1" applyFill="1" applyBorder="1" applyAlignment="1" applyProtection="1">
      <alignment horizontal="center" vertical="center"/>
    </xf>
    <xf numFmtId="185" fontId="49" fillId="9" borderId="9" xfId="0" applyNumberFormat="1" applyFont="1" applyFill="1" applyBorder="1" applyAlignment="1" applyProtection="1">
      <alignment horizontal="center" vertical="center"/>
    </xf>
    <xf numFmtId="186" fontId="49" fillId="0" borderId="9" xfId="0" applyNumberFormat="1" applyFont="1" applyFill="1" applyBorder="1" applyAlignment="1" applyProtection="1">
      <alignment horizontal="center" vertical="center"/>
    </xf>
    <xf numFmtId="165" fontId="49" fillId="0" borderId="1" xfId="1" applyFont="1" applyFill="1" applyBorder="1" applyAlignment="1">
      <alignment horizontal="center" vertical="center"/>
    </xf>
    <xf numFmtId="0" fontId="49" fillId="0" borderId="0" xfId="0" applyFont="1" applyFill="1" applyBorder="1" applyAlignment="1" applyProtection="1">
      <alignment horizontal="center" vertical="center" wrapText="1"/>
    </xf>
    <xf numFmtId="41" fontId="49" fillId="0" borderId="9" xfId="0" applyNumberFormat="1" applyFont="1" applyFill="1" applyBorder="1" applyAlignment="1" applyProtection="1">
      <alignment horizontal="distributed" vertical="distributed" wrapText="1"/>
      <protection locked="0"/>
    </xf>
    <xf numFmtId="0" fontId="49" fillId="0" borderId="9" xfId="0" applyFont="1" applyFill="1" applyBorder="1" applyAlignment="1" applyProtection="1">
      <alignment horizontal="distributed" vertical="distributed" wrapText="1"/>
      <protection locked="0"/>
    </xf>
    <xf numFmtId="0" fontId="49" fillId="0" borderId="5" xfId="0" applyFont="1" applyFill="1" applyBorder="1" applyAlignment="1" applyProtection="1">
      <alignment horizontal="center" vertical="center"/>
    </xf>
    <xf numFmtId="0" fontId="74" fillId="0" borderId="5" xfId="0" applyFont="1" applyFill="1" applyBorder="1" applyAlignment="1" applyProtection="1">
      <alignment horizontal="center" vertical="center"/>
    </xf>
    <xf numFmtId="0" fontId="49" fillId="0" borderId="1" xfId="0" applyFont="1" applyFill="1" applyBorder="1" applyAlignment="1" applyProtection="1">
      <alignment vertical="center"/>
    </xf>
    <xf numFmtId="0" fontId="49" fillId="39" borderId="0" xfId="0" applyNumberFormat="1" applyFont="1" applyFill="1" applyBorder="1" applyAlignment="1" applyProtection="1">
      <alignment horizontal="center" vertical="center"/>
    </xf>
    <xf numFmtId="0" fontId="49" fillId="13" borderId="0" xfId="0" applyFont="1" applyFill="1" applyAlignment="1">
      <alignment horizontal="center" vertical="center"/>
    </xf>
    <xf numFmtId="170" fontId="49" fillId="39" borderId="0" xfId="0" applyNumberFormat="1" applyFont="1" applyFill="1" applyBorder="1" applyAlignment="1" applyProtection="1">
      <alignment horizontal="center" vertical="center"/>
      <protection locked="0"/>
    </xf>
    <xf numFmtId="0" fontId="49" fillId="0" borderId="13" xfId="0" applyFont="1" applyFill="1" applyBorder="1" applyAlignment="1">
      <alignment horizontal="center" vertical="center"/>
    </xf>
    <xf numFmtId="0" fontId="49" fillId="0" borderId="12" xfId="0" applyFont="1" applyFill="1" applyBorder="1" applyAlignment="1">
      <alignment vertical="center"/>
    </xf>
    <xf numFmtId="0" fontId="49" fillId="0" borderId="4" xfId="0" applyFont="1" applyFill="1" applyBorder="1" applyAlignment="1">
      <alignment horizontal="center" vertical="center"/>
    </xf>
    <xf numFmtId="0" fontId="49" fillId="0" borderId="15" xfId="0" applyFont="1" applyFill="1" applyBorder="1" applyAlignment="1">
      <alignment vertical="center"/>
    </xf>
    <xf numFmtId="170" fontId="49" fillId="39" borderId="6" xfId="0" applyNumberFormat="1" applyFont="1" applyFill="1" applyBorder="1" applyAlignment="1" applyProtection="1">
      <alignment horizontal="center" vertical="center"/>
      <protection locked="0"/>
    </xf>
    <xf numFmtId="0" fontId="49" fillId="39" borderId="6" xfId="0" applyFont="1" applyFill="1" applyBorder="1" applyAlignment="1">
      <alignment horizontal="center" vertical="center" wrapText="1"/>
    </xf>
    <xf numFmtId="0" fontId="49" fillId="39" borderId="9" xfId="0" applyNumberFormat="1" applyFont="1" applyFill="1" applyBorder="1" applyAlignment="1" applyProtection="1">
      <alignment horizontal="center" vertical="center" wrapText="1"/>
      <protection locked="0"/>
    </xf>
    <xf numFmtId="0" fontId="49" fillId="39" borderId="0" xfId="0" applyFont="1" applyFill="1" applyAlignment="1">
      <alignment horizontal="center" vertical="center"/>
    </xf>
    <xf numFmtId="168" fontId="49" fillId="0" borderId="7" xfId="0" applyNumberFormat="1" applyFont="1" applyFill="1" applyBorder="1" applyAlignment="1">
      <alignment horizontal="center" vertical="center" wrapText="1"/>
    </xf>
    <xf numFmtId="168" fontId="75" fillId="40" borderId="6" xfId="0" applyNumberFormat="1" applyFont="1" applyFill="1" applyBorder="1" applyAlignment="1" applyProtection="1">
      <alignment horizontal="center" vertical="center"/>
    </xf>
    <xf numFmtId="168" fontId="75" fillId="0" borderId="6" xfId="0" applyNumberFormat="1" applyFont="1" applyFill="1" applyBorder="1" applyAlignment="1" applyProtection="1">
      <alignment horizontal="center" vertical="center"/>
    </xf>
    <xf numFmtId="168" fontId="75" fillId="4" borderId="6" xfId="0" applyNumberFormat="1" applyFont="1" applyFill="1" applyBorder="1" applyAlignment="1" applyProtection="1">
      <alignment horizontal="center" vertical="center"/>
    </xf>
    <xf numFmtId="0" fontId="49" fillId="42" borderId="8" xfId="0" applyFont="1" applyFill="1" applyBorder="1" applyAlignment="1">
      <alignment horizontal="center" vertical="center" wrapText="1"/>
    </xf>
    <xf numFmtId="0" fontId="49" fillId="42" borderId="12" xfId="0" applyFont="1" applyFill="1" applyBorder="1" applyAlignment="1">
      <alignment horizontal="center" vertical="center" wrapText="1"/>
    </xf>
    <xf numFmtId="0" fontId="49" fillId="42" borderId="0" xfId="0" applyFont="1" applyFill="1" applyBorder="1" applyAlignment="1">
      <alignment horizontal="center" vertical="center" wrapText="1"/>
    </xf>
    <xf numFmtId="0" fontId="49" fillId="42" borderId="16" xfId="0" applyFont="1" applyFill="1" applyBorder="1" applyAlignment="1">
      <alignment horizontal="center" vertical="center" wrapText="1"/>
    </xf>
    <xf numFmtId="0" fontId="54" fillId="0" borderId="1" xfId="0" applyFont="1" applyFill="1" applyBorder="1" applyAlignment="1">
      <alignment horizontal="center" vertical="center" wrapText="1"/>
    </xf>
    <xf numFmtId="0" fontId="147" fillId="0" borderId="6" xfId="0" applyFont="1" applyFill="1" applyBorder="1" applyAlignment="1" applyProtection="1">
      <alignment vertical="center"/>
    </xf>
    <xf numFmtId="171" fontId="75" fillId="0" borderId="6" xfId="0" applyNumberFormat="1" applyFont="1" applyFill="1" applyBorder="1" applyAlignment="1" applyProtection="1">
      <alignment horizontal="center" vertical="center"/>
    </xf>
    <xf numFmtId="168" fontId="75" fillId="0" borderId="12" xfId="0" applyNumberFormat="1" applyFont="1" applyFill="1" applyBorder="1" applyAlignment="1" applyProtection="1">
      <alignment horizontal="center" vertical="center"/>
    </xf>
    <xf numFmtId="168" fontId="75" fillId="0" borderId="1" xfId="0" applyNumberFormat="1" applyFont="1" applyFill="1" applyBorder="1" applyAlignment="1">
      <alignment horizontal="center" vertical="center"/>
    </xf>
    <xf numFmtId="166" fontId="75" fillId="0" borderId="5" xfId="0" applyNumberFormat="1" applyFont="1" applyFill="1" applyBorder="1" applyAlignment="1">
      <alignment horizontal="center" vertical="center"/>
    </xf>
    <xf numFmtId="0" fontId="37" fillId="0" borderId="1" xfId="0"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xf>
    <xf numFmtId="0" fontId="92" fillId="0" borderId="0" xfId="84" applyFont="1" applyFill="1" applyBorder="1" applyAlignment="1" applyProtection="1">
      <alignment horizontal="left" vertical="center"/>
    </xf>
    <xf numFmtId="0" fontId="13" fillId="0" borderId="0" xfId="0" applyFont="1" applyFill="1" applyBorder="1" applyAlignment="1" applyProtection="1">
      <alignment horizontal="center" vertical="center" wrapText="1"/>
    </xf>
    <xf numFmtId="0" fontId="51" fillId="0" borderId="0" xfId="6" applyFont="1"/>
    <xf numFmtId="0" fontId="67" fillId="0" borderId="0" xfId="6" applyFont="1"/>
    <xf numFmtId="0" fontId="67" fillId="0" borderId="0" xfId="6" applyFont="1" applyFill="1"/>
    <xf numFmtId="0" fontId="23" fillId="0" borderId="0" xfId="6" applyFont="1"/>
    <xf numFmtId="164" fontId="67" fillId="0" borderId="0" xfId="2" applyFont="1" applyFill="1"/>
    <xf numFmtId="164" fontId="23" fillId="0" borderId="0" xfId="2" applyFont="1" applyFill="1"/>
    <xf numFmtId="164" fontId="67" fillId="10" borderId="0" xfId="2" applyFont="1" applyFill="1"/>
    <xf numFmtId="178" fontId="51" fillId="5" borderId="0" xfId="6" applyNumberFormat="1" applyFont="1" applyFill="1"/>
    <xf numFmtId="178" fontId="51" fillId="12" borderId="0" xfId="6" applyNumberFormat="1" applyFont="1" applyFill="1"/>
    <xf numFmtId="164" fontId="67" fillId="0" borderId="0" xfId="6" applyNumberFormat="1" applyFont="1"/>
    <xf numFmtId="0" fontId="67" fillId="0" borderId="0" xfId="6" applyFont="1" applyAlignment="1">
      <alignment horizontal="left"/>
    </xf>
    <xf numFmtId="9" fontId="51" fillId="0" borderId="0" xfId="6" applyNumberFormat="1" applyFont="1"/>
    <xf numFmtId="0" fontId="67" fillId="5" borderId="0" xfId="6" applyFont="1" applyFill="1"/>
    <xf numFmtId="0" fontId="51" fillId="5" borderId="0" xfId="6" applyFont="1" applyFill="1"/>
    <xf numFmtId="0" fontId="51" fillId="14" borderId="0" xfId="6" applyFont="1" applyFill="1"/>
    <xf numFmtId="0" fontId="67" fillId="14" borderId="0" xfId="6" applyFont="1" applyFill="1"/>
    <xf numFmtId="1" fontId="67" fillId="6" borderId="0" xfId="6" applyNumberFormat="1" applyFont="1" applyFill="1"/>
    <xf numFmtId="1" fontId="51" fillId="6" borderId="0" xfId="6" applyNumberFormat="1" applyFont="1" applyFill="1"/>
    <xf numFmtId="181" fontId="67" fillId="0" borderId="0" xfId="6" applyNumberFormat="1" applyFont="1"/>
    <xf numFmtId="181" fontId="67" fillId="0" borderId="0" xfId="1" applyNumberFormat="1" applyFont="1" applyAlignment="1"/>
    <xf numFmtId="181" fontId="67" fillId="14" borderId="0" xfId="6" applyNumberFormat="1" applyFont="1" applyFill="1"/>
    <xf numFmtId="181" fontId="51" fillId="14" borderId="0" xfId="6" applyNumberFormat="1" applyFont="1" applyFill="1"/>
    <xf numFmtId="0" fontId="67" fillId="0" borderId="0" xfId="6" applyFont="1" applyAlignment="1">
      <alignment wrapText="1"/>
    </xf>
    <xf numFmtId="168" fontId="67" fillId="5" borderId="0" xfId="6" applyNumberFormat="1" applyFont="1" applyFill="1"/>
    <xf numFmtId="168" fontId="67" fillId="6" borderId="0" xfId="6" applyNumberFormat="1" applyFont="1" applyFill="1"/>
    <xf numFmtId="0" fontId="67" fillId="0" borderId="0" xfId="6" applyFont="1" applyAlignment="1">
      <alignment horizontal="right"/>
    </xf>
    <xf numFmtId="0" fontId="37" fillId="0" borderId="5" xfId="0" applyFont="1" applyFill="1" applyBorder="1" applyAlignment="1">
      <alignment horizontal="center" vertical="center"/>
    </xf>
    <xf numFmtId="169" fontId="50" fillId="0" borderId="1" xfId="0" applyNumberFormat="1" applyFont="1" applyFill="1" applyBorder="1" applyAlignment="1" applyProtection="1">
      <alignment horizontal="center" vertical="center"/>
    </xf>
    <xf numFmtId="0" fontId="23" fillId="6" borderId="1" xfId="0" applyFont="1" applyFill="1" applyBorder="1" applyAlignment="1">
      <alignment horizontal="center" vertical="center"/>
    </xf>
    <xf numFmtId="170" fontId="31" fillId="6" borderId="1" xfId="0" applyNumberFormat="1" applyFont="1" applyFill="1" applyBorder="1" applyAlignment="1" applyProtection="1">
      <alignment horizontal="center" vertical="center"/>
      <protection locked="0"/>
    </xf>
    <xf numFmtId="170" fontId="31" fillId="5" borderId="1" xfId="0" applyNumberFormat="1" applyFont="1" applyFill="1" applyBorder="1" applyAlignment="1" applyProtection="1">
      <alignment horizontal="center" vertical="center"/>
      <protection locked="0"/>
    </xf>
    <xf numFmtId="0" fontId="23" fillId="50" borderId="1" xfId="0" applyFont="1" applyFill="1" applyBorder="1" applyAlignment="1">
      <alignment horizontal="center" vertical="center"/>
    </xf>
    <xf numFmtId="170" fontId="31" fillId="50" borderId="1" xfId="0" applyNumberFormat="1" applyFont="1" applyFill="1" applyBorder="1" applyAlignment="1" applyProtection="1">
      <alignment horizontal="center" vertical="center"/>
      <protection locked="0"/>
    </xf>
    <xf numFmtId="170" fontId="23" fillId="0" borderId="0" xfId="0" applyNumberFormat="1" applyFont="1" applyFill="1" applyBorder="1" applyAlignment="1" applyProtection="1">
      <alignment horizontal="center" vertical="center"/>
      <protection locked="0"/>
    </xf>
    <xf numFmtId="169" fontId="23" fillId="0" borderId="0" xfId="0" applyNumberFormat="1" applyFont="1" applyFill="1" applyBorder="1" applyAlignment="1" applyProtection="1">
      <alignment horizontal="center" vertical="center"/>
      <protection locked="0"/>
    </xf>
    <xf numFmtId="0" fontId="67" fillId="0" borderId="0" xfId="0" applyFont="1" applyFill="1" applyAlignment="1">
      <alignment horizontal="center" vertical="center"/>
    </xf>
    <xf numFmtId="0" fontId="23" fillId="13" borderId="0" xfId="0" applyFont="1" applyFill="1" applyAlignment="1">
      <alignment horizontal="center" vertical="center"/>
    </xf>
    <xf numFmtId="0" fontId="152" fillId="0" borderId="1" xfId="0" applyFont="1" applyFill="1" applyBorder="1" applyAlignment="1" applyProtection="1">
      <alignment horizontal="center" vertical="center"/>
    </xf>
    <xf numFmtId="0" fontId="37" fillId="0" borderId="90" xfId="0" applyFont="1" applyFill="1" applyBorder="1" applyAlignment="1" applyProtection="1">
      <alignment horizontal="center" vertical="center"/>
    </xf>
    <xf numFmtId="166" fontId="152" fillId="0" borderId="5" xfId="0" applyNumberFormat="1" applyFont="1" applyFill="1" applyBorder="1" applyAlignment="1" applyProtection="1">
      <alignment horizontal="right" vertical="center"/>
    </xf>
    <xf numFmtId="177" fontId="152" fillId="0" borderId="14" xfId="1" applyNumberFormat="1" applyFont="1" applyFill="1" applyBorder="1" applyAlignment="1" applyProtection="1">
      <alignment horizontal="center" vertical="center"/>
    </xf>
    <xf numFmtId="166" fontId="50" fillId="0" borderId="9" xfId="0" applyNumberFormat="1" applyFont="1" applyFill="1" applyBorder="1" applyAlignment="1" applyProtection="1">
      <alignment horizontal="center" vertical="center"/>
    </xf>
    <xf numFmtId="176" fontId="152" fillId="0" borderId="14" xfId="1" applyNumberFormat="1" applyFont="1" applyFill="1" applyBorder="1" applyAlignment="1" applyProtection="1">
      <alignment horizontal="center" vertical="center"/>
    </xf>
    <xf numFmtId="177" fontId="91" fillId="0" borderId="14" xfId="1" applyNumberFormat="1" applyFont="1" applyFill="1" applyBorder="1" applyAlignment="1" applyProtection="1">
      <alignment horizontal="center" vertical="center"/>
    </xf>
    <xf numFmtId="173" fontId="152" fillId="0" borderId="1" xfId="7" applyNumberFormat="1" applyFont="1" applyFill="1" applyBorder="1" applyAlignment="1" applyProtection="1">
      <alignment horizontal="center" vertical="center"/>
    </xf>
    <xf numFmtId="164" fontId="37" fillId="0" borderId="1" xfId="0" applyNumberFormat="1" applyFont="1" applyFill="1" applyBorder="1" applyAlignment="1" applyProtection="1">
      <alignment horizontal="center" vertical="center"/>
    </xf>
    <xf numFmtId="0" fontId="37" fillId="0" borderId="5" xfId="0" applyFont="1" applyFill="1" applyBorder="1" applyAlignment="1" applyProtection="1">
      <alignment horizontal="center" vertical="center" wrapText="1"/>
      <protection locked="0"/>
    </xf>
    <xf numFmtId="0" fontId="37" fillId="0" borderId="9"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protection locked="0"/>
    </xf>
    <xf numFmtId="0" fontId="9" fillId="0" borderId="9" xfId="0" applyFont="1" applyFill="1" applyBorder="1" applyAlignment="1">
      <alignment horizontal="center" vertical="center" wrapText="1"/>
    </xf>
    <xf numFmtId="0" fontId="37" fillId="0" borderId="3" xfId="0" applyFont="1" applyFill="1" applyBorder="1" applyAlignment="1" applyProtection="1">
      <alignment horizontal="center" vertical="center"/>
    </xf>
    <xf numFmtId="0" fontId="37" fillId="0" borderId="9" xfId="0" applyFont="1" applyFill="1" applyBorder="1" applyAlignment="1">
      <alignment horizontal="center" vertical="center" wrapText="1"/>
    </xf>
    <xf numFmtId="0" fontId="37" fillId="0" borderId="11" xfId="0" applyFont="1" applyFill="1" applyBorder="1" applyAlignment="1" applyProtection="1">
      <alignment horizontal="center" vertical="center"/>
    </xf>
    <xf numFmtId="0" fontId="37" fillId="0" borderId="3" xfId="0" applyFont="1" applyFill="1" applyBorder="1" applyAlignment="1">
      <alignment horizontal="center" vertical="center" wrapText="1"/>
    </xf>
    <xf numFmtId="0" fontId="37" fillId="0" borderId="12" xfId="0" applyFont="1" applyFill="1" applyBorder="1" applyAlignment="1">
      <alignment horizontal="center" vertical="center" wrapText="1"/>
    </xf>
    <xf numFmtId="0" fontId="37" fillId="0" borderId="15" xfId="0" applyFont="1" applyFill="1" applyBorder="1" applyAlignment="1">
      <alignment horizontal="center" vertical="center" wrapText="1"/>
    </xf>
    <xf numFmtId="0" fontId="37" fillId="0" borderId="5"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9" xfId="0" applyFont="1" applyFill="1" applyBorder="1" applyAlignment="1">
      <alignment horizontal="center" vertical="center"/>
    </xf>
    <xf numFmtId="0" fontId="23" fillId="5" borderId="51" xfId="0" applyFont="1" applyFill="1" applyBorder="1" applyAlignment="1" applyProtection="1">
      <alignment horizontal="center" vertical="center"/>
    </xf>
    <xf numFmtId="0" fontId="23" fillId="5" borderId="0" xfId="0" applyFont="1" applyFill="1" applyBorder="1" applyAlignment="1" applyProtection="1">
      <alignment horizontal="center" vertical="center"/>
    </xf>
    <xf numFmtId="0" fontId="23" fillId="5" borderId="52" xfId="0" applyFont="1" applyFill="1" applyBorder="1">
      <alignment vertical="center"/>
    </xf>
    <xf numFmtId="0" fontId="62" fillId="0" borderId="0" xfId="0" applyFont="1" applyFill="1" applyAlignment="1">
      <alignment vertical="center" wrapText="1"/>
    </xf>
    <xf numFmtId="166" fontId="9" fillId="0" borderId="5" xfId="0" applyNumberFormat="1" applyFont="1" applyFill="1" applyBorder="1" applyAlignment="1">
      <alignment horizontal="right" vertical="center"/>
    </xf>
    <xf numFmtId="168" fontId="9" fillId="0" borderId="14" xfId="0" applyNumberFormat="1" applyFont="1" applyFill="1" applyBorder="1" applyAlignment="1">
      <alignment horizontal="center" vertical="center"/>
    </xf>
    <xf numFmtId="168" fontId="9" fillId="0" borderId="9" xfId="0" applyNumberFormat="1" applyFont="1" applyFill="1" applyBorder="1" applyAlignment="1">
      <alignment horizontal="center" vertical="center"/>
    </xf>
    <xf numFmtId="169" fontId="37" fillId="0" borderId="9" xfId="0" applyNumberFormat="1" applyFont="1" applyFill="1" applyBorder="1" applyAlignment="1" applyProtection="1">
      <alignment vertical="center"/>
      <protection locked="0"/>
    </xf>
    <xf numFmtId="166" fontId="9" fillId="0" borderId="9" xfId="0" applyNumberFormat="1" applyFont="1" applyFill="1" applyBorder="1" applyAlignment="1">
      <alignment vertical="center"/>
    </xf>
    <xf numFmtId="166" fontId="9" fillId="0" borderId="6" xfId="0" applyNumberFormat="1" applyFont="1" applyFill="1" applyBorder="1" applyAlignment="1">
      <alignment vertical="center"/>
    </xf>
    <xf numFmtId="183" fontId="37" fillId="0" borderId="5" xfId="0" applyNumberFormat="1" applyFont="1" applyFill="1" applyBorder="1" applyAlignment="1" applyProtection="1">
      <alignment horizontal="center" vertical="center"/>
      <protection locked="0"/>
    </xf>
    <xf numFmtId="0" fontId="0" fillId="0" borderId="9" xfId="0" applyFont="1" applyBorder="1" applyAlignment="1">
      <alignment vertical="center"/>
    </xf>
    <xf numFmtId="0" fontId="0" fillId="0" borderId="6" xfId="0" applyFont="1" applyBorder="1" applyAlignment="1">
      <alignment vertical="center"/>
    </xf>
    <xf numFmtId="0" fontId="215" fillId="0" borderId="0" xfId="0" applyFont="1" applyFill="1" applyBorder="1" applyAlignment="1" applyProtection="1">
      <alignment horizontal="centerContinuous" vertical="distributed" wrapText="1"/>
    </xf>
    <xf numFmtId="0" fontId="216" fillId="0" borderId="0" xfId="0" applyFont="1" applyFill="1" applyBorder="1" applyAlignment="1" applyProtection="1">
      <alignment horizontal="centerContinuous" vertical="distributed" wrapText="1"/>
    </xf>
    <xf numFmtId="0" fontId="37" fillId="0" borderId="0" xfId="0" applyFont="1" applyFill="1" applyAlignment="1">
      <alignment horizontal="left" vertical="center"/>
    </xf>
    <xf numFmtId="0" fontId="37" fillId="12" borderId="1" xfId="0" applyFont="1" applyFill="1" applyBorder="1" applyAlignment="1">
      <alignment horizontal="center" vertical="center"/>
    </xf>
    <xf numFmtId="0" fontId="37" fillId="9" borderId="13" xfId="0" quotePrefix="1" applyFont="1" applyFill="1" applyBorder="1" applyAlignment="1" applyProtection="1">
      <alignment vertical="center" wrapText="1"/>
    </xf>
    <xf numFmtId="0" fontId="37" fillId="0" borderId="1" xfId="0" quotePrefix="1" applyFont="1" applyFill="1" applyBorder="1" applyAlignment="1" applyProtection="1">
      <alignment vertical="center" wrapText="1"/>
    </xf>
    <xf numFmtId="0" fontId="37" fillId="9" borderId="4" xfId="0" applyFont="1" applyFill="1" applyBorder="1" applyAlignment="1" applyProtection="1">
      <alignment vertical="center" wrapText="1"/>
    </xf>
    <xf numFmtId="185" fontId="37" fillId="9" borderId="6" xfId="0" applyNumberFormat="1" applyFont="1" applyFill="1" applyBorder="1" applyAlignment="1" applyProtection="1">
      <alignment horizontal="center" vertical="center"/>
    </xf>
    <xf numFmtId="186" fontId="37" fillId="0" borderId="6" xfId="0" applyNumberFormat="1" applyFont="1" applyFill="1" applyBorder="1" applyAlignment="1" applyProtection="1">
      <alignment horizontal="center" vertical="center"/>
    </xf>
    <xf numFmtId="187" fontId="37" fillId="9" borderId="6" xfId="0" applyNumberFormat="1" applyFont="1" applyFill="1" applyBorder="1" applyAlignment="1" applyProtection="1">
      <alignment horizontal="center" vertical="center"/>
    </xf>
    <xf numFmtId="186" fontId="37" fillId="9" borderId="6" xfId="0" applyNumberFormat="1" applyFont="1" applyFill="1" applyBorder="1" applyAlignment="1" applyProtection="1">
      <alignment horizontal="center" vertical="center"/>
    </xf>
    <xf numFmtId="170" fontId="37" fillId="0" borderId="1" xfId="0" applyNumberFormat="1" applyFont="1" applyFill="1" applyBorder="1" applyAlignment="1">
      <alignment horizontal="center" vertical="center"/>
    </xf>
    <xf numFmtId="176" fontId="37" fillId="9" borderId="1" xfId="1" applyNumberFormat="1" applyFont="1" applyFill="1" applyBorder="1" applyAlignment="1">
      <alignment horizontal="center" vertical="center"/>
    </xf>
    <xf numFmtId="0" fontId="37" fillId="0" borderId="8" xfId="0" applyFont="1" applyFill="1" applyBorder="1" applyAlignment="1">
      <alignment horizontal="center" vertical="center" wrapText="1"/>
    </xf>
    <xf numFmtId="0" fontId="37" fillId="0" borderId="9" xfId="0" applyFont="1" applyFill="1" applyBorder="1" applyAlignment="1">
      <alignment vertical="center"/>
    </xf>
    <xf numFmtId="0" fontId="37" fillId="0" borderId="8" xfId="0" applyFont="1" applyFill="1" applyBorder="1" applyAlignment="1">
      <alignment vertical="center"/>
    </xf>
    <xf numFmtId="0" fontId="37" fillId="9" borderId="11" xfId="0" quotePrefix="1" applyFont="1" applyFill="1" applyBorder="1" applyAlignment="1" applyProtection="1">
      <alignment vertical="center" wrapText="1"/>
    </xf>
    <xf numFmtId="187" fontId="37" fillId="0" borderId="6" xfId="0" applyNumberFormat="1" applyFont="1" applyFill="1" applyBorder="1" applyAlignment="1" applyProtection="1">
      <alignment horizontal="center" vertical="center"/>
    </xf>
    <xf numFmtId="185" fontId="37" fillId="0" borderId="6" xfId="0" applyNumberFormat="1" applyFont="1" applyFill="1" applyBorder="1" applyAlignment="1" applyProtection="1">
      <alignment horizontal="center" vertical="center"/>
    </xf>
    <xf numFmtId="0" fontId="37" fillId="0" borderId="0" xfId="0" applyNumberFormat="1" applyFont="1" applyFill="1" applyBorder="1" applyAlignment="1">
      <alignment horizontal="center" vertical="center" wrapText="1"/>
    </xf>
    <xf numFmtId="0" fontId="37" fillId="0" borderId="7" xfId="0" applyFont="1" applyFill="1" applyBorder="1" applyAlignment="1">
      <alignment vertical="center"/>
    </xf>
    <xf numFmtId="0" fontId="41" fillId="0" borderId="0" xfId="0" applyFont="1" applyFill="1" applyBorder="1" applyAlignment="1" applyProtection="1">
      <alignment horizontal="center" vertical="center"/>
    </xf>
    <xf numFmtId="14" fontId="37" fillId="5" borderId="5" xfId="0" applyNumberFormat="1" applyFont="1" applyFill="1" applyBorder="1" applyAlignment="1">
      <alignment horizontal="left" vertical="center"/>
    </xf>
    <xf numFmtId="0" fontId="37" fillId="5" borderId="9" xfId="0" applyFont="1" applyFill="1" applyBorder="1" applyAlignment="1">
      <alignment vertical="center" wrapText="1"/>
    </xf>
    <xf numFmtId="0" fontId="37" fillId="5" borderId="6" xfId="0" applyFont="1" applyFill="1" applyBorder="1" applyAlignment="1">
      <alignment vertical="center" wrapText="1"/>
    </xf>
    <xf numFmtId="174" fontId="37" fillId="5" borderId="13" xfId="0" applyNumberFormat="1" applyFont="1" applyFill="1" applyBorder="1" applyAlignment="1">
      <alignment vertical="center" wrapText="1"/>
    </xf>
    <xf numFmtId="0" fontId="0" fillId="0" borderId="8" xfId="0" applyFont="1" applyBorder="1" applyAlignment="1">
      <alignment vertical="center"/>
    </xf>
    <xf numFmtId="0" fontId="10" fillId="5" borderId="5" xfId="0" applyFont="1" applyFill="1" applyBorder="1" applyAlignment="1">
      <alignment vertical="center"/>
    </xf>
    <xf numFmtId="0" fontId="10" fillId="5" borderId="6" xfId="0" applyFont="1" applyFill="1" applyBorder="1" applyAlignment="1">
      <alignment vertical="center"/>
    </xf>
    <xf numFmtId="0" fontId="37" fillId="0" borderId="0" xfId="0" quotePrefix="1" applyFont="1" applyFill="1" applyBorder="1" applyAlignment="1" applyProtection="1">
      <alignment vertical="center"/>
    </xf>
    <xf numFmtId="0" fontId="37" fillId="0" borderId="0" xfId="0" quotePrefix="1" applyFont="1" applyFill="1" applyBorder="1" applyAlignment="1" applyProtection="1">
      <alignment vertical="center" wrapText="1"/>
    </xf>
    <xf numFmtId="0" fontId="37" fillId="0" borderId="5" xfId="0" applyNumberFormat="1" applyFont="1" applyFill="1" applyBorder="1" applyAlignment="1" applyProtection="1">
      <alignment horizontal="center" vertical="center"/>
    </xf>
    <xf numFmtId="0" fontId="37" fillId="0" borderId="0" xfId="0" applyFont="1" applyFill="1" applyBorder="1" applyAlignment="1" applyProtection="1">
      <alignment vertical="center"/>
    </xf>
    <xf numFmtId="0" fontId="37" fillId="0" borderId="0" xfId="0" applyNumberFormat="1" applyFont="1" applyFill="1" applyBorder="1" applyAlignment="1" applyProtection="1">
      <alignment horizontal="center" vertical="center"/>
    </xf>
    <xf numFmtId="170" fontId="37" fillId="0" borderId="5" xfId="0" applyNumberFormat="1" applyFont="1" applyFill="1" applyBorder="1" applyAlignment="1" applyProtection="1">
      <alignment horizontal="center" vertical="center"/>
      <protection locked="0"/>
    </xf>
    <xf numFmtId="169" fontId="37" fillId="0" borderId="0" xfId="0" applyNumberFormat="1" applyFont="1" applyFill="1" applyBorder="1" applyAlignment="1">
      <alignment horizontal="center" vertical="center"/>
    </xf>
    <xf numFmtId="166" fontId="37" fillId="0" borderId="0" xfId="0" applyNumberFormat="1" applyFont="1" applyFill="1" applyBorder="1" applyAlignment="1">
      <alignment horizontal="center" vertical="center"/>
    </xf>
    <xf numFmtId="168" fontId="37" fillId="0" borderId="0" xfId="0" applyNumberFormat="1" applyFont="1" applyFill="1" applyBorder="1" applyAlignment="1" applyProtection="1">
      <alignment horizontal="center" vertical="center"/>
    </xf>
    <xf numFmtId="168" fontId="37" fillId="0" borderId="0" xfId="0" applyNumberFormat="1" applyFont="1" applyFill="1" applyBorder="1" applyAlignment="1">
      <alignment horizontal="center" vertical="center"/>
    </xf>
    <xf numFmtId="170" fontId="37" fillId="0" borderId="0" xfId="0" applyNumberFormat="1" applyFont="1" applyFill="1" applyBorder="1" applyAlignment="1" applyProtection="1">
      <alignment horizontal="center" vertical="center"/>
      <protection locked="0"/>
    </xf>
    <xf numFmtId="171" fontId="37" fillId="0" borderId="0" xfId="0" applyNumberFormat="1" applyFont="1" applyFill="1" applyBorder="1" applyAlignment="1" applyProtection="1">
      <alignment horizontal="center" vertical="center"/>
    </xf>
    <xf numFmtId="186" fontId="37" fillId="9" borderId="6" xfId="0" quotePrefix="1" applyNumberFormat="1" applyFont="1" applyFill="1" applyBorder="1" applyAlignment="1" applyProtection="1">
      <alignment horizontal="center" vertical="center"/>
    </xf>
    <xf numFmtId="165" fontId="37" fillId="9" borderId="6" xfId="1" applyFont="1" applyFill="1" applyBorder="1" applyAlignment="1" applyProtection="1">
      <alignment horizontal="center" vertical="center"/>
    </xf>
    <xf numFmtId="185" fontId="37" fillId="9" borderId="9" xfId="0" applyNumberFormat="1" applyFont="1" applyFill="1" applyBorder="1" applyAlignment="1" applyProtection="1">
      <alignment horizontal="center" vertical="center"/>
    </xf>
    <xf numFmtId="186" fontId="37" fillId="0" borderId="9" xfId="0" applyNumberFormat="1" applyFont="1" applyFill="1" applyBorder="1" applyAlignment="1" applyProtection="1">
      <alignment horizontal="center" vertical="center"/>
    </xf>
    <xf numFmtId="169" fontId="37" fillId="0" borderId="9" xfId="0" applyNumberFormat="1" applyFont="1" applyFill="1" applyBorder="1" applyAlignment="1">
      <alignment horizontal="center" vertical="center"/>
    </xf>
    <xf numFmtId="0" fontId="37" fillId="0" borderId="9" xfId="0" applyFont="1" applyFill="1" applyBorder="1" applyAlignment="1" applyProtection="1">
      <alignment horizontal="distributed" vertical="distributed" wrapText="1"/>
      <protection locked="0"/>
    </xf>
    <xf numFmtId="0" fontId="37" fillId="0" borderId="0" xfId="0" applyFont="1" applyFill="1" applyBorder="1" applyAlignment="1" applyProtection="1">
      <alignment vertical="center" wrapText="1"/>
      <protection locked="0"/>
    </xf>
    <xf numFmtId="0" fontId="37" fillId="0" borderId="0" xfId="0" applyFont="1" applyFill="1" applyBorder="1" applyAlignment="1" applyProtection="1">
      <alignment vertical="center" wrapText="1"/>
    </xf>
    <xf numFmtId="0" fontId="37" fillId="4" borderId="5" xfId="0" applyFont="1" applyFill="1" applyBorder="1" applyAlignment="1">
      <alignment vertical="center" wrapText="1"/>
    </xf>
    <xf numFmtId="0" fontId="37" fillId="4" borderId="9" xfId="0" applyFont="1" applyFill="1" applyBorder="1" applyAlignment="1">
      <alignment vertical="center" wrapText="1"/>
    </xf>
    <xf numFmtId="0" fontId="37" fillId="4" borderId="9" xfId="0" applyFont="1" applyFill="1" applyBorder="1" applyAlignment="1">
      <alignment vertical="center"/>
    </xf>
    <xf numFmtId="0" fontId="37" fillId="4" borderId="0" xfId="0" applyFont="1" applyFill="1" applyBorder="1" applyAlignment="1">
      <alignment vertical="center" wrapText="1"/>
    </xf>
    <xf numFmtId="0" fontId="37" fillId="0" borderId="9" xfId="0" applyFont="1" applyFill="1" applyBorder="1" applyAlignment="1">
      <alignment vertical="center" wrapText="1"/>
    </xf>
    <xf numFmtId="0" fontId="37" fillId="0" borderId="7" xfId="0" applyFont="1" applyFill="1" applyBorder="1" applyAlignment="1">
      <alignment vertical="center" wrapText="1"/>
    </xf>
    <xf numFmtId="0" fontId="37" fillId="0" borderId="0" xfId="0" applyFont="1" applyFill="1" applyBorder="1" applyAlignment="1">
      <alignment vertical="center" wrapText="1"/>
    </xf>
    <xf numFmtId="0" fontId="37" fillId="0" borderId="7" xfId="0" quotePrefix="1" applyFont="1" applyFill="1" applyBorder="1" applyAlignment="1" applyProtection="1">
      <alignment vertical="center" wrapText="1"/>
    </xf>
    <xf numFmtId="0" fontId="37" fillId="9" borderId="1" xfId="0" applyFont="1" applyFill="1" applyBorder="1" applyAlignment="1" applyProtection="1">
      <alignment horizontal="center" vertical="center"/>
      <protection locked="0"/>
    </xf>
    <xf numFmtId="0" fontId="37" fillId="0" borderId="9" xfId="0" applyFont="1" applyFill="1" applyBorder="1" applyAlignment="1" applyProtection="1">
      <alignment vertical="center" wrapText="1"/>
      <protection locked="0"/>
    </xf>
    <xf numFmtId="169" fontId="37" fillId="0" borderId="6" xfId="0" applyNumberFormat="1" applyFont="1" applyFill="1" applyBorder="1" applyAlignment="1" applyProtection="1">
      <alignment vertical="center"/>
      <protection locked="0"/>
    </xf>
    <xf numFmtId="0" fontId="37" fillId="0" borderId="9" xfId="0" applyFont="1" applyFill="1" applyBorder="1" applyAlignment="1">
      <alignment horizontal="center" vertical="center"/>
    </xf>
    <xf numFmtId="170" fontId="37" fillId="0" borderId="9" xfId="0" applyNumberFormat="1" applyFont="1" applyFill="1" applyBorder="1" applyAlignment="1" applyProtection="1">
      <alignment horizontal="center" vertical="center"/>
      <protection locked="0"/>
    </xf>
    <xf numFmtId="169" fontId="37" fillId="0" borderId="5" xfId="0" applyNumberFormat="1" applyFont="1" applyFill="1" applyBorder="1" applyAlignment="1" applyProtection="1">
      <alignment vertical="center"/>
      <protection locked="0"/>
    </xf>
    <xf numFmtId="0" fontId="37" fillId="0" borderId="8" xfId="0" applyFont="1" applyFill="1" applyBorder="1" applyAlignment="1">
      <alignment horizontal="center" vertical="center"/>
    </xf>
    <xf numFmtId="170" fontId="37" fillId="0" borderId="8" xfId="0" applyNumberFormat="1" applyFont="1" applyFill="1" applyBorder="1" applyAlignment="1" applyProtection="1">
      <alignment horizontal="center" vertical="center"/>
      <protection locked="0"/>
    </xf>
    <xf numFmtId="170" fontId="37" fillId="0" borderId="12" xfId="0" applyNumberFormat="1" applyFont="1" applyFill="1" applyBorder="1" applyAlignment="1" applyProtection="1">
      <alignment horizontal="center" vertical="center"/>
      <protection locked="0"/>
    </xf>
    <xf numFmtId="0" fontId="37" fillId="0" borderId="1" xfId="0" applyFont="1" applyFill="1" applyBorder="1" applyAlignment="1" applyProtection="1">
      <alignment horizontal="distributed" vertical="distributed" wrapText="1"/>
      <protection locked="0"/>
    </xf>
    <xf numFmtId="0" fontId="37" fillId="0" borderId="1" xfId="0" applyNumberFormat="1" applyFont="1" applyFill="1" applyBorder="1" applyAlignment="1" applyProtection="1">
      <alignment horizontal="center" vertical="center" wrapText="1"/>
      <protection locked="0"/>
    </xf>
    <xf numFmtId="0" fontId="51" fillId="0" borderId="1" xfId="4" applyFont="1" applyBorder="1" applyAlignment="1">
      <alignment horizontal="center" vertical="center"/>
    </xf>
    <xf numFmtId="14" fontId="51" fillId="0" borderId="0" xfId="4" applyNumberFormat="1" applyFont="1">
      <alignment vertical="center"/>
    </xf>
    <xf numFmtId="0" fontId="51" fillId="0" borderId="0" xfId="4" applyFont="1" applyAlignment="1">
      <alignment horizontal="center" vertical="center"/>
    </xf>
    <xf numFmtId="0" fontId="37" fillId="0" borderId="1"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xf>
    <xf numFmtId="0" fontId="51" fillId="0" borderId="1" xfId="4" quotePrefix="1" applyFont="1" applyBorder="1" applyAlignment="1">
      <alignment horizontal="center" vertical="center"/>
    </xf>
    <xf numFmtId="0" fontId="217" fillId="0" borderId="0" xfId="4" applyFont="1" applyBorder="1" applyAlignment="1">
      <alignment horizontal="center" vertical="center"/>
    </xf>
    <xf numFmtId="0" fontId="51" fillId="0" borderId="0" xfId="4" applyFont="1" applyBorder="1">
      <alignment vertical="center"/>
    </xf>
    <xf numFmtId="0" fontId="51" fillId="0" borderId="0" xfId="4" applyFont="1" applyBorder="1" applyAlignment="1">
      <alignment horizontal="center" vertical="center"/>
    </xf>
    <xf numFmtId="0" fontId="51" fillId="11" borderId="1" xfId="4" applyFont="1" applyFill="1" applyBorder="1">
      <alignment vertical="center"/>
    </xf>
    <xf numFmtId="0" fontId="51" fillId="11" borderId="1" xfId="4" applyFont="1" applyFill="1" applyBorder="1" applyAlignment="1">
      <alignment horizontal="center" vertical="center"/>
    </xf>
    <xf numFmtId="0" fontId="23" fillId="0" borderId="0" xfId="4" applyFont="1" applyAlignment="1">
      <alignment horizontal="center" vertical="center"/>
    </xf>
    <xf numFmtId="0" fontId="23" fillId="0" borderId="1" xfId="4" applyFont="1" applyBorder="1" applyAlignment="1">
      <alignment horizontal="center" vertical="center"/>
    </xf>
    <xf numFmtId="0" fontId="13" fillId="11" borderId="1" xfId="4" applyFont="1" applyFill="1" applyBorder="1" applyAlignment="1">
      <alignment horizontal="center" vertical="center"/>
    </xf>
    <xf numFmtId="168" fontId="37" fillId="11" borderId="1" xfId="4" applyNumberFormat="1" applyFont="1" applyFill="1" applyBorder="1" applyAlignment="1">
      <alignment horizontal="center" vertical="center"/>
    </xf>
    <xf numFmtId="0" fontId="23" fillId="0" borderId="1" xfId="4" applyFont="1" applyBorder="1" applyAlignment="1">
      <alignment horizontal="center" vertical="center" wrapText="1"/>
    </xf>
    <xf numFmtId="0" fontId="13" fillId="11" borderId="1" xfId="0" applyFont="1" applyFill="1" applyBorder="1" applyAlignment="1">
      <alignment horizontal="center" vertical="center" shrinkToFit="1"/>
    </xf>
    <xf numFmtId="0" fontId="13" fillId="11" borderId="1" xfId="4" applyFont="1" applyFill="1" applyBorder="1" applyAlignment="1">
      <alignment horizontal="center" vertical="center" shrinkToFit="1"/>
    </xf>
    <xf numFmtId="0" fontId="23" fillId="0" borderId="0" xfId="4" applyFont="1" applyBorder="1" applyAlignment="1">
      <alignment horizontal="center" vertical="center"/>
    </xf>
    <xf numFmtId="187" fontId="37" fillId="11" borderId="1" xfId="4" applyNumberFormat="1" applyFont="1" applyFill="1" applyBorder="1" applyAlignment="1">
      <alignment horizontal="center" vertical="center"/>
    </xf>
    <xf numFmtId="0" fontId="23" fillId="11" borderId="1" xfId="4" applyFont="1" applyFill="1" applyBorder="1" applyAlignment="1">
      <alignment horizontal="center" vertical="center"/>
    </xf>
    <xf numFmtId="0" fontId="13" fillId="0" borderId="1" xfId="4" applyFont="1" applyFill="1" applyBorder="1" applyAlignment="1">
      <alignment horizontal="center" vertical="center"/>
    </xf>
    <xf numFmtId="0" fontId="51" fillId="0" borderId="1" xfId="4" applyFont="1" applyFill="1" applyBorder="1" applyAlignment="1">
      <alignment horizontal="center" vertical="center"/>
    </xf>
    <xf numFmtId="0" fontId="67" fillId="0" borderId="0" xfId="4" applyFont="1">
      <alignment vertical="center"/>
    </xf>
    <xf numFmtId="14" fontId="74" fillId="5" borderId="0" xfId="4" applyNumberFormat="1" applyFont="1" applyFill="1">
      <alignment vertical="center"/>
    </xf>
    <xf numFmtId="0" fontId="104" fillId="0" borderId="13" xfId="8" applyFont="1" applyFill="1" applyBorder="1" applyAlignment="1" applyProtection="1">
      <alignment vertical="center" wrapText="1"/>
    </xf>
    <xf numFmtId="0" fontId="104" fillId="0" borderId="8" xfId="8" applyFont="1" applyFill="1" applyBorder="1" applyAlignment="1" applyProtection="1">
      <alignment vertical="center" wrapText="1"/>
    </xf>
    <xf numFmtId="0" fontId="104" fillId="0" borderId="12" xfId="8" applyFont="1" applyFill="1" applyBorder="1" applyAlignment="1" applyProtection="1">
      <alignment vertical="center" wrapText="1"/>
    </xf>
    <xf numFmtId="0" fontId="104" fillId="0" borderId="91" xfId="8" applyFont="1" applyFill="1" applyBorder="1" applyAlignment="1" applyProtection="1">
      <alignment vertical="center" wrapText="1"/>
    </xf>
    <xf numFmtId="0" fontId="104" fillId="0" borderId="73" xfId="8" applyFont="1" applyFill="1" applyBorder="1" applyAlignment="1" applyProtection="1">
      <alignment vertical="center" wrapText="1"/>
    </xf>
    <xf numFmtId="0" fontId="104" fillId="0" borderId="74" xfId="8" applyFont="1" applyFill="1" applyBorder="1" applyAlignment="1" applyProtection="1">
      <alignment vertical="center" wrapText="1"/>
    </xf>
    <xf numFmtId="0" fontId="104" fillId="0" borderId="65" xfId="8" applyFont="1" applyFill="1" applyBorder="1" applyAlignment="1" applyProtection="1">
      <alignment vertical="center" wrapText="1"/>
    </xf>
    <xf numFmtId="0" fontId="104" fillId="0" borderId="0" xfId="8" applyFont="1" applyFill="1" applyBorder="1" applyAlignment="1" applyProtection="1">
      <alignment vertical="center" wrapText="1"/>
    </xf>
    <xf numFmtId="0" fontId="104" fillId="0" borderId="16" xfId="8" applyFont="1" applyFill="1" applyBorder="1" applyAlignment="1" applyProtection="1">
      <alignment vertical="center" wrapText="1"/>
    </xf>
    <xf numFmtId="170" fontId="13" fillId="0" borderId="1" xfId="0" applyNumberFormat="1" applyFont="1" applyFill="1" applyBorder="1" applyAlignment="1">
      <alignment horizontal="center" vertical="center"/>
    </xf>
    <xf numFmtId="170" fontId="31" fillId="13" borderId="1" xfId="0" applyNumberFormat="1" applyFont="1" applyFill="1" applyBorder="1" applyAlignment="1" applyProtection="1">
      <alignment horizontal="center" vertical="center"/>
      <protection locked="0"/>
    </xf>
    <xf numFmtId="170" fontId="31" fillId="0" borderId="0" xfId="0" applyNumberFormat="1" applyFont="1" applyFill="1" applyBorder="1" applyAlignment="1" applyProtection="1">
      <alignment horizontal="center" vertical="center"/>
      <protection locked="0"/>
    </xf>
    <xf numFmtId="170" fontId="13" fillId="0" borderId="1" xfId="0" applyNumberFormat="1" applyFont="1" applyFill="1" applyBorder="1" applyAlignment="1" applyProtection="1">
      <alignment horizontal="center" vertical="center"/>
      <protection locked="0"/>
    </xf>
    <xf numFmtId="0" fontId="98" fillId="0" borderId="1" xfId="84" applyFill="1" applyBorder="1" applyAlignment="1" applyProtection="1">
      <alignment horizontal="left" vertical="center"/>
    </xf>
    <xf numFmtId="0" fontId="37" fillId="0" borderId="1" xfId="0" applyFont="1" applyFill="1" applyBorder="1" applyAlignment="1" applyProtection="1">
      <alignment horizontal="center" vertical="center" wrapText="1"/>
      <protection locked="0"/>
    </xf>
    <xf numFmtId="0" fontId="37" fillId="0" borderId="1" xfId="0" applyFont="1" applyFill="1" applyBorder="1" applyAlignment="1">
      <alignment horizontal="center" vertical="center"/>
    </xf>
    <xf numFmtId="0" fontId="37" fillId="0" borderId="3" xfId="0" applyFont="1" applyFill="1" applyBorder="1" applyAlignment="1" applyProtection="1">
      <alignment horizontal="center" vertical="center" wrapText="1"/>
    </xf>
    <xf numFmtId="0" fontId="37" fillId="14" borderId="3" xfId="0" applyFont="1" applyFill="1" applyBorder="1" applyAlignment="1">
      <alignment horizontal="center" vertical="center"/>
    </xf>
    <xf numFmtId="0" fontId="37" fillId="14" borderId="5" xfId="0" applyFont="1" applyFill="1" applyBorder="1" applyAlignment="1">
      <alignment horizontal="center" vertical="center"/>
    </xf>
    <xf numFmtId="0" fontId="16" fillId="0" borderId="5" xfId="8" applyFont="1" applyFill="1" applyBorder="1" applyAlignment="1" applyProtection="1">
      <alignment horizontal="center" vertical="center" wrapText="1"/>
    </xf>
    <xf numFmtId="0" fontId="16" fillId="0" borderId="6" xfId="8" applyFont="1" applyFill="1" applyBorder="1" applyAlignment="1" applyProtection="1">
      <alignment horizontal="center" vertical="center" wrapText="1"/>
    </xf>
    <xf numFmtId="0" fontId="49" fillId="0" borderId="3" xfId="0" applyFont="1" applyFill="1" applyBorder="1" applyAlignment="1">
      <alignment horizontal="center" vertical="center" wrapText="1"/>
    </xf>
    <xf numFmtId="169" fontId="49" fillId="0" borderId="3" xfId="0" applyNumberFormat="1" applyFont="1" applyFill="1" applyBorder="1" applyAlignment="1">
      <alignment horizontal="center" vertical="center"/>
    </xf>
    <xf numFmtId="167" fontId="57" fillId="0" borderId="13" xfId="0" applyNumberFormat="1" applyFont="1" applyFill="1" applyBorder="1" applyAlignment="1" applyProtection="1">
      <alignment horizontal="center" vertical="center"/>
    </xf>
    <xf numFmtId="177" fontId="49" fillId="0" borderId="93" xfId="0" applyNumberFormat="1" applyFont="1" applyFill="1" applyBorder="1" applyAlignment="1" applyProtection="1">
      <alignment horizontal="center" vertical="center"/>
    </xf>
    <xf numFmtId="166" fontId="49" fillId="0" borderId="3" xfId="0" applyNumberFormat="1" applyFont="1" applyFill="1" applyBorder="1" applyAlignment="1" applyProtection="1">
      <alignment horizontal="center" vertical="center"/>
    </xf>
    <xf numFmtId="0" fontId="51" fillId="0" borderId="3" xfId="8" applyFont="1" applyFill="1" applyBorder="1" applyAlignment="1" applyProtection="1">
      <alignment horizontal="center" vertical="center" wrapText="1"/>
      <protection locked="0"/>
    </xf>
    <xf numFmtId="0" fontId="49" fillId="0" borderId="94" xfId="0" applyFont="1" applyFill="1" applyBorder="1" applyAlignment="1" applyProtection="1">
      <alignment vertical="center"/>
    </xf>
    <xf numFmtId="0" fontId="49" fillId="0" borderId="92" xfId="0" applyFont="1" applyFill="1" applyBorder="1" applyAlignment="1">
      <alignment horizontal="center" vertical="center"/>
    </xf>
    <xf numFmtId="0" fontId="49" fillId="0" borderId="92" xfId="0" applyFont="1" applyFill="1" applyBorder="1" applyAlignment="1">
      <alignment horizontal="center" vertical="center" wrapText="1"/>
    </xf>
    <xf numFmtId="169" fontId="49" fillId="0" borderId="92" xfId="0" applyNumberFormat="1" applyFont="1" applyFill="1" applyBorder="1" applyAlignment="1">
      <alignment horizontal="center" vertical="center"/>
    </xf>
    <xf numFmtId="167" fontId="57" fillId="0" borderId="95" xfId="0" applyNumberFormat="1" applyFont="1" applyFill="1" applyBorder="1" applyAlignment="1" applyProtection="1">
      <alignment horizontal="center" vertical="center"/>
    </xf>
    <xf numFmtId="177" fontId="49" fillId="0" borderId="98" xfId="0" applyNumberFormat="1" applyFont="1" applyFill="1" applyBorder="1" applyAlignment="1" applyProtection="1">
      <alignment horizontal="center" vertical="center"/>
    </xf>
    <xf numFmtId="166" fontId="49" fillId="0" borderId="92" xfId="0" applyNumberFormat="1" applyFont="1" applyFill="1" applyBorder="1" applyAlignment="1" applyProtection="1">
      <alignment horizontal="center" vertical="center"/>
    </xf>
    <xf numFmtId="0" fontId="49" fillId="0" borderId="92" xfId="0" applyNumberFormat="1" applyFont="1" applyFill="1" applyBorder="1" applyAlignment="1" applyProtection="1">
      <alignment horizontal="center" vertical="center"/>
    </xf>
    <xf numFmtId="0" fontId="37" fillId="0" borderId="1" xfId="0" applyFont="1" applyFill="1" applyBorder="1" applyAlignment="1" applyProtection="1">
      <alignment vertical="center"/>
    </xf>
    <xf numFmtId="169" fontId="23" fillId="0" borderId="1" xfId="0" applyNumberFormat="1" applyFont="1" applyFill="1" applyBorder="1" applyAlignment="1" applyProtection="1">
      <alignment horizontal="center" vertical="center"/>
      <protection locked="0"/>
    </xf>
    <xf numFmtId="0" fontId="104" fillId="0" borderId="1" xfId="0" applyNumberFormat="1" applyFont="1" applyFill="1" applyBorder="1" applyAlignment="1" applyProtection="1">
      <alignment horizontal="center" vertical="center" wrapText="1"/>
    </xf>
    <xf numFmtId="0" fontId="220" fillId="0" borderId="1" xfId="0" applyNumberFormat="1" applyFont="1" applyFill="1" applyBorder="1" applyAlignment="1" applyProtection="1">
      <alignment horizontal="center" vertical="center" wrapText="1"/>
    </xf>
    <xf numFmtId="0" fontId="220" fillId="0" borderId="1" xfId="0" applyNumberFormat="1" applyFont="1" applyFill="1" applyBorder="1" applyAlignment="1">
      <alignment horizontal="center" vertical="center" wrapText="1"/>
    </xf>
    <xf numFmtId="0" fontId="220" fillId="0" borderId="9" xfId="0" applyFont="1" applyFill="1" applyBorder="1" applyAlignment="1" applyProtection="1">
      <alignment horizontal="centerContinuous" vertical="center"/>
    </xf>
    <xf numFmtId="0" fontId="220" fillId="0" borderId="6" xfId="0" applyNumberFormat="1" applyFont="1" applyFill="1" applyBorder="1" applyAlignment="1">
      <alignment horizontal="center" vertical="center" wrapText="1"/>
    </xf>
    <xf numFmtId="0" fontId="220" fillId="0" borderId="7" xfId="0" applyFont="1" applyFill="1" applyBorder="1" applyAlignment="1">
      <alignment horizontal="center" vertical="center"/>
    </xf>
    <xf numFmtId="0" fontId="220" fillId="0" borderId="0" xfId="0" applyFont="1" applyFill="1" applyAlignment="1">
      <alignment horizontal="center" vertical="center"/>
    </xf>
    <xf numFmtId="0" fontId="221" fillId="0" borderId="0" xfId="0" applyFont="1" applyFill="1" applyAlignment="1">
      <alignment horizontal="centerContinuous" vertical="center"/>
    </xf>
    <xf numFmtId="0" fontId="221" fillId="0" borderId="7" xfId="0" applyFont="1" applyFill="1" applyBorder="1" applyAlignment="1">
      <alignment horizontal="centerContinuous" vertical="center"/>
    </xf>
    <xf numFmtId="174" fontId="220" fillId="0" borderId="5" xfId="0" applyNumberFormat="1" applyFont="1" applyFill="1" applyBorder="1" applyAlignment="1" applyProtection="1">
      <alignment vertical="center" wrapText="1"/>
    </xf>
    <xf numFmtId="0" fontId="220" fillId="0" borderId="1" xfId="0" applyFont="1" applyFill="1" applyBorder="1" applyAlignment="1">
      <alignment horizontal="center" vertical="center"/>
    </xf>
    <xf numFmtId="168" fontId="220" fillId="0" borderId="1" xfId="0" applyNumberFormat="1" applyFont="1" applyFill="1" applyBorder="1" applyAlignment="1">
      <alignment horizontal="center" vertical="center"/>
    </xf>
    <xf numFmtId="171" fontId="220" fillId="0" borderId="1" xfId="0" quotePrefix="1" applyNumberFormat="1" applyFont="1" applyFill="1" applyBorder="1" applyAlignment="1">
      <alignment horizontal="center" vertical="center"/>
    </xf>
    <xf numFmtId="168" fontId="220" fillId="0" borderId="1" xfId="0" quotePrefix="1" applyNumberFormat="1" applyFont="1" applyFill="1" applyBorder="1" applyAlignment="1">
      <alignment horizontal="center" vertical="center"/>
    </xf>
    <xf numFmtId="173" fontId="220" fillId="0" borderId="1" xfId="0" applyNumberFormat="1" applyFont="1" applyFill="1" applyBorder="1" applyAlignment="1">
      <alignment horizontal="center" vertical="center"/>
    </xf>
    <xf numFmtId="10" fontId="220" fillId="0" borderId="2" xfId="0" applyNumberFormat="1" applyFont="1" applyFill="1" applyBorder="1" applyAlignment="1">
      <alignment horizontal="center" vertical="center"/>
    </xf>
    <xf numFmtId="166" fontId="220" fillId="0" borderId="1" xfId="0" quotePrefix="1" applyNumberFormat="1" applyFont="1" applyFill="1" applyBorder="1" applyAlignment="1">
      <alignment horizontal="center" vertical="center"/>
    </xf>
    <xf numFmtId="0" fontId="220" fillId="0" borderId="0" xfId="0" applyFont="1" applyFill="1" applyBorder="1" applyAlignment="1" applyProtection="1">
      <alignment horizontal="center" vertical="center" wrapText="1"/>
    </xf>
    <xf numFmtId="0" fontId="220" fillId="0" borderId="6" xfId="0" applyNumberFormat="1" applyFont="1" applyFill="1" applyBorder="1" applyAlignment="1" applyProtection="1">
      <alignment horizontal="center" vertical="center" wrapText="1"/>
    </xf>
    <xf numFmtId="0" fontId="220" fillId="0" borderId="2" xfId="0" applyNumberFormat="1" applyFont="1" applyFill="1" applyBorder="1" applyAlignment="1" applyProtection="1">
      <alignment horizontal="center" vertical="center" wrapText="1"/>
    </xf>
    <xf numFmtId="0" fontId="220" fillId="0" borderId="5" xfId="0" applyNumberFormat="1" applyFont="1" applyFill="1" applyBorder="1" applyAlignment="1" applyProtection="1">
      <alignment horizontal="center" vertical="center" wrapText="1"/>
    </xf>
    <xf numFmtId="173" fontId="220" fillId="0" borderId="1" xfId="7" applyNumberFormat="1" applyFont="1" applyFill="1" applyBorder="1" applyAlignment="1">
      <alignment horizontal="center" vertical="center"/>
    </xf>
    <xf numFmtId="0" fontId="220" fillId="0" borderId="9" xfId="0" applyNumberFormat="1" applyFont="1" applyFill="1" applyBorder="1" applyAlignment="1">
      <alignment horizontal="center" vertical="center" wrapText="1"/>
    </xf>
    <xf numFmtId="0" fontId="220" fillId="0" borderId="5" xfId="0" applyNumberFormat="1" applyFont="1" applyFill="1" applyBorder="1" applyAlignment="1">
      <alignment horizontal="center" vertical="center"/>
    </xf>
    <xf numFmtId="0" fontId="223" fillId="0" borderId="0" xfId="0" applyFont="1" applyFill="1" applyAlignment="1">
      <alignment horizontal="centerContinuous" vertical="center"/>
    </xf>
    <xf numFmtId="0" fontId="223" fillId="0" borderId="7" xfId="0" applyFont="1" applyFill="1" applyBorder="1" applyAlignment="1">
      <alignment horizontal="centerContinuous" vertical="center"/>
    </xf>
    <xf numFmtId="0" fontId="49" fillId="13" borderId="6" xfId="0" applyFont="1" applyFill="1" applyBorder="1" applyAlignment="1" applyProtection="1">
      <alignment vertical="center" wrapText="1"/>
    </xf>
    <xf numFmtId="0" fontId="49" fillId="0" borderId="1" xfId="8" applyNumberFormat="1" applyFont="1" applyFill="1" applyBorder="1" applyAlignment="1" applyProtection="1">
      <alignment horizontal="center" vertical="center" wrapText="1"/>
    </xf>
    <xf numFmtId="0" fontId="49" fillId="0" borderId="7" xfId="0" applyFont="1" applyFill="1" applyBorder="1" applyAlignment="1" applyProtection="1">
      <alignment vertical="center"/>
    </xf>
    <xf numFmtId="0" fontId="49" fillId="0" borderId="7" xfId="0" applyFont="1" applyFill="1" applyBorder="1" applyAlignment="1">
      <alignment horizontal="center" vertical="center"/>
    </xf>
    <xf numFmtId="0" fontId="49" fillId="0" borderId="6" xfId="0" applyNumberFormat="1" applyFont="1" applyFill="1" applyBorder="1" applyAlignment="1">
      <alignment horizontal="center" vertical="center" wrapText="1"/>
    </xf>
    <xf numFmtId="174" fontId="49" fillId="0" borderId="5" xfId="0" applyNumberFormat="1" applyFont="1" applyFill="1" applyBorder="1" applyAlignment="1" applyProtection="1">
      <alignment vertical="center" wrapText="1"/>
    </xf>
    <xf numFmtId="10" fontId="49" fillId="0" borderId="1" xfId="7" applyNumberFormat="1" applyFont="1" applyFill="1" applyBorder="1" applyAlignment="1">
      <alignment horizontal="center" vertical="center"/>
    </xf>
    <xf numFmtId="168" fontId="49" fillId="0" borderId="1" xfId="0" quotePrefix="1" applyNumberFormat="1" applyFont="1" applyFill="1" applyBorder="1" applyAlignment="1">
      <alignment horizontal="center" vertical="center"/>
    </xf>
    <xf numFmtId="0" fontId="49" fillId="0" borderId="6" xfId="0" applyNumberFormat="1" applyFont="1" applyFill="1" applyBorder="1" applyAlignment="1" applyProtection="1">
      <alignment horizontal="center" vertical="center" wrapText="1"/>
    </xf>
    <xf numFmtId="0" fontId="49" fillId="0" borderId="2" xfId="0" applyNumberFormat="1" applyFont="1" applyFill="1" applyBorder="1" applyAlignment="1" applyProtection="1">
      <alignment horizontal="center" vertical="center" wrapText="1"/>
    </xf>
    <xf numFmtId="171" fontId="49" fillId="0" borderId="1" xfId="0" applyNumberFormat="1" applyFont="1" applyFill="1" applyBorder="1" applyAlignment="1">
      <alignment horizontal="center" vertical="center"/>
    </xf>
    <xf numFmtId="173" fontId="49" fillId="0" borderId="1" xfId="7" applyNumberFormat="1" applyFont="1" applyFill="1" applyBorder="1" applyAlignment="1">
      <alignment horizontal="center" vertical="center"/>
    </xf>
    <xf numFmtId="0" fontId="49" fillId="0" borderId="5" xfId="0" applyNumberFormat="1" applyFont="1" applyFill="1" applyBorder="1" applyAlignment="1">
      <alignment horizontal="center" vertical="center"/>
    </xf>
    <xf numFmtId="177" fontId="23" fillId="0" borderId="14" xfId="0" applyNumberFormat="1"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2" xfId="0" applyFont="1" applyFill="1" applyBorder="1" applyAlignment="1" applyProtection="1">
      <alignment horizontal="center" vertical="center" wrapText="1"/>
    </xf>
    <xf numFmtId="0" fontId="50" fillId="0" borderId="3" xfId="0" applyFont="1" applyFill="1" applyBorder="1" applyAlignment="1">
      <alignment horizontal="center" vertical="center"/>
    </xf>
    <xf numFmtId="0" fontId="50" fillId="0" borderId="5" xfId="0" applyFont="1" applyFill="1" applyBorder="1" applyAlignment="1">
      <alignment horizontal="center" vertical="center"/>
    </xf>
    <xf numFmtId="0" fontId="37" fillId="0" borderId="5" xfId="0" applyFont="1" applyFill="1" applyBorder="1" applyAlignment="1" applyProtection="1">
      <alignment horizontal="center" vertical="center" wrapText="1"/>
    </xf>
    <xf numFmtId="0" fontId="37" fillId="0" borderId="5" xfId="0" applyFont="1" applyFill="1" applyBorder="1" applyAlignment="1">
      <alignment horizontal="center" vertical="center"/>
    </xf>
    <xf numFmtId="0" fontId="37" fillId="0" borderId="5" xfId="0" applyFont="1" applyFill="1" applyBorder="1" applyAlignment="1" applyProtection="1">
      <alignment horizontal="center" vertical="center" wrapText="1"/>
    </xf>
    <xf numFmtId="0" fontId="9" fillId="0" borderId="1" xfId="0" applyFont="1" applyBorder="1" applyAlignment="1" applyProtection="1">
      <alignment horizontal="center" vertical="center"/>
    </xf>
    <xf numFmtId="0" fontId="50" fillId="0" borderId="5" xfId="0" applyFont="1" applyFill="1" applyBorder="1" applyAlignment="1" applyProtection="1">
      <alignment horizontal="center" vertical="center" wrapText="1"/>
    </xf>
    <xf numFmtId="14" fontId="23" fillId="0" borderId="0" xfId="0" applyNumberFormat="1" applyFont="1" applyFill="1" applyAlignment="1">
      <alignment horizontal="center" vertical="center"/>
    </xf>
    <xf numFmtId="0" fontId="51" fillId="0" borderId="1" xfId="4" applyFont="1" applyBorder="1" applyAlignment="1">
      <alignment horizontal="center" vertical="center"/>
    </xf>
    <xf numFmtId="166" fontId="51" fillId="0" borderId="1" xfId="4" applyNumberFormat="1" applyFont="1" applyBorder="1">
      <alignment vertical="center"/>
    </xf>
    <xf numFmtId="166" fontId="51" fillId="0" borderId="1" xfId="4" applyNumberFormat="1" applyFont="1" applyFill="1" applyBorder="1">
      <alignment vertical="center"/>
    </xf>
    <xf numFmtId="166" fontId="51" fillId="11" borderId="1" xfId="4" applyNumberFormat="1" applyFont="1" applyFill="1" applyBorder="1">
      <alignment vertical="center"/>
    </xf>
    <xf numFmtId="0" fontId="37" fillId="0" borderId="1" xfId="0" applyFont="1" applyFill="1" applyBorder="1" applyAlignment="1" applyProtection="1">
      <alignment horizontal="center" vertical="center" wrapText="1"/>
    </xf>
    <xf numFmtId="173" fontId="67" fillId="0" borderId="0" xfId="7" applyNumberFormat="1" applyFont="1">
      <alignment vertical="center"/>
    </xf>
    <xf numFmtId="171" fontId="67" fillId="0" borderId="1" xfId="4" applyNumberFormat="1" applyFont="1" applyBorder="1" applyAlignment="1">
      <alignment horizontal="center" vertical="center"/>
    </xf>
    <xf numFmtId="173" fontId="67" fillId="0" borderId="1" xfId="7" applyNumberFormat="1" applyFont="1" applyBorder="1">
      <alignment vertical="center"/>
    </xf>
    <xf numFmtId="0" fontId="67" fillId="0" borderId="1" xfId="4" applyFont="1" applyBorder="1" applyAlignment="1">
      <alignment horizontal="center" vertical="center"/>
    </xf>
    <xf numFmtId="0" fontId="23" fillId="0" borderId="1" xfId="0" applyNumberFormat="1" applyFont="1" applyFill="1" applyBorder="1" applyAlignment="1" applyProtection="1">
      <alignment horizontal="center" vertical="center" wrapText="1"/>
    </xf>
    <xf numFmtId="0" fontId="37" fillId="14" borderId="1" xfId="0" applyFont="1" applyFill="1" applyBorder="1" applyAlignment="1">
      <alignment horizontal="left" vertical="center" wrapText="1"/>
    </xf>
    <xf numFmtId="169" fontId="37" fillId="14" borderId="5" xfId="0" applyNumberFormat="1" applyFont="1" applyFill="1" applyBorder="1" applyAlignment="1">
      <alignment horizontal="center" vertical="center"/>
    </xf>
    <xf numFmtId="166" fontId="207" fillId="0" borderId="5" xfId="0" applyNumberFormat="1" applyFont="1" applyFill="1" applyBorder="1" applyAlignment="1">
      <alignment horizontal="center" vertical="center"/>
    </xf>
    <xf numFmtId="179" fontId="17" fillId="5" borderId="0" xfId="0" applyNumberFormat="1" applyFont="1" applyFill="1" applyAlignment="1">
      <alignment horizontal="center" vertical="center"/>
    </xf>
    <xf numFmtId="179" fontId="49" fillId="5" borderId="9" xfId="0" applyNumberFormat="1" applyFont="1" applyFill="1" applyBorder="1" applyAlignment="1">
      <alignment vertical="center" wrapText="1"/>
    </xf>
    <xf numFmtId="179" fontId="74" fillId="0" borderId="9" xfId="0" applyNumberFormat="1" applyFont="1" applyFill="1" applyBorder="1" applyAlignment="1" applyProtection="1">
      <alignment horizontal="center" vertical="center"/>
    </xf>
    <xf numFmtId="0" fontId="13" fillId="0" borderId="0" xfId="0" applyFont="1" applyFill="1" applyBorder="1" applyAlignment="1" applyProtection="1">
      <alignment horizontal="center" vertical="center" wrapText="1"/>
    </xf>
    <xf numFmtId="0" fontId="37" fillId="0" borderId="0" xfId="0" applyFont="1" applyFill="1" applyBorder="1" applyAlignment="1" applyProtection="1">
      <alignment horizontal="center" vertical="center" wrapText="1"/>
      <protection locked="0"/>
    </xf>
    <xf numFmtId="166" fontId="37" fillId="0" borderId="0" xfId="0" applyNumberFormat="1" applyFont="1" applyFill="1" applyBorder="1" applyAlignment="1" applyProtection="1">
      <alignment horizontal="center" vertical="center"/>
    </xf>
    <xf numFmtId="0" fontId="37" fillId="0" borderId="5"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0" fontId="52" fillId="0" borderId="1" xfId="0" applyFont="1" applyBorder="1" applyAlignment="1" applyProtection="1">
      <alignment horizontal="center" vertical="center"/>
    </xf>
    <xf numFmtId="0" fontId="37" fillId="0" borderId="3" xfId="0" applyFont="1" applyFill="1" applyBorder="1" applyAlignment="1" applyProtection="1">
      <alignment horizontal="center" vertical="center" wrapText="1"/>
    </xf>
    <xf numFmtId="0" fontId="13" fillId="5" borderId="1" xfId="4" applyFont="1" applyFill="1" applyBorder="1" applyAlignment="1">
      <alignment horizontal="center" vertical="center" shrinkToFit="1"/>
    </xf>
    <xf numFmtId="0" fontId="227" fillId="13" borderId="1" xfId="4" applyFont="1" applyFill="1" applyBorder="1">
      <alignment vertical="center"/>
    </xf>
    <xf numFmtId="0" fontId="228" fillId="13" borderId="1" xfId="4" applyFont="1" applyFill="1" applyBorder="1">
      <alignment vertical="center"/>
    </xf>
    <xf numFmtId="0" fontId="228" fillId="13" borderId="1" xfId="4" applyFont="1" applyFill="1" applyBorder="1" applyAlignment="1">
      <alignment horizontal="center" vertical="center"/>
    </xf>
    <xf numFmtId="0" fontId="13" fillId="5" borderId="1" xfId="0" applyFont="1" applyFill="1" applyBorder="1" applyAlignment="1">
      <alignment horizontal="center" vertical="center" shrinkToFit="1"/>
    </xf>
    <xf numFmtId="0" fontId="67" fillId="0" borderId="1" xfId="0" applyNumberFormat="1" applyFont="1" applyFill="1" applyBorder="1" applyAlignment="1" applyProtection="1">
      <alignment horizontal="center" vertical="center" wrapText="1"/>
    </xf>
    <xf numFmtId="0" fontId="52" fillId="0" borderId="1" xfId="0" applyFont="1" applyBorder="1" applyAlignment="1" applyProtection="1">
      <alignment horizontal="center" vertical="center"/>
    </xf>
    <xf numFmtId="0" fontId="9" fillId="0" borderId="1" xfId="0" applyFont="1" applyBorder="1" applyAlignment="1" applyProtection="1">
      <alignment horizontal="center" vertical="center"/>
    </xf>
    <xf numFmtId="0" fontId="37" fillId="0" borderId="5" xfId="0" applyFont="1" applyFill="1" applyBorder="1" applyAlignment="1">
      <alignment horizontal="center" vertical="center"/>
    </xf>
    <xf numFmtId="170" fontId="52" fillId="0" borderId="5" xfId="0" applyNumberFormat="1" applyFont="1" applyFill="1" applyBorder="1" applyAlignment="1" applyProtection="1">
      <alignment horizontal="right" vertical="center"/>
    </xf>
    <xf numFmtId="170" fontId="52" fillId="0" borderId="14" xfId="1" applyNumberFormat="1" applyFont="1" applyFill="1" applyBorder="1" applyAlignment="1" applyProtection="1">
      <alignment horizontal="center" vertical="center"/>
    </xf>
    <xf numFmtId="170" fontId="52" fillId="0" borderId="9" xfId="0" applyNumberFormat="1" applyFont="1" applyFill="1" applyBorder="1" applyAlignment="1" applyProtection="1">
      <alignment horizontal="center" vertical="center"/>
    </xf>
    <xf numFmtId="170" fontId="50" fillId="0" borderId="84" xfId="0" applyNumberFormat="1" applyFont="1" applyFill="1" applyBorder="1" applyAlignment="1" applyProtection="1">
      <alignment horizontal="center" vertical="center"/>
    </xf>
    <xf numFmtId="170" fontId="50" fillId="0" borderId="85" xfId="0" applyNumberFormat="1" applyFont="1" applyFill="1" applyBorder="1" applyAlignment="1" applyProtection="1">
      <alignment horizontal="center" vertical="center"/>
    </xf>
    <xf numFmtId="0" fontId="50" fillId="0" borderId="1" xfId="0" applyNumberFormat="1" applyFont="1" applyFill="1" applyBorder="1" applyAlignment="1" applyProtection="1">
      <alignment horizontal="center" vertical="center" wrapText="1"/>
    </xf>
    <xf numFmtId="0" fontId="229" fillId="0" borderId="1" xfId="0" applyFont="1" applyFill="1" applyBorder="1" applyAlignment="1" applyProtection="1">
      <alignment horizontal="center" vertical="center"/>
    </xf>
    <xf numFmtId="0" fontId="51" fillId="0" borderId="6" xfId="0" applyFont="1" applyBorder="1" applyAlignment="1" applyProtection="1">
      <alignment vertical="center" wrapText="1"/>
    </xf>
    <xf numFmtId="0" fontId="49" fillId="0" borderId="5" xfId="0" applyFont="1" applyBorder="1" applyAlignment="1" applyProtection="1">
      <alignment horizontal="center" vertical="center" wrapText="1"/>
    </xf>
    <xf numFmtId="0" fontId="37" fillId="0" borderId="5" xfId="0" applyFont="1" applyFill="1" applyBorder="1" applyAlignment="1" applyProtection="1">
      <alignment horizontal="center" vertical="center" wrapText="1"/>
    </xf>
    <xf numFmtId="20" fontId="145" fillId="5" borderId="9" xfId="0" quotePrefix="1" applyNumberFormat="1" applyFont="1" applyFill="1" applyBorder="1" applyAlignment="1">
      <alignment horizontal="center" vertical="center" wrapText="1"/>
    </xf>
    <xf numFmtId="20" fontId="145" fillId="5" borderId="9" xfId="0" quotePrefix="1" applyNumberFormat="1" applyFont="1" applyFill="1" applyBorder="1" applyAlignment="1">
      <alignment horizontal="right" vertical="center" wrapText="1"/>
    </xf>
    <xf numFmtId="0" fontId="98" fillId="0" borderId="1" xfId="84" applyFill="1" applyBorder="1" applyAlignment="1" applyProtection="1">
      <alignment horizontal="left" vertical="center"/>
    </xf>
    <xf numFmtId="0" fontId="49" fillId="0" borderId="3" xfId="0" applyFont="1" applyFill="1" applyBorder="1" applyAlignment="1" applyProtection="1">
      <alignment horizontal="center" vertical="center"/>
    </xf>
    <xf numFmtId="0" fontId="37" fillId="0" borderId="1" xfId="0" applyFont="1" applyFill="1" applyBorder="1" applyAlignment="1" applyProtection="1">
      <alignment horizontal="center" vertical="center" wrapText="1"/>
    </xf>
    <xf numFmtId="0" fontId="54" fillId="0" borderId="1" xfId="0" applyNumberFormat="1" applyFont="1" applyFill="1" applyBorder="1" applyAlignment="1" applyProtection="1">
      <alignment horizontal="center" vertical="center" wrapText="1"/>
    </xf>
    <xf numFmtId="0" fontId="49" fillId="0" borderId="3" xfId="0" applyFont="1" applyFill="1" applyBorder="1" applyAlignment="1" applyProtection="1">
      <alignment horizontal="center" vertical="center"/>
    </xf>
    <xf numFmtId="0" fontId="52" fillId="0" borderId="5" xfId="0" applyFont="1" applyFill="1" applyBorder="1" applyAlignment="1" applyProtection="1">
      <alignment horizontal="center" vertical="center" wrapText="1"/>
    </xf>
    <xf numFmtId="0" fontId="23" fillId="0" borderId="1" xfId="0" applyNumberFormat="1"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xf>
    <xf numFmtId="0" fontId="23" fillId="0" borderId="6" xfId="0" applyNumberFormat="1" applyFont="1" applyFill="1" applyBorder="1" applyAlignment="1">
      <alignment horizontal="center" vertical="center" wrapText="1"/>
    </xf>
    <xf numFmtId="0" fontId="50" fillId="0" borderId="6" xfId="0" applyNumberFormat="1" applyFont="1" applyFill="1" applyBorder="1" applyAlignment="1">
      <alignment horizontal="center" vertical="center" wrapText="1"/>
    </xf>
    <xf numFmtId="0" fontId="104" fillId="0" borderId="65" xfId="8" applyFont="1" applyFill="1" applyBorder="1" applyAlignment="1" applyProtection="1">
      <alignment horizontal="center" vertical="center" wrapText="1"/>
    </xf>
    <xf numFmtId="0" fontId="37" fillId="0" borderId="90" xfId="0" applyFont="1" applyFill="1" applyBorder="1" applyAlignment="1" applyProtection="1">
      <alignment horizontal="center" vertical="center" wrapText="1"/>
    </xf>
    <xf numFmtId="0" fontId="223" fillId="0" borderId="73" xfId="0" applyFont="1" applyFill="1" applyBorder="1" applyAlignment="1">
      <alignment horizontal="centerContinuous" vertical="center"/>
    </xf>
    <xf numFmtId="0" fontId="49" fillId="13" borderId="9" xfId="0" applyFont="1" applyFill="1" applyBorder="1" applyAlignment="1" applyProtection="1">
      <alignment vertical="center" wrapText="1"/>
    </xf>
    <xf numFmtId="0" fontId="49" fillId="0" borderId="6" xfId="8" applyNumberFormat="1" applyFont="1" applyFill="1" applyBorder="1" applyAlignment="1" applyProtection="1">
      <alignment horizontal="center" vertical="center" wrapText="1"/>
    </xf>
    <xf numFmtId="0" fontId="49" fillId="0" borderId="90" xfId="8" applyNumberFormat="1" applyFont="1" applyFill="1" applyBorder="1" applyAlignment="1" applyProtection="1">
      <alignment horizontal="center" vertical="center"/>
      <protection locked="0"/>
    </xf>
    <xf numFmtId="0" fontId="49" fillId="0" borderId="73" xfId="0" applyFont="1" applyFill="1" applyBorder="1" applyAlignment="1" applyProtection="1">
      <alignment vertical="center"/>
    </xf>
    <xf numFmtId="0" fontId="49" fillId="0" borderId="73" xfId="0" applyFont="1" applyFill="1" applyBorder="1" applyAlignment="1">
      <alignment horizontal="center" vertical="center"/>
    </xf>
    <xf numFmtId="0" fontId="49" fillId="0" borderId="5" xfId="0" applyNumberFormat="1" applyFont="1" applyFill="1" applyBorder="1" applyAlignment="1" applyProtection="1">
      <alignment horizontal="center" vertical="center" wrapText="1"/>
    </xf>
    <xf numFmtId="0" fontId="37" fillId="0" borderId="3" xfId="0" applyFont="1" applyFill="1" applyBorder="1" applyAlignment="1" applyProtection="1">
      <alignment vertical="center" wrapText="1"/>
    </xf>
    <xf numFmtId="179" fontId="51" fillId="0" borderId="73" xfId="0" applyNumberFormat="1" applyFont="1" applyFill="1" applyBorder="1" applyAlignment="1" applyProtection="1">
      <alignment horizontal="center" vertical="center"/>
      <protection locked="0"/>
    </xf>
    <xf numFmtId="182" fontId="144" fillId="0" borderId="73" xfId="0" applyNumberFormat="1" applyFont="1" applyFill="1" applyBorder="1" applyAlignment="1" applyProtection="1">
      <alignment horizontal="center" vertical="center"/>
      <protection locked="0"/>
    </xf>
    <xf numFmtId="182" fontId="51" fillId="0" borderId="7" xfId="0" applyNumberFormat="1" applyFont="1" applyBorder="1" applyAlignment="1" applyProtection="1">
      <alignment horizontal="center" vertical="center"/>
    </xf>
    <xf numFmtId="182" fontId="230" fillId="0" borderId="7" xfId="0" applyNumberFormat="1" applyFont="1" applyFill="1" applyBorder="1" applyAlignment="1" applyProtection="1">
      <alignment horizontal="center" vertical="center"/>
      <protection locked="0"/>
    </xf>
    <xf numFmtId="20" fontId="73" fillId="0" borderId="7" xfId="0" applyNumberFormat="1" applyFont="1" applyBorder="1" applyAlignment="1" applyProtection="1">
      <alignment horizontal="center" vertical="center"/>
    </xf>
    <xf numFmtId="179" fontId="73" fillId="0" borderId="7" xfId="0" applyNumberFormat="1" applyFont="1" applyFill="1" applyBorder="1" applyAlignment="1" applyProtection="1">
      <alignment horizontal="center" vertical="center"/>
      <protection locked="0"/>
    </xf>
    <xf numFmtId="179" fontId="73" fillId="0" borderId="73" xfId="0" applyNumberFormat="1" applyFont="1" applyFill="1" applyBorder="1" applyAlignment="1" applyProtection="1">
      <alignment horizontal="center" vertical="center"/>
      <protection locked="0"/>
    </xf>
    <xf numFmtId="179" fontId="142" fillId="0" borderId="7" xfId="0" applyNumberFormat="1" applyFont="1" applyFill="1" applyBorder="1" applyAlignment="1" applyProtection="1">
      <alignment horizontal="left" vertical="center"/>
      <protection locked="0"/>
    </xf>
    <xf numFmtId="175" fontId="147" fillId="0" borderId="7" xfId="0" applyNumberFormat="1" applyFont="1" applyFill="1" applyBorder="1" applyAlignment="1" applyProtection="1">
      <alignment horizontal="center" vertical="center"/>
    </xf>
    <xf numFmtId="175" fontId="147" fillId="0" borderId="7" xfId="0" applyNumberFormat="1" applyFont="1" applyFill="1" applyBorder="1" applyAlignment="1" applyProtection="1">
      <alignment vertical="center" wrapText="1"/>
    </xf>
    <xf numFmtId="20" fontId="147" fillId="0" borderId="7" xfId="0" applyNumberFormat="1" applyFont="1" applyFill="1" applyBorder="1" applyAlignment="1" applyProtection="1">
      <alignment horizontal="center" vertical="center" wrapText="1"/>
    </xf>
    <xf numFmtId="0" fontId="147" fillId="0" borderId="7" xfId="0" applyFont="1" applyFill="1" applyBorder="1" applyAlignment="1" applyProtection="1">
      <alignment vertical="center" wrapText="1"/>
    </xf>
    <xf numFmtId="0" fontId="147" fillId="0" borderId="0" xfId="0" applyFont="1" applyFill="1" applyBorder="1" applyAlignment="1" applyProtection="1">
      <alignment horizontal="left" vertical="center" wrapText="1"/>
    </xf>
    <xf numFmtId="179" fontId="23" fillId="0" borderId="73" xfId="0" applyNumberFormat="1" applyFont="1" applyFill="1" applyBorder="1" applyAlignment="1" applyProtection="1">
      <alignment horizontal="center" vertical="center"/>
      <protection locked="0"/>
    </xf>
    <xf numFmtId="0" fontId="23" fillId="0" borderId="73" xfId="8" applyFont="1" applyFill="1" applyBorder="1" applyAlignment="1" applyProtection="1">
      <alignment vertical="center" wrapText="1"/>
    </xf>
    <xf numFmtId="14" fontId="23" fillId="0" borderId="73" xfId="8" applyNumberFormat="1" applyFont="1" applyFill="1" applyBorder="1" applyAlignment="1" applyProtection="1">
      <alignment horizontal="center" vertical="center"/>
    </xf>
    <xf numFmtId="14" fontId="39" fillId="0" borderId="73" xfId="8" applyNumberFormat="1" applyFont="1" applyFill="1" applyBorder="1" applyAlignment="1" applyProtection="1">
      <alignment horizontal="left" vertical="center"/>
    </xf>
    <xf numFmtId="0" fontId="13" fillId="0" borderId="9" xfId="0" applyNumberFormat="1" applyFont="1" applyFill="1" applyBorder="1" applyAlignment="1">
      <alignment horizontal="center" vertical="center" wrapText="1"/>
    </xf>
    <xf numFmtId="20" fontId="59" fillId="0" borderId="7" xfId="8" applyNumberFormat="1" applyFont="1" applyFill="1" applyBorder="1" applyAlignment="1" applyProtection="1">
      <alignment horizontal="center" vertical="center" wrapText="1"/>
      <protection locked="0"/>
    </xf>
    <xf numFmtId="179" fontId="39" fillId="0" borderId="7" xfId="0" applyNumberFormat="1" applyFont="1" applyFill="1" applyBorder="1" applyAlignment="1" applyProtection="1">
      <alignment horizontal="center" vertical="center"/>
      <protection locked="0"/>
    </xf>
    <xf numFmtId="0" fontId="64" fillId="0" borderId="9" xfId="0" applyFont="1" applyFill="1" applyBorder="1" applyAlignment="1" applyProtection="1">
      <alignment vertical="center"/>
    </xf>
    <xf numFmtId="175" fontId="129" fillId="0" borderId="7" xfId="0" applyNumberFormat="1" applyFont="1" applyFill="1" applyBorder="1" applyAlignment="1" applyProtection="1">
      <alignment vertical="center" wrapText="1"/>
    </xf>
    <xf numFmtId="20" fontId="129" fillId="0" borderId="7" xfId="0" applyNumberFormat="1" applyFont="1" applyFill="1" applyBorder="1" applyAlignment="1" applyProtection="1">
      <alignment horizontal="center" vertical="center" wrapText="1"/>
    </xf>
    <xf numFmtId="179" fontId="76" fillId="0" borderId="7" xfId="0" applyNumberFormat="1" applyFont="1" applyFill="1" applyBorder="1" applyAlignment="1" applyProtection="1">
      <alignment horizontal="center" vertical="center"/>
      <protection locked="0"/>
    </xf>
    <xf numFmtId="176" fontId="49" fillId="0" borderId="1" xfId="1" applyNumberFormat="1" applyFont="1" applyFill="1" applyBorder="1" applyAlignment="1" applyProtection="1">
      <alignment horizontal="center" vertical="center"/>
    </xf>
    <xf numFmtId="177" fontId="37" fillId="0" borderId="2" xfId="0" applyNumberFormat="1" applyFont="1" applyFill="1" applyBorder="1" applyAlignment="1" applyProtection="1">
      <alignment horizontal="center" vertical="center" wrapText="1"/>
    </xf>
    <xf numFmtId="177" fontId="37" fillId="0" borderId="5" xfId="0" applyNumberFormat="1" applyFont="1" applyFill="1" applyBorder="1" applyAlignment="1" applyProtection="1">
      <alignment horizontal="center" vertical="center" wrapText="1"/>
    </xf>
    <xf numFmtId="177" fontId="37" fillId="0" borderId="9" xfId="0" applyNumberFormat="1" applyFont="1" applyFill="1" applyBorder="1" applyAlignment="1" applyProtection="1">
      <alignment horizontal="center" vertical="center" wrapText="1"/>
    </xf>
    <xf numFmtId="0" fontId="37" fillId="4" borderId="73" xfId="0" applyFont="1" applyFill="1" applyBorder="1" applyAlignment="1" applyProtection="1">
      <alignment horizontal="centerContinuous" vertical="center"/>
    </xf>
    <xf numFmtId="41" fontId="37" fillId="0" borderId="2" xfId="0" applyNumberFormat="1" applyFont="1" applyFill="1" applyBorder="1" applyAlignment="1" applyProtection="1">
      <alignment horizontal="center" vertical="center" wrapText="1"/>
    </xf>
    <xf numFmtId="41" fontId="37" fillId="0" borderId="5" xfId="0" applyNumberFormat="1" applyFont="1" applyFill="1" applyBorder="1" applyAlignment="1" applyProtection="1">
      <alignment vertical="center" wrapText="1"/>
    </xf>
    <xf numFmtId="41" fontId="37" fillId="0" borderId="9" xfId="0" applyNumberFormat="1" applyFont="1" applyFill="1" applyBorder="1" applyAlignment="1" applyProtection="1">
      <alignment vertical="center" wrapText="1"/>
    </xf>
    <xf numFmtId="165" fontId="37" fillId="0" borderId="5" xfId="0" applyNumberFormat="1" applyFont="1" applyFill="1" applyBorder="1" applyAlignment="1">
      <alignment horizontal="center" vertical="center"/>
    </xf>
    <xf numFmtId="165" fontId="37" fillId="0" borderId="14" xfId="0" applyNumberFormat="1" applyFont="1" applyFill="1" applyBorder="1" applyAlignment="1" applyProtection="1">
      <alignment horizontal="center" vertical="center"/>
    </xf>
    <xf numFmtId="165" fontId="37" fillId="0" borderId="0" xfId="0" applyNumberFormat="1" applyFont="1" applyFill="1" applyAlignment="1">
      <alignment horizontal="center" vertical="center"/>
    </xf>
    <xf numFmtId="165" fontId="37" fillId="0" borderId="0" xfId="0" applyNumberFormat="1" applyFont="1" applyFill="1" applyBorder="1" applyAlignment="1">
      <alignment horizontal="center" vertical="center"/>
    </xf>
    <xf numFmtId="183" fontId="37" fillId="0" borderId="1" xfId="0" applyNumberFormat="1" applyFont="1" applyFill="1" applyBorder="1" applyAlignment="1" applyProtection="1">
      <alignment horizontal="center" vertical="center"/>
    </xf>
    <xf numFmtId="167" fontId="23" fillId="0" borderId="5" xfId="0" applyNumberFormat="1" applyFont="1" applyFill="1" applyBorder="1" applyAlignment="1" applyProtection="1">
      <alignment horizontal="center" vertical="center"/>
    </xf>
    <xf numFmtId="166" fontId="23" fillId="0" borderId="1" xfId="0" applyNumberFormat="1" applyFont="1" applyFill="1" applyBorder="1" applyAlignment="1" applyProtection="1">
      <alignment horizontal="center" vertical="center"/>
    </xf>
    <xf numFmtId="0" fontId="23" fillId="0" borderId="1" xfId="0" applyNumberFormat="1" applyFont="1" applyFill="1" applyBorder="1" applyAlignment="1">
      <alignment horizontal="center" vertical="center" wrapText="1"/>
    </xf>
    <xf numFmtId="176" fontId="23" fillId="0" borderId="1" xfId="0" applyNumberFormat="1" applyFont="1" applyFill="1" applyBorder="1" applyAlignment="1" applyProtection="1">
      <alignment horizontal="center" vertical="center"/>
    </xf>
    <xf numFmtId="167" fontId="37" fillId="0" borderId="5" xfId="8" applyNumberFormat="1" applyFont="1" applyFill="1" applyBorder="1" applyAlignment="1" applyProtection="1">
      <alignment horizontal="center" vertical="center"/>
    </xf>
    <xf numFmtId="177" fontId="37" fillId="0" borderId="6" xfId="8" applyNumberFormat="1" applyFont="1" applyFill="1" applyBorder="1" applyAlignment="1" applyProtection="1">
      <alignment horizontal="center" vertical="center"/>
    </xf>
    <xf numFmtId="166" fontId="37" fillId="0" borderId="1" xfId="8" applyNumberFormat="1" applyFont="1" applyFill="1" applyBorder="1" applyAlignment="1" applyProtection="1">
      <alignment horizontal="center" vertical="center"/>
    </xf>
    <xf numFmtId="167" fontId="37" fillId="0" borderId="6" xfId="8" applyNumberFormat="1" applyFont="1" applyFill="1" applyBorder="1" applyAlignment="1" applyProtection="1">
      <alignment horizontal="center" vertical="center"/>
    </xf>
    <xf numFmtId="170" fontId="37" fillId="0" borderId="5" xfId="8" applyNumberFormat="1" applyFont="1" applyFill="1" applyBorder="1" applyAlignment="1" applyProtection="1">
      <alignment vertical="center"/>
    </xf>
    <xf numFmtId="170" fontId="37" fillId="0" borderId="6" xfId="8" applyNumberFormat="1" applyFont="1" applyFill="1" applyBorder="1" applyAlignment="1" applyProtection="1">
      <alignment vertical="center"/>
    </xf>
    <xf numFmtId="176" fontId="37" fillId="0" borderId="6" xfId="8" applyNumberFormat="1" applyFont="1" applyFill="1" applyBorder="1" applyAlignment="1" applyProtection="1">
      <alignment horizontal="center" vertical="center"/>
    </xf>
    <xf numFmtId="0" fontId="37" fillId="0" borderId="99" xfId="0" applyFont="1" applyFill="1" applyBorder="1" applyAlignment="1" applyProtection="1">
      <alignment horizontal="center" vertical="center"/>
    </xf>
    <xf numFmtId="0" fontId="37" fillId="5" borderId="101" xfId="0" applyFont="1" applyFill="1" applyBorder="1" applyAlignment="1" applyProtection="1">
      <alignment horizontal="center" vertical="center"/>
    </xf>
    <xf numFmtId="0" fontId="37" fillId="12" borderId="0" xfId="0" applyFont="1" applyFill="1" applyAlignment="1" applyProtection="1">
      <alignment horizontal="center" vertical="center"/>
    </xf>
    <xf numFmtId="0" fontId="37" fillId="10" borderId="0" xfId="0" applyFont="1" applyFill="1" applyAlignment="1" applyProtection="1">
      <alignment horizontal="center" vertical="center"/>
    </xf>
    <xf numFmtId="0" fontId="37" fillId="0" borderId="102" xfId="0" applyFont="1" applyFill="1" applyBorder="1" applyAlignment="1" applyProtection="1">
      <alignment horizontal="center" vertical="center"/>
    </xf>
    <xf numFmtId="0" fontId="37" fillId="4" borderId="0" xfId="0" applyFont="1" applyFill="1" applyAlignment="1" applyProtection="1">
      <alignment horizontal="center" vertical="center" wrapText="1"/>
    </xf>
    <xf numFmtId="0" fontId="37" fillId="0" borderId="0" xfId="0" applyFont="1" applyFill="1" applyAlignment="1" applyProtection="1">
      <alignment horizontal="left" vertical="center"/>
    </xf>
    <xf numFmtId="0" fontId="17" fillId="0" borderId="0" xfId="0" applyFont="1" applyFill="1" applyAlignment="1" applyProtection="1">
      <alignment horizontal="left" vertical="center"/>
    </xf>
    <xf numFmtId="0" fontId="17" fillId="4" borderId="0" xfId="0" applyFont="1" applyFill="1" applyAlignment="1" applyProtection="1">
      <alignment horizontal="center" vertical="center"/>
    </xf>
    <xf numFmtId="178" fontId="37" fillId="0" borderId="2" xfId="0" applyNumberFormat="1" applyFont="1" applyFill="1" applyBorder="1" applyAlignment="1" applyProtection="1">
      <alignment horizontal="center" vertical="center" wrapText="1"/>
    </xf>
    <xf numFmtId="178" fontId="37" fillId="0" borderId="5" xfId="0" applyNumberFormat="1" applyFont="1" applyFill="1" applyBorder="1" applyAlignment="1" applyProtection="1">
      <alignment vertical="center" wrapText="1"/>
    </xf>
    <xf numFmtId="178" fontId="37" fillId="0" borderId="9" xfId="0" applyNumberFormat="1" applyFont="1" applyFill="1" applyBorder="1" applyAlignment="1" applyProtection="1">
      <alignment vertical="center" wrapText="1"/>
    </xf>
    <xf numFmtId="188" fontId="37" fillId="0" borderId="0" xfId="0" applyNumberFormat="1" applyFont="1" applyFill="1" applyAlignment="1">
      <alignment horizontal="center" vertical="center"/>
    </xf>
    <xf numFmtId="192" fontId="37" fillId="0" borderId="1" xfId="0" applyNumberFormat="1" applyFont="1" applyFill="1" applyBorder="1" applyAlignment="1" applyProtection="1">
      <alignment horizontal="center" vertical="center"/>
    </xf>
    <xf numFmtId="188" fontId="37" fillId="0" borderId="1" xfId="0" applyNumberFormat="1" applyFont="1" applyFill="1" applyBorder="1" applyAlignment="1" applyProtection="1">
      <alignment vertical="center" wrapText="1"/>
    </xf>
    <xf numFmtId="188" fontId="173" fillId="0" borderId="5" xfId="0" applyNumberFormat="1" applyFont="1" applyFill="1" applyBorder="1" applyAlignment="1" applyProtection="1">
      <alignment vertical="center" wrapText="1"/>
    </xf>
    <xf numFmtId="188" fontId="173" fillId="0" borderId="9" xfId="0" applyNumberFormat="1" applyFont="1" applyFill="1" applyBorder="1" applyAlignment="1" applyProtection="1">
      <alignment vertical="center" wrapText="1"/>
    </xf>
    <xf numFmtId="188" fontId="204" fillId="0" borderId="6" xfId="0" applyNumberFormat="1" applyFont="1" applyBorder="1" applyAlignment="1">
      <alignment vertical="center" wrapText="1"/>
    </xf>
    <xf numFmtId="188" fontId="37" fillId="0" borderId="5" xfId="0" applyNumberFormat="1" applyFont="1" applyFill="1" applyBorder="1" applyAlignment="1" applyProtection="1">
      <alignment vertical="center" wrapText="1"/>
    </xf>
    <xf numFmtId="188" fontId="37" fillId="0" borderId="9" xfId="0" applyNumberFormat="1" applyFont="1" applyFill="1" applyBorder="1" applyAlignment="1" applyProtection="1">
      <alignment vertical="center" wrapText="1"/>
    </xf>
    <xf numFmtId="14" fontId="142" fillId="50" borderId="7" xfId="8" applyNumberFormat="1" applyFont="1" applyFill="1" applyBorder="1" applyAlignment="1" applyProtection="1">
      <alignment horizontal="left" vertical="center"/>
      <protection locked="0"/>
    </xf>
    <xf numFmtId="175" fontId="147" fillId="50" borderId="7" xfId="0" applyNumberFormat="1" applyFont="1" applyFill="1" applyBorder="1" applyAlignment="1" applyProtection="1">
      <alignment horizontal="center" vertical="center"/>
    </xf>
    <xf numFmtId="14" fontId="76" fillId="50" borderId="7" xfId="8" applyNumberFormat="1" applyFont="1" applyFill="1" applyBorder="1" applyAlignment="1" applyProtection="1">
      <alignment horizontal="center" vertical="center" wrapText="1"/>
      <protection locked="0"/>
    </xf>
    <xf numFmtId="14" fontId="39" fillId="50" borderId="73" xfId="8" applyNumberFormat="1" applyFont="1" applyFill="1" applyBorder="1" applyAlignment="1" applyProtection="1">
      <alignment horizontal="left" vertical="center"/>
      <protection locked="0"/>
    </xf>
    <xf numFmtId="14" fontId="31" fillId="50" borderId="73" xfId="8" applyNumberFormat="1" applyFont="1" applyFill="1" applyBorder="1" applyAlignment="1" applyProtection="1">
      <alignment horizontal="center" vertical="center"/>
      <protection locked="0"/>
    </xf>
    <xf numFmtId="0" fontId="231" fillId="0" borderId="0" xfId="0" applyFont="1" applyFill="1" applyAlignment="1">
      <alignment horizontal="centerContinuous" vertical="center"/>
    </xf>
    <xf numFmtId="0" fontId="231" fillId="0" borderId="7" xfId="0" applyFont="1" applyFill="1" applyBorder="1" applyAlignment="1">
      <alignment horizontal="centerContinuous" vertical="center"/>
    </xf>
    <xf numFmtId="0" fontId="231" fillId="0" borderId="73" xfId="0" applyFont="1" applyFill="1" applyBorder="1" applyAlignment="1">
      <alignment horizontal="centerContinuous" vertical="center"/>
    </xf>
    <xf numFmtId="0" fontId="232" fillId="13" borderId="6" xfId="0" applyFont="1" applyFill="1" applyBorder="1" applyAlignment="1" applyProtection="1">
      <alignment vertical="center" wrapText="1"/>
    </xf>
    <xf numFmtId="0" fontId="232" fillId="13" borderId="9" xfId="0" applyFont="1" applyFill="1" applyBorder="1" applyAlignment="1" applyProtection="1">
      <alignment vertical="center" wrapText="1"/>
    </xf>
    <xf numFmtId="0" fontId="232" fillId="0" borderId="3" xfId="0" applyFont="1" applyFill="1" applyBorder="1" applyAlignment="1" applyProtection="1">
      <alignment vertical="center" wrapText="1"/>
    </xf>
    <xf numFmtId="0" fontId="232" fillId="0" borderId="90" xfId="0" applyFont="1" applyFill="1" applyBorder="1" applyAlignment="1" applyProtection="1">
      <alignment horizontal="center" vertical="center" wrapText="1"/>
    </xf>
    <xf numFmtId="0" fontId="232" fillId="0" borderId="1" xfId="0" applyNumberFormat="1" applyFont="1" applyFill="1" applyBorder="1" applyAlignment="1" applyProtection="1">
      <alignment horizontal="center" vertical="center" wrapText="1"/>
    </xf>
    <xf numFmtId="0" fontId="232" fillId="0" borderId="1" xfId="0" applyNumberFormat="1" applyFont="1" applyFill="1" applyBorder="1" applyAlignment="1">
      <alignment horizontal="center" vertical="center" wrapText="1"/>
    </xf>
    <xf numFmtId="0" fontId="232" fillId="0" borderId="1" xfId="8" applyNumberFormat="1" applyFont="1" applyFill="1" applyBorder="1" applyAlignment="1" applyProtection="1">
      <alignment horizontal="center" vertical="center" wrapText="1"/>
    </xf>
    <xf numFmtId="172" fontId="232" fillId="0" borderId="1" xfId="8" applyNumberFormat="1" applyFont="1" applyFill="1" applyBorder="1" applyAlignment="1" applyProtection="1">
      <alignment horizontal="center" vertical="center" wrapText="1"/>
    </xf>
    <xf numFmtId="0" fontId="232" fillId="0" borderId="9" xfId="0" applyFont="1" applyFill="1" applyBorder="1" applyAlignment="1" applyProtection="1">
      <alignment horizontal="centerContinuous" vertical="center"/>
    </xf>
    <xf numFmtId="0" fontId="232" fillId="0" borderId="6" xfId="0" applyNumberFormat="1" applyFont="1" applyFill="1" applyBorder="1" applyAlignment="1" applyProtection="1">
      <alignment horizontal="center" vertical="center" wrapText="1"/>
      <protection locked="0"/>
    </xf>
    <xf numFmtId="0" fontId="232" fillId="0" borderId="1" xfId="8" applyNumberFormat="1" applyFont="1" applyFill="1" applyBorder="1" applyAlignment="1" applyProtection="1">
      <alignment horizontal="center" vertical="center"/>
      <protection locked="0"/>
    </xf>
    <xf numFmtId="0" fontId="232" fillId="0" borderId="1" xfId="8" applyNumberFormat="1" applyFont="1" applyFill="1" applyBorder="1" applyAlignment="1" applyProtection="1">
      <alignment horizontal="center" vertical="center" wrapText="1"/>
      <protection locked="0"/>
    </xf>
    <xf numFmtId="0" fontId="232" fillId="0" borderId="15" xfId="8" applyNumberFormat="1" applyFont="1" applyFill="1" applyBorder="1" applyAlignment="1" applyProtection="1">
      <alignment horizontal="center" vertical="center"/>
    </xf>
    <xf numFmtId="0" fontId="232" fillId="0" borderId="73" xfId="8" applyNumberFormat="1" applyFont="1" applyFill="1" applyBorder="1" applyAlignment="1" applyProtection="1">
      <alignment horizontal="center" vertical="center"/>
    </xf>
    <xf numFmtId="0" fontId="232" fillId="0" borderId="3" xfId="0" applyFont="1" applyFill="1" applyBorder="1" applyAlignment="1" applyProtection="1">
      <alignment horizontal="center" vertical="center"/>
    </xf>
    <xf numFmtId="0" fontId="232" fillId="0" borderId="6" xfId="0" applyNumberFormat="1" applyFont="1" applyFill="1" applyBorder="1" applyAlignment="1">
      <alignment horizontal="center" vertical="center" wrapText="1"/>
    </xf>
    <xf numFmtId="0" fontId="232" fillId="0" borderId="7" xfId="0" applyFont="1" applyFill="1" applyBorder="1" applyAlignment="1">
      <alignment horizontal="center" vertical="center"/>
    </xf>
    <xf numFmtId="0" fontId="232" fillId="0" borderId="73" xfId="0" applyFont="1" applyFill="1" applyBorder="1" applyAlignment="1">
      <alignment horizontal="center" vertical="center"/>
    </xf>
    <xf numFmtId="0" fontId="232" fillId="0" borderId="0" xfId="0" applyFont="1" applyFill="1" applyAlignment="1">
      <alignment horizontal="center" vertical="center"/>
    </xf>
    <xf numFmtId="179" fontId="142" fillId="0" borderId="7" xfId="0" applyNumberFormat="1" applyFont="1" applyFill="1" applyBorder="1" applyAlignment="1" applyProtection="1">
      <alignment horizontal="center" vertical="center"/>
      <protection locked="0"/>
    </xf>
    <xf numFmtId="179" fontId="115" fillId="0" borderId="7" xfId="0" applyNumberFormat="1" applyFont="1" applyFill="1" applyBorder="1" applyAlignment="1" applyProtection="1">
      <alignment horizontal="center" vertical="center"/>
      <protection locked="0"/>
    </xf>
    <xf numFmtId="179" fontId="71" fillId="0" borderId="7" xfId="0" applyNumberFormat="1" applyFont="1" applyFill="1" applyBorder="1" applyAlignment="1" applyProtection="1">
      <alignment horizontal="center" vertical="center"/>
      <protection locked="0"/>
    </xf>
    <xf numFmtId="179" fontId="97" fillId="0" borderId="7" xfId="0" applyNumberFormat="1" applyFont="1" applyFill="1" applyBorder="1" applyAlignment="1" applyProtection="1">
      <alignment horizontal="center" vertical="center"/>
      <protection locked="0"/>
    </xf>
    <xf numFmtId="193" fontId="37" fillId="0" borderId="1" xfId="0" applyNumberFormat="1" applyFont="1" applyFill="1" applyBorder="1" applyAlignment="1" applyProtection="1">
      <alignment horizontal="center" vertical="center"/>
    </xf>
    <xf numFmtId="176" fontId="49" fillId="0" borderId="1" xfId="1" applyNumberFormat="1" applyFont="1" applyFill="1" applyBorder="1" applyAlignment="1" applyProtection="1">
      <alignment vertical="center"/>
    </xf>
    <xf numFmtId="169" fontId="37" fillId="0" borderId="1" xfId="0" applyNumberFormat="1" applyFont="1" applyFill="1" applyBorder="1" applyAlignment="1">
      <alignment vertical="center" wrapText="1"/>
    </xf>
    <xf numFmtId="167" fontId="37" fillId="0" borderId="5" xfId="0" applyNumberFormat="1" applyFont="1" applyFill="1" applyBorder="1" applyAlignment="1">
      <alignment vertical="center"/>
    </xf>
    <xf numFmtId="166" fontId="37" fillId="0" borderId="1" xfId="0" applyNumberFormat="1" applyFont="1" applyFill="1" applyBorder="1" applyAlignment="1">
      <alignment vertical="center"/>
    </xf>
    <xf numFmtId="171" fontId="37" fillId="0" borderId="1" xfId="0" applyNumberFormat="1" applyFont="1" applyFill="1" applyBorder="1" applyAlignment="1">
      <alignment vertical="center"/>
    </xf>
    <xf numFmtId="165" fontId="49" fillId="0" borderId="1" xfId="1" applyNumberFormat="1" applyFont="1" applyFill="1" applyBorder="1" applyAlignment="1" applyProtection="1">
      <alignment vertical="center"/>
    </xf>
    <xf numFmtId="166" fontId="37" fillId="0" borderId="5" xfId="0" applyNumberFormat="1" applyFont="1" applyFill="1" applyBorder="1" applyAlignment="1">
      <alignment vertical="center"/>
    </xf>
    <xf numFmtId="171" fontId="37" fillId="0" borderId="6" xfId="0" applyNumberFormat="1" applyFont="1" applyFill="1" applyBorder="1" applyAlignment="1">
      <alignment vertical="center"/>
    </xf>
    <xf numFmtId="0" fontId="37" fillId="0" borderId="6" xfId="0" applyFont="1" applyFill="1" applyBorder="1" applyAlignment="1" applyProtection="1">
      <alignment vertical="center"/>
    </xf>
    <xf numFmtId="0" fontId="37" fillId="0" borderId="1" xfId="0" applyNumberFormat="1" applyFont="1" applyFill="1" applyBorder="1" applyAlignment="1" applyProtection="1">
      <alignment vertical="center"/>
    </xf>
    <xf numFmtId="167" fontId="37" fillId="0" borderId="5" xfId="0" applyNumberFormat="1" applyFont="1" applyFill="1" applyBorder="1" applyAlignment="1" applyProtection="1">
      <alignment vertical="center"/>
      <protection locked="0"/>
    </xf>
    <xf numFmtId="167" fontId="37" fillId="0" borderId="14" xfId="0" applyNumberFormat="1" applyFont="1" applyFill="1" applyBorder="1" applyAlignment="1" applyProtection="1">
      <alignment vertical="center"/>
      <protection locked="0"/>
    </xf>
    <xf numFmtId="173" fontId="49" fillId="0" borderId="1" xfId="7" applyNumberFormat="1" applyFont="1" applyFill="1" applyBorder="1" applyAlignment="1" applyProtection="1">
      <alignment vertical="center"/>
    </xf>
    <xf numFmtId="169" fontId="37" fillId="0" borderId="1" xfId="0" applyNumberFormat="1" applyFont="1" applyFill="1" applyBorder="1" applyAlignment="1">
      <alignment vertical="center"/>
    </xf>
    <xf numFmtId="168" fontId="37" fillId="0" borderId="1" xfId="0" applyNumberFormat="1" applyFont="1" applyFill="1" applyBorder="1" applyAlignment="1">
      <alignment vertical="center"/>
    </xf>
    <xf numFmtId="170" fontId="37" fillId="0" borderId="6" xfId="0" applyNumberFormat="1" applyFont="1" applyFill="1" applyBorder="1" applyAlignment="1" applyProtection="1">
      <alignment vertical="center"/>
      <protection locked="0"/>
    </xf>
    <xf numFmtId="10" fontId="49" fillId="0" borderId="1" xfId="7" applyNumberFormat="1" applyFont="1" applyFill="1" applyBorder="1" applyAlignment="1" applyProtection="1">
      <alignment vertical="center"/>
    </xf>
    <xf numFmtId="0" fontId="23" fillId="13" borderId="0" xfId="0" applyFont="1" applyFill="1" applyAlignment="1">
      <alignment horizontal="left" vertical="center"/>
    </xf>
    <xf numFmtId="0" fontId="232" fillId="0" borderId="6" xfId="0" quotePrefix="1" applyNumberFormat="1" applyFont="1" applyFill="1" applyBorder="1" applyAlignment="1">
      <alignment horizontal="center" vertical="center" wrapText="1"/>
    </xf>
    <xf numFmtId="165" fontId="37" fillId="0" borderId="9" xfId="1" applyFont="1" applyFill="1" applyBorder="1" applyAlignment="1" applyProtection="1">
      <alignment horizontal="center" vertical="center"/>
    </xf>
    <xf numFmtId="177" fontId="37" fillId="0" borderId="5" xfId="0" applyNumberFormat="1"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wrapText="1"/>
    </xf>
    <xf numFmtId="0" fontId="37" fillId="0" borderId="3" xfId="0" applyFont="1" applyFill="1" applyBorder="1" applyAlignment="1" applyProtection="1">
      <alignment horizontal="center" vertical="center"/>
    </xf>
    <xf numFmtId="0" fontId="37" fillId="53" borderId="100" xfId="0" applyFont="1" applyFill="1" applyBorder="1" applyAlignment="1" applyProtection="1">
      <alignment horizontal="center" vertical="center"/>
    </xf>
    <xf numFmtId="16" fontId="232" fillId="0" borderId="1" xfId="0" quotePrefix="1" applyNumberFormat="1" applyFont="1" applyFill="1" applyBorder="1" applyAlignment="1">
      <alignment horizontal="center" vertical="center" wrapText="1"/>
    </xf>
    <xf numFmtId="16" fontId="232" fillId="0" borderId="1" xfId="0" quotePrefix="1" applyNumberFormat="1" applyFont="1" applyFill="1" applyBorder="1" applyAlignment="1" applyProtection="1">
      <alignment horizontal="center" vertical="center" wrapText="1"/>
    </xf>
    <xf numFmtId="165" fontId="37" fillId="0" borderId="5" xfId="1" applyFont="1" applyFill="1" applyBorder="1" applyAlignment="1" applyProtection="1">
      <alignment horizontal="center" vertical="center"/>
    </xf>
    <xf numFmtId="183" fontId="23" fillId="0" borderId="3" xfId="0" applyNumberFormat="1" applyFont="1" applyFill="1" applyBorder="1" applyAlignment="1" applyProtection="1">
      <alignment vertical="center" wrapText="1"/>
    </xf>
    <xf numFmtId="0" fontId="37" fillId="0" borderId="1"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0" fontId="23" fillId="0" borderId="6" xfId="8" applyFont="1" applyFill="1" applyBorder="1" applyAlignment="1" applyProtection="1">
      <alignment horizontal="center" vertical="center"/>
    </xf>
    <xf numFmtId="0" fontId="13" fillId="0" borderId="1" xfId="8" applyFont="1" applyFill="1" applyBorder="1" applyAlignment="1" applyProtection="1">
      <alignment horizontal="center" vertical="center" wrapText="1"/>
    </xf>
    <xf numFmtId="0" fontId="23" fillId="0" borderId="1" xfId="8" applyFont="1" applyFill="1" applyBorder="1" applyAlignment="1" applyProtection="1">
      <alignment horizontal="center" vertical="center" wrapText="1"/>
    </xf>
    <xf numFmtId="0" fontId="23" fillId="0" borderId="3" xfId="8" applyFont="1" applyFill="1" applyBorder="1" applyAlignment="1" applyProtection="1">
      <alignment horizontal="center" vertical="center" wrapText="1"/>
    </xf>
    <xf numFmtId="0" fontId="62" fillId="0" borderId="0" xfId="0" applyFont="1" applyAlignment="1" applyProtection="1">
      <alignment horizontal="center" vertical="center" wrapText="1"/>
    </xf>
    <xf numFmtId="0" fontId="52" fillId="0" borderId="5"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wrapText="1"/>
    </xf>
    <xf numFmtId="0" fontId="9" fillId="0" borderId="1" xfId="0" applyFont="1" applyBorder="1" applyAlignment="1" applyProtection="1">
      <alignment horizontal="center" vertical="center"/>
    </xf>
    <xf numFmtId="0" fontId="23" fillId="0" borderId="1"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xf>
    <xf numFmtId="0" fontId="23" fillId="0" borderId="7" xfId="8" applyFont="1" applyFill="1" applyBorder="1" applyAlignment="1" applyProtection="1">
      <alignment horizontal="center" vertical="center" wrapText="1"/>
    </xf>
    <xf numFmtId="0" fontId="23" fillId="0" borderId="1" xfId="0" applyNumberFormat="1" applyFont="1" applyFill="1" applyBorder="1" applyAlignment="1" applyProtection="1">
      <alignment horizontal="center" vertical="center" wrapText="1"/>
    </xf>
    <xf numFmtId="0" fontId="37" fillId="54" borderId="3" xfId="0" applyFont="1" applyFill="1" applyBorder="1" applyAlignment="1">
      <alignment horizontal="center" vertical="center"/>
    </xf>
    <xf numFmtId="171" fontId="37" fillId="0" borderId="1" xfId="0" applyNumberFormat="1" applyFont="1" applyFill="1" applyBorder="1" applyAlignment="1" applyProtection="1">
      <alignment horizontal="center" vertical="center"/>
      <protection locked="0"/>
    </xf>
    <xf numFmtId="165" fontId="37" fillId="0" borderId="5" xfId="0" applyNumberFormat="1" applyFont="1" applyFill="1" applyBorder="1" applyAlignment="1" applyProtection="1">
      <alignment horizontal="center" vertical="center"/>
      <protection locked="0"/>
    </xf>
    <xf numFmtId="165" fontId="37" fillId="0" borderId="1" xfId="0" applyNumberFormat="1" applyFont="1" applyFill="1" applyBorder="1" applyAlignment="1" applyProtection="1">
      <alignment horizontal="center" vertical="center"/>
      <protection locked="0"/>
    </xf>
    <xf numFmtId="0" fontId="37" fillId="0" borderId="1" xfId="0" applyFont="1" applyFill="1" applyBorder="1" applyAlignment="1" applyProtection="1">
      <alignment horizontal="center" vertical="center"/>
    </xf>
    <xf numFmtId="0" fontId="9" fillId="0" borderId="1" xfId="0" applyFont="1" applyBorder="1" applyAlignment="1" applyProtection="1">
      <alignment horizontal="center" vertical="center"/>
    </xf>
    <xf numFmtId="0" fontId="23" fillId="0" borderId="1" xfId="0" applyFont="1" applyFill="1" applyBorder="1" applyAlignment="1" applyProtection="1">
      <alignment horizontal="center" vertical="center"/>
    </xf>
    <xf numFmtId="176" fontId="37" fillId="0" borderId="1" xfId="1" applyNumberFormat="1" applyFont="1" applyFill="1" applyBorder="1" applyAlignment="1" applyProtection="1">
      <alignment vertical="center"/>
    </xf>
    <xf numFmtId="165" fontId="37" fillId="0" borderId="1" xfId="1" applyNumberFormat="1" applyFont="1" applyFill="1" applyBorder="1" applyAlignment="1" applyProtection="1">
      <alignment vertical="center"/>
    </xf>
    <xf numFmtId="173" fontId="37" fillId="0" borderId="1" xfId="7" applyNumberFormat="1" applyFont="1" applyFill="1" applyBorder="1" applyAlignment="1" applyProtection="1">
      <alignment vertical="center"/>
    </xf>
    <xf numFmtId="10" fontId="37" fillId="0" borderId="1" xfId="7" applyNumberFormat="1" applyFont="1" applyFill="1" applyBorder="1" applyAlignment="1" applyProtection="1">
      <alignment vertical="center"/>
    </xf>
    <xf numFmtId="0" fontId="51" fillId="0" borderId="9" xfId="8" applyFont="1" applyFill="1" applyBorder="1" applyAlignment="1" applyProtection="1">
      <alignment vertical="center" wrapText="1"/>
    </xf>
    <xf numFmtId="0" fontId="23" fillId="0" borderId="1" xfId="8" applyFont="1" applyFill="1" applyBorder="1" applyAlignment="1" applyProtection="1">
      <alignment horizontal="center" wrapText="1"/>
    </xf>
    <xf numFmtId="176" fontId="37" fillId="0" borderId="1" xfId="1" applyNumberFormat="1" applyFont="1" applyFill="1" applyBorder="1" applyAlignment="1" applyProtection="1">
      <alignment horizontal="center" vertical="center"/>
    </xf>
    <xf numFmtId="165" fontId="37" fillId="0" borderId="1" xfId="1" applyNumberFormat="1" applyFont="1" applyFill="1" applyBorder="1" applyAlignment="1" applyProtection="1">
      <alignment horizontal="center" vertical="center"/>
    </xf>
    <xf numFmtId="0" fontId="37" fillId="0" borderId="9" xfId="0" applyFont="1" applyFill="1" applyBorder="1" applyAlignment="1" applyProtection="1">
      <alignment horizontal="center" vertical="center" wrapText="1"/>
      <protection locked="0"/>
    </xf>
    <xf numFmtId="0" fontId="23" fillId="0" borderId="6" xfId="8" applyFont="1" applyFill="1" applyBorder="1" applyAlignment="1" applyProtection="1">
      <alignment horizontal="center" vertical="center"/>
    </xf>
    <xf numFmtId="0" fontId="23" fillId="0" borderId="1" xfId="8" applyFont="1" applyFill="1" applyBorder="1" applyAlignment="1" applyProtection="1">
      <alignment horizontal="center" vertical="center" wrapText="1"/>
    </xf>
    <xf numFmtId="0" fontId="62" fillId="0" borderId="0" xfId="0" applyFont="1" applyAlignment="1" applyProtection="1">
      <alignment horizontal="center" vertical="center" wrapText="1"/>
    </xf>
    <xf numFmtId="0" fontId="52" fillId="0" borderId="5" xfId="0" applyFont="1" applyFill="1" applyBorder="1" applyAlignment="1" applyProtection="1">
      <alignment horizontal="center" vertical="center" wrapText="1"/>
    </xf>
    <xf numFmtId="0" fontId="9" fillId="0" borderId="6" xfId="0" applyFont="1" applyFill="1" applyBorder="1" applyAlignment="1" applyProtection="1">
      <alignment horizontal="center" vertical="center" wrapText="1"/>
    </xf>
    <xf numFmtId="0" fontId="23" fillId="0" borderId="5" xfId="0" applyFont="1" applyFill="1" applyBorder="1" applyAlignment="1" applyProtection="1">
      <alignment horizontal="center" vertical="center" wrapText="1"/>
    </xf>
    <xf numFmtId="0" fontId="9" fillId="0" borderId="1" xfId="0" applyFont="1" applyBorder="1" applyAlignment="1" applyProtection="1">
      <alignment horizontal="center" vertical="center"/>
    </xf>
    <xf numFmtId="0" fontId="59" fillId="0" borderId="0" xfId="8" applyFont="1" applyFill="1" applyBorder="1" applyAlignment="1" applyProtection="1">
      <alignment vertical="center" wrapText="1"/>
    </xf>
    <xf numFmtId="0" fontId="29" fillId="0" borderId="0" xfId="0" applyFont="1" applyAlignment="1" applyProtection="1">
      <alignment vertical="center" wrapText="1"/>
    </xf>
    <xf numFmtId="0" fontId="23" fillId="0" borderId="3" xfId="0" applyFont="1" applyFill="1" applyBorder="1" applyAlignment="1" applyProtection="1">
      <alignment horizontal="center" vertical="center" wrapText="1"/>
    </xf>
    <xf numFmtId="14" fontId="39" fillId="0" borderId="73" xfId="8" applyNumberFormat="1" applyFont="1" applyFill="1" applyBorder="1" applyAlignment="1" applyProtection="1">
      <alignment vertical="center" wrapText="1"/>
    </xf>
    <xf numFmtId="0" fontId="13" fillId="0" borderId="7" xfId="0" applyFont="1" applyBorder="1" applyAlignment="1" applyProtection="1">
      <alignment horizontal="center" vertical="center" wrapText="1"/>
    </xf>
    <xf numFmtId="0" fontId="13" fillId="0" borderId="7" xfId="0" applyFont="1" applyBorder="1" applyAlignment="1" applyProtection="1">
      <alignment horizontal="right" vertical="center" wrapText="1"/>
    </xf>
    <xf numFmtId="0" fontId="13" fillId="0" borderId="0" xfId="0" applyFont="1" applyBorder="1" applyAlignment="1" applyProtection="1">
      <alignment horizontal="right" vertical="center" wrapText="1"/>
    </xf>
    <xf numFmtId="179" fontId="39" fillId="0" borderId="7" xfId="8" applyNumberFormat="1" applyFont="1" applyFill="1" applyBorder="1" applyAlignment="1" applyProtection="1">
      <alignment horizontal="center" vertical="center" wrapText="1"/>
      <protection locked="0"/>
    </xf>
    <xf numFmtId="179" fontId="39" fillId="0" borderId="73" xfId="8" applyNumberFormat="1" applyFont="1" applyFill="1" applyBorder="1" applyAlignment="1" applyProtection="1">
      <alignment horizontal="center" vertical="center" wrapText="1"/>
      <protection locked="0"/>
    </xf>
    <xf numFmtId="0" fontId="29" fillId="0" borderId="0" xfId="0" applyFont="1" applyFill="1" applyAlignment="1" applyProtection="1">
      <alignment vertical="center" wrapText="1"/>
    </xf>
    <xf numFmtId="0" fontId="29" fillId="0" borderId="0" xfId="0" applyFont="1" applyFill="1" applyAlignment="1" applyProtection="1">
      <alignment horizontal="right" vertical="center" wrapText="1"/>
    </xf>
    <xf numFmtId="0" fontId="10" fillId="0" borderId="1" xfId="0" applyFont="1" applyFill="1" applyBorder="1" applyAlignment="1" applyProtection="1">
      <alignment horizontal="center" vertical="center"/>
    </xf>
    <xf numFmtId="20" fontId="23" fillId="0" borderId="1" xfId="0" applyNumberFormat="1" applyFont="1" applyFill="1" applyBorder="1" applyAlignment="1" applyProtection="1">
      <alignment horizontal="center" vertical="center" wrapText="1"/>
    </xf>
    <xf numFmtId="20" fontId="23" fillId="0" borderId="1" xfId="8" applyNumberFormat="1" applyFont="1" applyFill="1" applyBorder="1" applyAlignment="1" applyProtection="1">
      <alignment horizontal="center" vertical="center" wrapText="1"/>
    </xf>
    <xf numFmtId="41" fontId="37" fillId="0" borderId="1" xfId="0" applyNumberFormat="1" applyFont="1" applyFill="1" applyBorder="1" applyAlignment="1" applyProtection="1">
      <alignment horizontal="center" vertical="center" wrapText="1"/>
      <protection locked="0"/>
    </xf>
    <xf numFmtId="41" fontId="49" fillId="0" borderId="9" xfId="0" applyNumberFormat="1" applyFont="1" applyFill="1" applyBorder="1" applyAlignment="1" applyProtection="1">
      <alignment horizontal="center" vertical="center" wrapText="1"/>
      <protection locked="0"/>
    </xf>
    <xf numFmtId="41" fontId="49" fillId="0" borderId="1" xfId="0" applyNumberFormat="1" applyFont="1" applyFill="1" applyBorder="1" applyAlignment="1" applyProtection="1">
      <alignment horizontal="center" vertical="center" wrapText="1"/>
      <protection locked="0"/>
    </xf>
    <xf numFmtId="176" fontId="37" fillId="0" borderId="14" xfId="0" applyNumberFormat="1" applyFont="1" applyFill="1" applyBorder="1" applyAlignment="1" applyProtection="1">
      <alignment vertical="center"/>
    </xf>
    <xf numFmtId="177" fontId="37" fillId="0" borderId="14" xfId="0" applyNumberFormat="1" applyFont="1" applyFill="1" applyBorder="1" applyAlignment="1" applyProtection="1">
      <alignment vertical="center"/>
    </xf>
    <xf numFmtId="41" fontId="37" fillId="0" borderId="0" xfId="0" applyNumberFormat="1" applyFont="1" applyFill="1" applyAlignment="1">
      <alignment horizontal="center" vertical="center"/>
    </xf>
    <xf numFmtId="41" fontId="37" fillId="0" borderId="1" xfId="0" applyNumberFormat="1" applyFont="1" applyFill="1" applyBorder="1" applyAlignment="1" applyProtection="1">
      <alignment horizontal="center" vertical="center" wrapText="1"/>
    </xf>
    <xf numFmtId="41" fontId="37" fillId="0" borderId="1" xfId="0" applyNumberFormat="1" applyFont="1" applyFill="1" applyBorder="1" applyAlignment="1" applyProtection="1">
      <alignment horizontal="center" vertical="center"/>
    </xf>
    <xf numFmtId="41" fontId="37" fillId="0" borderId="5" xfId="0" applyNumberFormat="1" applyFont="1" applyFill="1" applyBorder="1" applyAlignment="1" applyProtection="1">
      <alignment vertical="center" wrapText="1"/>
      <protection locked="0"/>
    </xf>
    <xf numFmtId="41" fontId="37" fillId="0" borderId="10" xfId="0" applyNumberFormat="1" applyFont="1" applyFill="1" applyBorder="1" applyAlignment="1" applyProtection="1">
      <alignment horizontal="center" vertical="center" wrapText="1"/>
    </xf>
    <xf numFmtId="41" fontId="37" fillId="0" borderId="10" xfId="0" applyNumberFormat="1" applyFont="1" applyFill="1" applyBorder="1" applyAlignment="1" applyProtection="1">
      <alignment horizontal="center" vertical="center" wrapText="1"/>
      <protection locked="0"/>
    </xf>
    <xf numFmtId="41" fontId="37" fillId="0" borderId="0" xfId="0" applyNumberFormat="1" applyFont="1" applyFill="1" applyAlignment="1" applyProtection="1">
      <alignment horizontal="center" vertical="center"/>
    </xf>
    <xf numFmtId="41" fontId="49" fillId="0" borderId="1" xfId="0" applyNumberFormat="1" applyFont="1" applyFill="1" applyBorder="1" applyAlignment="1" applyProtection="1">
      <alignment vertical="center" wrapText="1"/>
    </xf>
    <xf numFmtId="41" fontId="49" fillId="0" borderId="9" xfId="0" applyNumberFormat="1" applyFont="1" applyFill="1" applyBorder="1" applyAlignment="1" applyProtection="1">
      <alignment vertical="center" wrapText="1"/>
    </xf>
    <xf numFmtId="41" fontId="49" fillId="0" borderId="1" xfId="0" applyNumberFormat="1" applyFont="1" applyFill="1" applyBorder="1" applyAlignment="1" applyProtection="1">
      <alignment horizontal="distributed" vertical="distributed" wrapText="1"/>
      <protection locked="0"/>
    </xf>
    <xf numFmtId="165" fontId="49" fillId="0" borderId="1" xfId="0" applyNumberFormat="1" applyFont="1" applyFill="1" applyBorder="1" applyAlignment="1">
      <alignment horizontal="center" vertical="center"/>
    </xf>
    <xf numFmtId="165" fontId="49" fillId="0" borderId="5" xfId="0" applyNumberFormat="1" applyFont="1" applyFill="1" applyBorder="1" applyAlignment="1">
      <alignment horizontal="center" vertical="center"/>
    </xf>
    <xf numFmtId="165" fontId="49" fillId="0" borderId="6" xfId="0" applyNumberFormat="1" applyFont="1" applyFill="1" applyBorder="1" applyAlignment="1" applyProtection="1">
      <alignment horizontal="center" vertical="center"/>
    </xf>
    <xf numFmtId="165" fontId="49" fillId="0" borderId="6" xfId="0" applyNumberFormat="1" applyFont="1" applyFill="1" applyBorder="1" applyAlignment="1" applyProtection="1">
      <alignment horizontal="center" vertical="center"/>
      <protection locked="0"/>
    </xf>
    <xf numFmtId="165" fontId="49" fillId="0" borderId="1" xfId="0" applyNumberFormat="1" applyFont="1" applyFill="1" applyBorder="1" applyAlignment="1" applyProtection="1">
      <alignment horizontal="center" vertical="center"/>
      <protection locked="0"/>
    </xf>
    <xf numFmtId="176" fontId="49" fillId="0" borderId="1" xfId="0" applyNumberFormat="1" applyFont="1" applyFill="1" applyBorder="1" applyAlignment="1">
      <alignment horizontal="center" vertical="center"/>
    </xf>
    <xf numFmtId="176" fontId="49" fillId="0" borderId="5" xfId="0" applyNumberFormat="1" applyFont="1" applyFill="1" applyBorder="1" applyAlignment="1">
      <alignment horizontal="center" vertical="center"/>
    </xf>
    <xf numFmtId="176" fontId="49" fillId="0" borderId="6" xfId="0" applyNumberFormat="1" applyFont="1" applyFill="1" applyBorder="1" applyAlignment="1" applyProtection="1">
      <alignment horizontal="center" vertical="center"/>
    </xf>
    <xf numFmtId="176" fontId="49" fillId="0" borderId="6" xfId="0" applyNumberFormat="1" applyFont="1" applyFill="1" applyBorder="1" applyAlignment="1" applyProtection="1">
      <alignment horizontal="center" vertical="center"/>
      <protection locked="0"/>
    </xf>
    <xf numFmtId="176" fontId="49" fillId="0" borderId="1" xfId="0" applyNumberFormat="1" applyFont="1" applyFill="1" applyBorder="1" applyAlignment="1" applyProtection="1">
      <alignment horizontal="center" vertical="center"/>
      <protection locked="0"/>
    </xf>
    <xf numFmtId="177" fontId="49" fillId="0" borderId="6" xfId="0" applyNumberFormat="1" applyFont="1" applyFill="1" applyBorder="1" applyAlignment="1" applyProtection="1">
      <alignment horizontal="center" vertical="center"/>
    </xf>
    <xf numFmtId="176" fontId="49" fillId="0" borderId="1" xfId="0" applyNumberFormat="1" applyFont="1" applyFill="1" applyBorder="1" applyAlignment="1" applyProtection="1">
      <alignment horizontal="center" vertical="center"/>
    </xf>
    <xf numFmtId="176" fontId="49" fillId="0" borderId="3" xfId="0" applyNumberFormat="1" applyFont="1" applyFill="1" applyBorder="1" applyAlignment="1" applyProtection="1">
      <alignment horizontal="center" vertical="center"/>
    </xf>
    <xf numFmtId="176" fontId="37" fillId="0" borderId="1" xfId="0" applyNumberFormat="1" applyFont="1" applyFill="1" applyBorder="1" applyAlignment="1">
      <alignment horizontal="center" vertical="center"/>
    </xf>
    <xf numFmtId="183" fontId="49" fillId="0" borderId="5" xfId="0" applyNumberFormat="1" applyFont="1" applyFill="1" applyBorder="1" applyAlignment="1" applyProtection="1">
      <alignment vertical="center" wrapText="1"/>
      <protection locked="0"/>
    </xf>
    <xf numFmtId="183" fontId="49" fillId="0" borderId="9" xfId="0" applyNumberFormat="1" applyFont="1" applyFill="1" applyBorder="1" applyAlignment="1" applyProtection="1">
      <alignment vertical="center" wrapText="1"/>
      <protection locked="0"/>
    </xf>
    <xf numFmtId="183" fontId="49" fillId="0" borderId="9" xfId="0" applyNumberFormat="1" applyFont="1" applyFill="1" applyBorder="1" applyAlignment="1" applyProtection="1">
      <alignment vertical="center"/>
      <protection locked="0"/>
    </xf>
    <xf numFmtId="183" fontId="49" fillId="0" borderId="6" xfId="0" applyNumberFormat="1" applyFont="1" applyFill="1" applyBorder="1" applyAlignment="1" applyProtection="1">
      <alignment vertical="center"/>
      <protection locked="0"/>
    </xf>
    <xf numFmtId="183" fontId="37" fillId="0" borderId="5" xfId="0" applyNumberFormat="1" applyFont="1" applyFill="1" applyBorder="1" applyAlignment="1" applyProtection="1">
      <alignment vertical="center" wrapText="1"/>
      <protection locked="0"/>
    </xf>
    <xf numFmtId="183" fontId="49" fillId="0" borderId="5" xfId="0" applyNumberFormat="1" applyFont="1" applyFill="1" applyBorder="1" applyAlignment="1" applyProtection="1">
      <alignment vertical="center"/>
      <protection locked="0"/>
    </xf>
    <xf numFmtId="183" fontId="37" fillId="0" borderId="5" xfId="0" applyNumberFormat="1" applyFont="1" applyFill="1" applyBorder="1" applyAlignment="1" applyProtection="1">
      <alignment vertical="center"/>
      <protection locked="0"/>
    </xf>
    <xf numFmtId="183" fontId="49" fillId="0" borderId="12" xfId="0" applyNumberFormat="1" applyFont="1" applyFill="1" applyBorder="1" applyAlignment="1" applyProtection="1">
      <alignment horizontal="center" vertical="center"/>
      <protection locked="0"/>
    </xf>
    <xf numFmtId="171" fontId="37" fillId="0" borderId="1" xfId="0" applyNumberFormat="1" applyFont="1" applyFill="1" applyBorder="1" applyAlignment="1" applyProtection="1">
      <alignment horizontal="center" vertical="center"/>
    </xf>
    <xf numFmtId="177" fontId="97" fillId="0" borderId="1" xfId="0" applyNumberFormat="1" applyFont="1" applyFill="1" applyBorder="1" applyAlignment="1">
      <alignment horizontal="center" vertical="center"/>
    </xf>
    <xf numFmtId="177" fontId="49" fillId="0" borderId="9" xfId="0" applyNumberFormat="1" applyFont="1" applyFill="1" applyBorder="1" applyAlignment="1" applyProtection="1">
      <alignment horizontal="center" vertical="center" wrapText="1"/>
      <protection locked="0"/>
    </xf>
    <xf numFmtId="177" fontId="154" fillId="40" borderId="5" xfId="0" applyNumberFormat="1" applyFont="1" applyFill="1" applyBorder="1" applyAlignment="1">
      <alignment vertical="center"/>
    </xf>
    <xf numFmtId="177" fontId="154" fillId="40" borderId="9" xfId="0" applyNumberFormat="1" applyFont="1" applyFill="1" applyBorder="1" applyAlignment="1">
      <alignment vertical="center"/>
    </xf>
    <xf numFmtId="177" fontId="75" fillId="40" borderId="9" xfId="0" applyNumberFormat="1" applyFont="1" applyFill="1" applyBorder="1" applyAlignment="1">
      <alignment vertical="center"/>
    </xf>
    <xf numFmtId="177" fontId="154" fillId="40" borderId="6" xfId="0" applyNumberFormat="1" applyFont="1" applyFill="1" applyBorder="1" applyAlignment="1">
      <alignment vertical="center"/>
    </xf>
    <xf numFmtId="177" fontId="75" fillId="34" borderId="0" xfId="0" applyNumberFormat="1" applyFont="1" applyFill="1" applyAlignment="1">
      <alignment horizontal="center" vertical="center"/>
    </xf>
    <xf numFmtId="41" fontId="154" fillId="40" borderId="5" xfId="0" applyNumberFormat="1" applyFont="1" applyFill="1" applyBorder="1" applyAlignment="1">
      <alignment horizontal="center" vertical="center"/>
    </xf>
    <xf numFmtId="41" fontId="154" fillId="40" borderId="9" xfId="0" applyNumberFormat="1" applyFont="1" applyFill="1" applyBorder="1" applyAlignment="1">
      <alignment horizontal="center" vertical="center"/>
    </xf>
    <xf numFmtId="41" fontId="75" fillId="40" borderId="9" xfId="0" applyNumberFormat="1" applyFont="1" applyFill="1" applyBorder="1" applyAlignment="1">
      <alignment horizontal="center" vertical="center"/>
    </xf>
    <xf numFmtId="41" fontId="154" fillId="40" borderId="6" xfId="0" applyNumberFormat="1" applyFont="1" applyFill="1" applyBorder="1" applyAlignment="1">
      <alignment horizontal="center" vertical="center"/>
    </xf>
    <xf numFmtId="41" fontId="97" fillId="0" borderId="1" xfId="0" applyNumberFormat="1" applyFont="1" applyFill="1" applyBorder="1" applyAlignment="1">
      <alignment horizontal="center" vertical="center"/>
    </xf>
    <xf numFmtId="41" fontId="154" fillId="40" borderId="5" xfId="0" applyNumberFormat="1" applyFont="1" applyFill="1" applyBorder="1" applyAlignment="1">
      <alignment vertical="center"/>
    </xf>
    <xf numFmtId="41" fontId="154" fillId="40" borderId="9" xfId="0" applyNumberFormat="1" applyFont="1" applyFill="1" applyBorder="1" applyAlignment="1">
      <alignment vertical="center"/>
    </xf>
    <xf numFmtId="41" fontId="75" fillId="40" borderId="9" xfId="0" applyNumberFormat="1" applyFont="1" applyFill="1" applyBorder="1" applyAlignment="1">
      <alignment vertical="center"/>
    </xf>
    <xf numFmtId="41" fontId="154" fillId="40" borderId="6" xfId="0" applyNumberFormat="1" applyFont="1" applyFill="1" applyBorder="1" applyAlignment="1">
      <alignment vertical="center"/>
    </xf>
    <xf numFmtId="41" fontId="75" fillId="34" borderId="0" xfId="0" applyNumberFormat="1" applyFont="1" applyFill="1" applyAlignment="1">
      <alignment horizontal="center" vertical="center"/>
    </xf>
    <xf numFmtId="41" fontId="37" fillId="0" borderId="6" xfId="8" applyNumberFormat="1" applyFont="1" applyFill="1" applyBorder="1" applyAlignment="1" applyProtection="1">
      <alignment horizontal="center" vertical="center"/>
    </xf>
    <xf numFmtId="0" fontId="23" fillId="0" borderId="5" xfId="0" applyFont="1" applyFill="1" applyBorder="1" applyAlignment="1" applyProtection="1">
      <alignment horizontal="center" vertical="center" wrapText="1"/>
    </xf>
    <xf numFmtId="0" fontId="23" fillId="35" borderId="0" xfId="0" applyFont="1" applyFill="1">
      <alignment vertical="center"/>
    </xf>
    <xf numFmtId="0" fontId="51" fillId="35" borderId="0" xfId="0" applyFont="1" applyFill="1">
      <alignment vertical="center"/>
    </xf>
    <xf numFmtId="14" fontId="39" fillId="0" borderId="0" xfId="8" applyNumberFormat="1" applyFont="1" applyFill="1" applyBorder="1" applyAlignment="1" applyProtection="1">
      <alignment vertical="center" wrapText="1"/>
    </xf>
    <xf numFmtId="0" fontId="23" fillId="0" borderId="13" xfId="0" applyFont="1" applyFill="1" applyBorder="1" applyAlignment="1" applyProtection="1">
      <alignment horizontal="center" vertical="center" wrapText="1"/>
    </xf>
    <xf numFmtId="0" fontId="23" fillId="0" borderId="103" xfId="0" applyFont="1" applyFill="1" applyBorder="1" applyAlignment="1" applyProtection="1">
      <alignment horizontal="center" vertical="center" wrapText="1"/>
    </xf>
    <xf numFmtId="0" fontId="23" fillId="0" borderId="46" xfId="0" applyFont="1" applyFill="1" applyBorder="1" applyAlignment="1" applyProtection="1">
      <alignment horizontal="center" vertical="center" wrapText="1"/>
    </xf>
    <xf numFmtId="0" fontId="61" fillId="0" borderId="0" xfId="0" applyFont="1" applyFill="1" applyBorder="1" applyAlignment="1" applyProtection="1">
      <alignment vertical="center"/>
    </xf>
    <xf numFmtId="179" fontId="39" fillId="0" borderId="7" xfId="0" applyNumberFormat="1" applyFont="1" applyFill="1" applyBorder="1" applyAlignment="1" applyProtection="1">
      <alignment horizontal="left" vertical="center"/>
      <protection locked="0"/>
    </xf>
    <xf numFmtId="0" fontId="23" fillId="0" borderId="91"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73" xfId="0" applyBorder="1">
      <alignment vertical="center"/>
    </xf>
    <xf numFmtId="0" fontId="13" fillId="0" borderId="13" xfId="0" applyFont="1" applyFill="1" applyBorder="1" applyAlignment="1" applyProtection="1">
      <alignment horizontal="left" vertical="center" wrapText="1"/>
    </xf>
    <xf numFmtId="0" fontId="236" fillId="0" borderId="0" xfId="0" applyFont="1" applyAlignment="1">
      <alignment horizontal="center" vertical="center"/>
    </xf>
    <xf numFmtId="188" fontId="37" fillId="0" borderId="5" xfId="0" applyNumberFormat="1" applyFont="1" applyFill="1" applyBorder="1" applyAlignment="1" applyProtection="1">
      <alignment horizontal="center" vertical="center" wrapText="1"/>
    </xf>
    <xf numFmtId="188" fontId="37" fillId="0" borderId="9" xfId="0" applyNumberFormat="1"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3" fillId="0" borderId="5" xfId="0" applyFont="1" applyFill="1" applyBorder="1" applyAlignment="1" applyProtection="1">
      <alignment horizontal="center" vertical="center" wrapText="1"/>
    </xf>
    <xf numFmtId="0" fontId="16" fillId="0" borderId="5" xfId="8" applyFont="1" applyFill="1" applyBorder="1" applyAlignment="1" applyProtection="1">
      <alignment horizontal="center" vertical="center" wrapText="1"/>
    </xf>
    <xf numFmtId="0" fontId="37" fillId="0" borderId="5" xfId="0" applyFont="1" applyFill="1" applyBorder="1" applyAlignment="1">
      <alignment horizontal="center" vertical="center" wrapText="1"/>
    </xf>
    <xf numFmtId="0" fontId="9" fillId="0" borderId="46" xfId="0" applyFont="1" applyFill="1" applyBorder="1" applyAlignment="1" applyProtection="1">
      <alignment horizontal="center" vertical="center"/>
    </xf>
    <xf numFmtId="0" fontId="9" fillId="0" borderId="104" xfId="0" applyFont="1" applyFill="1" applyBorder="1" applyAlignment="1" applyProtection="1">
      <alignment horizontal="center" vertical="center"/>
    </xf>
    <xf numFmtId="0" fontId="9" fillId="0" borderId="105" xfId="0" applyFont="1" applyFill="1" applyBorder="1" applyAlignment="1" applyProtection="1">
      <alignment horizontal="center" vertical="center"/>
    </xf>
    <xf numFmtId="0" fontId="23" fillId="0" borderId="46" xfId="0" applyFont="1" applyFill="1" applyBorder="1" applyAlignment="1" applyProtection="1">
      <alignment vertical="center"/>
    </xf>
    <xf numFmtId="0" fontId="23" fillId="0" borderId="104" xfId="0" applyFont="1" applyFill="1" applyBorder="1" applyAlignment="1" applyProtection="1">
      <alignment vertical="center"/>
    </xf>
    <xf numFmtId="0" fontId="23" fillId="0" borderId="105" xfId="0" applyFont="1" applyFill="1" applyBorder="1" applyAlignment="1" applyProtection="1">
      <alignment vertical="center" wrapText="1"/>
    </xf>
    <xf numFmtId="0" fontId="23" fillId="0" borderId="46" xfId="0" applyFont="1" applyFill="1" applyBorder="1" applyAlignment="1" applyProtection="1">
      <alignment vertical="center" wrapText="1"/>
    </xf>
    <xf numFmtId="0" fontId="23" fillId="0" borderId="104" xfId="0" applyFont="1" applyFill="1" applyBorder="1" applyAlignment="1" applyProtection="1">
      <alignment vertical="center" wrapText="1"/>
    </xf>
    <xf numFmtId="0" fontId="23" fillId="0" borderId="0" xfId="0" applyFont="1" applyFill="1" applyBorder="1" applyAlignment="1" applyProtection="1">
      <alignment vertical="center"/>
      <protection locked="0"/>
    </xf>
    <xf numFmtId="0" fontId="147" fillId="0" borderId="73" xfId="0" applyFont="1" applyFill="1" applyBorder="1" applyAlignment="1" applyProtection="1">
      <alignment vertical="center" wrapText="1"/>
    </xf>
    <xf numFmtId="0" fontId="9" fillId="0" borderId="73" xfId="0" applyFont="1" applyBorder="1" applyAlignment="1" applyProtection="1">
      <alignment horizontal="center" vertical="center" wrapText="1"/>
    </xf>
    <xf numFmtId="14" fontId="115" fillId="0" borderId="0" xfId="8" applyNumberFormat="1" applyFont="1" applyFill="1" applyBorder="1" applyAlignment="1" applyProtection="1">
      <alignment horizontal="left" vertical="center"/>
      <protection locked="0"/>
    </xf>
    <xf numFmtId="0" fontId="59" fillId="0" borderId="0" xfId="0" applyFont="1" applyBorder="1" applyAlignment="1" applyProtection="1">
      <alignment horizontal="center" vertical="center" wrapText="1"/>
    </xf>
    <xf numFmtId="20" fontId="9" fillId="0" borderId="0" xfId="0" applyNumberFormat="1" applyFont="1" applyBorder="1" applyAlignment="1" applyProtection="1">
      <alignment horizontal="center" vertical="center"/>
    </xf>
    <xf numFmtId="0" fontId="23" fillId="0" borderId="0" xfId="0" applyFont="1" applyBorder="1" applyAlignment="1" applyProtection="1">
      <alignment vertical="center"/>
    </xf>
    <xf numFmtId="0" fontId="62" fillId="0" borderId="0" xfId="0" applyFont="1" applyBorder="1" applyAlignment="1" applyProtection="1">
      <alignment horizontal="center" vertical="center" wrapText="1"/>
    </xf>
    <xf numFmtId="0" fontId="23" fillId="0" borderId="0" xfId="0" applyFont="1" applyFill="1" applyBorder="1" applyAlignment="1" applyProtection="1">
      <alignment vertical="center" wrapText="1"/>
    </xf>
    <xf numFmtId="0" fontId="23" fillId="0" borderId="0" xfId="0" applyFont="1" applyFill="1" applyBorder="1" applyAlignment="1" applyProtection="1">
      <alignment vertical="center"/>
    </xf>
    <xf numFmtId="0" fontId="9" fillId="0" borderId="0" xfId="0" applyFont="1" applyFill="1" applyBorder="1" applyAlignment="1" applyProtection="1">
      <alignment horizontal="center" vertical="center"/>
    </xf>
    <xf numFmtId="0" fontId="152" fillId="0" borderId="0" xfId="0" applyFont="1" applyAlignment="1" applyProtection="1">
      <alignment horizontal="center" vertical="center"/>
    </xf>
    <xf numFmtId="0" fontId="152" fillId="0" borderId="0" xfId="0" applyFont="1" applyBorder="1" applyAlignment="1" applyProtection="1">
      <alignment horizontal="center" vertical="center"/>
    </xf>
    <xf numFmtId="0" fontId="152" fillId="0" borderId="1" xfId="0" applyFont="1" applyBorder="1" applyAlignment="1" applyProtection="1">
      <alignment horizontal="center" vertical="center"/>
    </xf>
    <xf numFmtId="0" fontId="67" fillId="0" borderId="1" xfId="0" applyFont="1" applyFill="1" applyBorder="1" applyAlignment="1" applyProtection="1">
      <alignment vertical="center" wrapText="1"/>
    </xf>
    <xf numFmtId="0" fontId="13" fillId="0" borderId="13" xfId="0" applyFont="1" applyFill="1" applyBorder="1" applyAlignment="1" applyProtection="1">
      <alignment vertical="center" wrapText="1"/>
    </xf>
    <xf numFmtId="0" fontId="13" fillId="0" borderId="8" xfId="0" applyFont="1" applyFill="1" applyBorder="1" applyAlignment="1" applyProtection="1">
      <alignment vertical="center" wrapText="1"/>
    </xf>
    <xf numFmtId="0" fontId="62" fillId="0" borderId="0" xfId="0" applyFont="1" applyAlignment="1" applyProtection="1">
      <alignment horizontal="centerContinuous" vertical="center" wrapText="1"/>
    </xf>
    <xf numFmtId="0" fontId="59" fillId="0" borderId="0" xfId="0" applyFont="1" applyBorder="1" applyAlignment="1" applyProtection="1">
      <alignment horizontal="centerContinuous" vertical="center" wrapText="1"/>
    </xf>
    <xf numFmtId="0" fontId="0" fillId="0" borderId="6" xfId="0" applyFont="1" applyFill="1" applyBorder="1" applyAlignment="1">
      <alignment vertical="center" wrapText="1"/>
    </xf>
    <xf numFmtId="0" fontId="37" fillId="14" borderId="6" xfId="0" applyNumberFormat="1" applyFont="1" applyFill="1" applyBorder="1" applyAlignment="1">
      <alignment horizontal="center" vertical="center" wrapText="1"/>
    </xf>
    <xf numFmtId="180" fontId="37" fillId="0" borderId="1" xfId="0" applyNumberFormat="1" applyFont="1" applyFill="1" applyBorder="1" applyAlignment="1">
      <alignment horizontal="center" vertical="center"/>
    </xf>
    <xf numFmtId="0" fontId="74" fillId="0" borderId="3" xfId="4" applyFont="1" applyBorder="1" applyAlignment="1">
      <alignment horizontal="center" vertical="center" wrapText="1"/>
    </xf>
    <xf numFmtId="0" fontId="74" fillId="0" borderId="90" xfId="4" applyFont="1" applyBorder="1" applyAlignment="1">
      <alignment horizontal="center" vertical="center"/>
    </xf>
    <xf numFmtId="0" fontId="217" fillId="0" borderId="1" xfId="4" applyFont="1" applyBorder="1" applyAlignment="1">
      <alignment horizontal="center" vertical="center" wrapText="1"/>
    </xf>
    <xf numFmtId="0" fontId="217" fillId="0" borderId="1" xfId="4" applyFont="1" applyBorder="1" applyAlignment="1">
      <alignment horizontal="center" vertical="center"/>
    </xf>
    <xf numFmtId="0" fontId="146" fillId="0" borderId="0" xfId="4" applyFont="1" applyAlignment="1">
      <alignment horizontal="center" vertical="center"/>
    </xf>
    <xf numFmtId="0" fontId="228" fillId="13" borderId="5" xfId="4" applyFont="1" applyFill="1" applyBorder="1" applyAlignment="1">
      <alignment horizontal="center" vertical="center"/>
    </xf>
    <xf numFmtId="0" fontId="228" fillId="13" borderId="6" xfId="4" applyFont="1" applyFill="1" applyBorder="1" applyAlignment="1">
      <alignment horizontal="center" vertical="center"/>
    </xf>
    <xf numFmtId="0" fontId="49" fillId="12" borderId="42" xfId="84" quotePrefix="1" applyFont="1" applyFill="1" applyBorder="1" applyAlignment="1" applyProtection="1">
      <alignment horizontal="center" vertical="center"/>
    </xf>
    <xf numFmtId="0" fontId="49" fillId="12" borderId="43" xfId="84" quotePrefix="1" applyFont="1" applyFill="1" applyBorder="1" applyAlignment="1" applyProtection="1">
      <alignment horizontal="center" vertical="center"/>
    </xf>
    <xf numFmtId="0" fontId="49" fillId="12" borderId="44" xfId="84" quotePrefix="1" applyFont="1" applyFill="1" applyBorder="1" applyAlignment="1" applyProtection="1">
      <alignment horizontal="center" vertical="center"/>
    </xf>
    <xf numFmtId="0" fontId="49" fillId="12" borderId="45" xfId="84" quotePrefix="1" applyFont="1" applyFill="1" applyBorder="1" applyAlignment="1" applyProtection="1">
      <alignment horizontal="center" vertical="center"/>
    </xf>
    <xf numFmtId="0" fontId="49" fillId="12" borderId="40" xfId="84" quotePrefix="1" applyFont="1" applyFill="1" applyBorder="1" applyAlignment="1" applyProtection="1">
      <alignment horizontal="center" vertical="center"/>
    </xf>
    <xf numFmtId="0" fontId="49" fillId="12" borderId="41" xfId="84" quotePrefix="1" applyFont="1" applyFill="1" applyBorder="1" applyAlignment="1" applyProtection="1">
      <alignment horizontal="center" vertical="center"/>
    </xf>
    <xf numFmtId="0" fontId="23" fillId="37" borderId="32" xfId="84" quotePrefix="1" applyFont="1" applyFill="1" applyBorder="1" applyAlignment="1" applyProtection="1">
      <alignment horizontal="center" vertical="center"/>
    </xf>
    <xf numFmtId="0" fontId="23" fillId="37" borderId="33" xfId="84" quotePrefix="1" applyFont="1" applyFill="1" applyBorder="1" applyAlignment="1" applyProtection="1">
      <alignment horizontal="center" vertical="center"/>
    </xf>
    <xf numFmtId="0" fontId="23" fillId="37" borderId="38" xfId="84" quotePrefix="1" applyFont="1" applyFill="1" applyBorder="1" applyAlignment="1" applyProtection="1">
      <alignment horizontal="center" vertical="center"/>
    </xf>
    <xf numFmtId="0" fontId="23" fillId="37" borderId="35" xfId="84" quotePrefix="1" applyFont="1" applyFill="1" applyBorder="1" applyAlignment="1" applyProtection="1">
      <alignment horizontal="center" vertical="center"/>
    </xf>
    <xf numFmtId="0" fontId="23" fillId="37" borderId="36" xfId="84" quotePrefix="1" applyFont="1" applyFill="1" applyBorder="1" applyAlignment="1" applyProtection="1">
      <alignment horizontal="center" vertical="center"/>
    </xf>
    <xf numFmtId="0" fontId="23" fillId="37" borderId="39" xfId="84" quotePrefix="1" applyFont="1" applyFill="1" applyBorder="1" applyAlignment="1" applyProtection="1">
      <alignment horizontal="center" vertical="center"/>
    </xf>
    <xf numFmtId="0" fontId="37" fillId="37" borderId="32" xfId="84" quotePrefix="1" applyFont="1" applyFill="1" applyBorder="1" applyAlignment="1" applyProtection="1">
      <alignment horizontal="center" vertical="center"/>
    </xf>
    <xf numFmtId="0" fontId="37" fillId="37" borderId="33" xfId="84" quotePrefix="1" applyFont="1" applyFill="1" applyBorder="1" applyAlignment="1" applyProtection="1">
      <alignment horizontal="center" vertical="center"/>
    </xf>
    <xf numFmtId="0" fontId="37" fillId="37" borderId="38" xfId="84" quotePrefix="1" applyFont="1" applyFill="1" applyBorder="1" applyAlignment="1" applyProtection="1">
      <alignment horizontal="center" vertical="center"/>
    </xf>
    <xf numFmtId="0" fontId="37" fillId="37" borderId="35" xfId="84" quotePrefix="1" applyFont="1" applyFill="1" applyBorder="1" applyAlignment="1" applyProtection="1">
      <alignment horizontal="center" vertical="center"/>
    </xf>
    <xf numFmtId="0" fontId="37" fillId="37" borderId="36" xfId="84" quotePrefix="1" applyFont="1" applyFill="1" applyBorder="1" applyAlignment="1" applyProtection="1">
      <alignment horizontal="center" vertical="center"/>
    </xf>
    <xf numFmtId="0" fontId="37" fillId="37" borderId="39" xfId="84" quotePrefix="1" applyFont="1" applyFill="1" applyBorder="1" applyAlignment="1" applyProtection="1">
      <alignment horizontal="center" vertical="center"/>
    </xf>
    <xf numFmtId="190" fontId="144" fillId="35" borderId="66" xfId="0" quotePrefix="1" applyNumberFormat="1" applyFont="1" applyFill="1" applyBorder="1" applyAlignment="1" applyProtection="1">
      <alignment horizontal="center" vertical="center"/>
      <protection locked="0"/>
    </xf>
    <xf numFmtId="190" fontId="144" fillId="35" borderId="67" xfId="0" applyNumberFormat="1" applyFont="1" applyFill="1" applyBorder="1" applyAlignment="1" applyProtection="1">
      <alignment horizontal="center" vertical="center"/>
      <protection locked="0"/>
    </xf>
    <xf numFmtId="0" fontId="97" fillId="35" borderId="32" xfId="0" applyFont="1" applyFill="1" applyBorder="1" applyAlignment="1">
      <alignment horizontal="center" vertical="center"/>
    </xf>
    <xf numFmtId="0" fontId="97" fillId="35" borderId="33" xfId="0" applyFont="1" applyFill="1" applyBorder="1" applyAlignment="1">
      <alignment horizontal="center" vertical="center"/>
    </xf>
    <xf numFmtId="0" fontId="97" fillId="35" borderId="34" xfId="0" applyFont="1" applyFill="1" applyBorder="1" applyAlignment="1">
      <alignment horizontal="center" vertical="center"/>
    </xf>
    <xf numFmtId="0" fontId="97" fillId="35" borderId="35" xfId="0" applyFont="1" applyFill="1" applyBorder="1" applyAlignment="1">
      <alignment horizontal="center" vertical="center"/>
    </xf>
    <xf numFmtId="0" fontId="97" fillId="35" borderId="36" xfId="0" applyFont="1" applyFill="1" applyBorder="1" applyAlignment="1">
      <alignment horizontal="center" vertical="center"/>
    </xf>
    <xf numFmtId="0" fontId="97" fillId="35" borderId="37" xfId="0" applyFont="1" applyFill="1" applyBorder="1" applyAlignment="1">
      <alignment horizontal="center" vertical="center"/>
    </xf>
    <xf numFmtId="0" fontId="97" fillId="35" borderId="69" xfId="84" applyFont="1" applyFill="1" applyBorder="1" applyAlignment="1" applyProtection="1">
      <alignment horizontal="center" vertical="center"/>
    </xf>
    <xf numFmtId="0" fontId="97" fillId="35" borderId="70" xfId="84" applyFont="1" applyFill="1" applyBorder="1" applyAlignment="1" applyProtection="1">
      <alignment horizontal="center" vertical="center"/>
    </xf>
    <xf numFmtId="0" fontId="97" fillId="35" borderId="71" xfId="84" applyFont="1" applyFill="1" applyBorder="1" applyAlignment="1" applyProtection="1">
      <alignment horizontal="center" vertical="center"/>
    </xf>
    <xf numFmtId="0" fontId="97" fillId="35" borderId="72" xfId="84" applyFont="1" applyFill="1" applyBorder="1" applyAlignment="1" applyProtection="1">
      <alignment horizontal="center" vertical="center"/>
    </xf>
    <xf numFmtId="0" fontId="97" fillId="35" borderId="73" xfId="84" applyFont="1" applyFill="1" applyBorder="1" applyAlignment="1" applyProtection="1">
      <alignment horizontal="center" vertical="center"/>
    </xf>
    <xf numFmtId="0" fontId="97" fillId="35" borderId="74" xfId="84" applyFont="1" applyFill="1" applyBorder="1" applyAlignment="1" applyProtection="1">
      <alignment horizontal="center" vertical="center"/>
    </xf>
    <xf numFmtId="14" fontId="180" fillId="35" borderId="42" xfId="84" quotePrefix="1" applyNumberFormat="1" applyFont="1" applyFill="1" applyBorder="1" applyAlignment="1" applyProtection="1">
      <alignment horizontal="center" vertical="center"/>
      <protection locked="0"/>
    </xf>
    <xf numFmtId="14" fontId="180" fillId="35" borderId="64" xfId="84" applyNumberFormat="1" applyFont="1" applyFill="1" applyBorder="1" applyAlignment="1" applyProtection="1">
      <alignment horizontal="center" vertical="center"/>
      <protection locked="0"/>
    </xf>
    <xf numFmtId="14" fontId="180" fillId="35" borderId="62" xfId="84" applyNumberFormat="1" applyFont="1" applyFill="1" applyBorder="1" applyAlignment="1" applyProtection="1">
      <alignment horizontal="center" vertical="center"/>
      <protection locked="0"/>
    </xf>
    <xf numFmtId="14" fontId="180" fillId="35" borderId="15" xfId="84" applyNumberFormat="1" applyFont="1" applyFill="1" applyBorder="1" applyAlignment="1" applyProtection="1">
      <alignment horizontal="center" vertical="center"/>
      <protection locked="0"/>
    </xf>
    <xf numFmtId="0" fontId="51" fillId="37" borderId="32" xfId="84" quotePrefix="1" applyFont="1" applyFill="1" applyBorder="1" applyAlignment="1" applyProtection="1">
      <alignment horizontal="center" vertical="center"/>
    </xf>
    <xf numFmtId="0" fontId="51" fillId="37" borderId="33" xfId="84" quotePrefix="1" applyFont="1" applyFill="1" applyBorder="1" applyAlignment="1" applyProtection="1">
      <alignment horizontal="center" vertical="center"/>
    </xf>
    <xf numFmtId="0" fontId="51" fillId="37" borderId="38" xfId="84" quotePrefix="1" applyFont="1" applyFill="1" applyBorder="1" applyAlignment="1" applyProtection="1">
      <alignment horizontal="center" vertical="center"/>
    </xf>
    <xf numFmtId="0" fontId="51" fillId="37" borderId="35" xfId="84" quotePrefix="1" applyFont="1" applyFill="1" applyBorder="1" applyAlignment="1" applyProtection="1">
      <alignment horizontal="center" vertical="center"/>
    </xf>
    <xf numFmtId="0" fontId="51" fillId="37" borderId="36" xfId="84" quotePrefix="1" applyFont="1" applyFill="1" applyBorder="1" applyAlignment="1" applyProtection="1">
      <alignment horizontal="center" vertical="center"/>
    </xf>
    <xf numFmtId="0" fontId="51" fillId="37" borderId="39" xfId="84" quotePrefix="1" applyFont="1" applyFill="1" applyBorder="1" applyAlignment="1" applyProtection="1">
      <alignment horizontal="center" vertical="center"/>
    </xf>
    <xf numFmtId="0" fontId="49" fillId="12" borderId="32" xfId="84" quotePrefix="1" applyFont="1" applyFill="1" applyBorder="1" applyAlignment="1" applyProtection="1">
      <alignment horizontal="center" vertical="center"/>
    </xf>
    <xf numFmtId="0" fontId="49" fillId="12" borderId="33" xfId="84" applyFont="1" applyFill="1" applyBorder="1" applyAlignment="1" applyProtection="1">
      <alignment horizontal="center" vertical="center"/>
    </xf>
    <xf numFmtId="0" fontId="49" fillId="12" borderId="38" xfId="84" applyFont="1" applyFill="1" applyBorder="1" applyAlignment="1" applyProtection="1">
      <alignment horizontal="center" vertical="center"/>
    </xf>
    <xf numFmtId="0" fontId="49" fillId="12" borderId="35" xfId="84" applyFont="1" applyFill="1" applyBorder="1" applyAlignment="1" applyProtection="1">
      <alignment horizontal="center" vertical="center"/>
    </xf>
    <xf numFmtId="0" fontId="49" fillId="12" borderId="36" xfId="84" applyFont="1" applyFill="1" applyBorder="1" applyAlignment="1" applyProtection="1">
      <alignment horizontal="center" vertical="center"/>
    </xf>
    <xf numFmtId="0" fontId="49" fillId="12" borderId="39" xfId="84" applyFont="1" applyFill="1" applyBorder="1" applyAlignment="1" applyProtection="1">
      <alignment horizontal="center" vertical="center"/>
    </xf>
    <xf numFmtId="0" fontId="49" fillId="37" borderId="32" xfId="84" applyFont="1" applyFill="1" applyBorder="1" applyAlignment="1" applyProtection="1">
      <alignment horizontal="center" vertical="center"/>
    </xf>
    <xf numFmtId="0" fontId="49" fillId="37" borderId="33" xfId="84" applyFont="1" applyFill="1" applyBorder="1" applyAlignment="1" applyProtection="1">
      <alignment horizontal="center" vertical="center"/>
    </xf>
    <xf numFmtId="0" fontId="49" fillId="37" borderId="38" xfId="84" applyFont="1" applyFill="1" applyBorder="1" applyAlignment="1" applyProtection="1">
      <alignment horizontal="center" vertical="center"/>
    </xf>
    <xf numFmtId="0" fontId="49" fillId="37" borderId="35" xfId="84" applyFont="1" applyFill="1" applyBorder="1" applyAlignment="1" applyProtection="1">
      <alignment horizontal="center" vertical="center"/>
    </xf>
    <xf numFmtId="0" fontId="49" fillId="37" borderId="36" xfId="84" applyFont="1" applyFill="1" applyBorder="1" applyAlignment="1" applyProtection="1">
      <alignment horizontal="center" vertical="center"/>
    </xf>
    <xf numFmtId="0" fontId="49" fillId="37" borderId="39" xfId="84" applyFont="1" applyFill="1" applyBorder="1" applyAlignment="1" applyProtection="1">
      <alignment horizontal="center" vertical="center"/>
    </xf>
    <xf numFmtId="0" fontId="23" fillId="55" borderId="32" xfId="84" quotePrefix="1" applyFont="1" applyFill="1" applyBorder="1" applyAlignment="1" applyProtection="1">
      <alignment horizontal="center" vertical="center"/>
    </xf>
    <xf numFmtId="0" fontId="23" fillId="55" borderId="33" xfId="84" quotePrefix="1" applyFont="1" applyFill="1" applyBorder="1" applyAlignment="1" applyProtection="1">
      <alignment horizontal="center" vertical="center"/>
    </xf>
    <xf numFmtId="0" fontId="23" fillId="55" borderId="38" xfId="84" quotePrefix="1" applyFont="1" applyFill="1" applyBorder="1" applyAlignment="1" applyProtection="1">
      <alignment horizontal="center" vertical="center"/>
    </xf>
    <xf numFmtId="0" fontId="23" fillId="55" borderId="35" xfId="84" quotePrefix="1" applyFont="1" applyFill="1" applyBorder="1" applyAlignment="1" applyProtection="1">
      <alignment horizontal="center" vertical="center"/>
    </xf>
    <xf numFmtId="0" fontId="23" fillId="55" borderId="36" xfId="84" quotePrefix="1" applyFont="1" applyFill="1" applyBorder="1" applyAlignment="1" applyProtection="1">
      <alignment horizontal="center" vertical="center"/>
    </xf>
    <xf numFmtId="0" fontId="23" fillId="55" borderId="39" xfId="84" quotePrefix="1" applyFont="1" applyFill="1" applyBorder="1" applyAlignment="1" applyProtection="1">
      <alignment horizontal="center" vertical="center"/>
    </xf>
    <xf numFmtId="14" fontId="180" fillId="45" borderId="42" xfId="84" quotePrefix="1" applyNumberFormat="1" applyFont="1" applyFill="1" applyBorder="1" applyAlignment="1" applyProtection="1">
      <alignment horizontal="center" vertical="center"/>
      <protection locked="0"/>
    </xf>
    <xf numFmtId="14" fontId="180" fillId="45" borderId="64" xfId="84" applyNumberFormat="1" applyFont="1" applyFill="1" applyBorder="1" applyAlignment="1" applyProtection="1">
      <alignment horizontal="center" vertical="center"/>
      <protection locked="0"/>
    </xf>
    <xf numFmtId="14" fontId="180" fillId="45" borderId="62" xfId="84" applyNumberFormat="1" applyFont="1" applyFill="1" applyBorder="1" applyAlignment="1" applyProtection="1">
      <alignment horizontal="center" vertical="center"/>
      <protection locked="0"/>
    </xf>
    <xf numFmtId="14" fontId="180" fillId="45" borderId="15" xfId="84" applyNumberFormat="1" applyFont="1" applyFill="1" applyBorder="1" applyAlignment="1" applyProtection="1">
      <alignment horizontal="center" vertical="center"/>
      <protection locked="0"/>
    </xf>
    <xf numFmtId="190" fontId="144" fillId="45" borderId="66" xfId="0" quotePrefix="1" applyNumberFormat="1" applyFont="1" applyFill="1" applyBorder="1" applyAlignment="1" applyProtection="1">
      <alignment horizontal="center" vertical="center"/>
      <protection locked="0"/>
    </xf>
    <xf numFmtId="190" fontId="144" fillId="45" borderId="67" xfId="0" applyNumberFormat="1" applyFont="1" applyFill="1" applyBorder="1" applyAlignment="1" applyProtection="1">
      <alignment horizontal="center" vertical="center"/>
      <protection locked="0"/>
    </xf>
    <xf numFmtId="190" fontId="144" fillId="35" borderId="66" xfId="0" applyNumberFormat="1" applyFont="1" applyFill="1" applyBorder="1" applyAlignment="1" applyProtection="1">
      <alignment horizontal="center" vertical="center" wrapText="1"/>
      <protection locked="0"/>
    </xf>
    <xf numFmtId="190" fontId="144" fillId="35" borderId="66" xfId="0" applyNumberFormat="1" applyFont="1" applyFill="1" applyBorder="1" applyAlignment="1" applyProtection="1">
      <alignment horizontal="center" vertical="center"/>
      <protection locked="0"/>
    </xf>
    <xf numFmtId="0" fontId="97" fillId="35" borderId="38" xfId="0" applyFont="1" applyFill="1" applyBorder="1" applyAlignment="1">
      <alignment horizontal="center" vertical="center"/>
    </xf>
    <xf numFmtId="0" fontId="97" fillId="35" borderId="39" xfId="0" applyFont="1" applyFill="1" applyBorder="1" applyAlignment="1">
      <alignment horizontal="center" vertical="center"/>
    </xf>
    <xf numFmtId="0" fontId="49" fillId="5" borderId="42" xfId="84" quotePrefix="1" applyFont="1" applyFill="1" applyBorder="1" applyAlignment="1" applyProtection="1">
      <alignment horizontal="center" vertical="center"/>
    </xf>
    <xf numFmtId="0" fontId="49" fillId="5" borderId="43" xfId="84" quotePrefix="1" applyFont="1" applyFill="1" applyBorder="1" applyAlignment="1" applyProtection="1">
      <alignment horizontal="center" vertical="center"/>
    </xf>
    <xf numFmtId="0" fontId="49" fillId="5" borderId="44" xfId="84" quotePrefix="1" applyFont="1" applyFill="1" applyBorder="1" applyAlignment="1" applyProtection="1">
      <alignment horizontal="center" vertical="center"/>
    </xf>
    <xf numFmtId="0" fontId="49" fillId="5" borderId="45" xfId="84" quotePrefix="1" applyFont="1" applyFill="1" applyBorder="1" applyAlignment="1" applyProtection="1">
      <alignment horizontal="center" vertical="center"/>
    </xf>
    <xf numFmtId="0" fontId="49" fillId="5" borderId="40" xfId="84" quotePrefix="1" applyFont="1" applyFill="1" applyBorder="1" applyAlignment="1" applyProtection="1">
      <alignment horizontal="center" vertical="center"/>
    </xf>
    <xf numFmtId="0" fontId="49" fillId="5" borderId="41" xfId="84" quotePrefix="1" applyFont="1" applyFill="1" applyBorder="1" applyAlignment="1" applyProtection="1">
      <alignment horizontal="center" vertical="center"/>
    </xf>
    <xf numFmtId="0" fontId="49" fillId="8" borderId="32" xfId="0" applyFont="1" applyFill="1" applyBorder="1" applyAlignment="1">
      <alignment horizontal="center" vertical="center"/>
    </xf>
    <xf numFmtId="0" fontId="49" fillId="8" borderId="33" xfId="0" applyFont="1" applyFill="1" applyBorder="1" applyAlignment="1">
      <alignment horizontal="center" vertical="center"/>
    </xf>
    <xf numFmtId="0" fontId="49" fillId="8" borderId="38" xfId="0" applyFont="1" applyFill="1" applyBorder="1" applyAlignment="1">
      <alignment horizontal="center" vertical="center"/>
    </xf>
    <xf numFmtId="0" fontId="49" fillId="8" borderId="35" xfId="0" applyFont="1" applyFill="1" applyBorder="1" applyAlignment="1">
      <alignment horizontal="center" vertical="center"/>
    </xf>
    <xf numFmtId="0" fontId="49" fillId="8" borderId="36" xfId="0" applyFont="1" applyFill="1" applyBorder="1" applyAlignment="1">
      <alignment horizontal="center" vertical="center"/>
    </xf>
    <xf numFmtId="0" fontId="49" fillId="8" borderId="39" xfId="0" applyFont="1" applyFill="1" applyBorder="1" applyAlignment="1">
      <alignment horizontal="center" vertical="center"/>
    </xf>
    <xf numFmtId="0" fontId="237" fillId="35" borderId="32" xfId="84" applyFont="1" applyFill="1" applyBorder="1" applyAlignment="1" applyProtection="1">
      <alignment horizontal="center" vertical="center"/>
    </xf>
    <xf numFmtId="0" fontId="237" fillId="35" borderId="33" xfId="84" applyFont="1" applyFill="1" applyBorder="1" applyAlignment="1" applyProtection="1">
      <alignment horizontal="center" vertical="center"/>
    </xf>
    <xf numFmtId="0" fontId="237" fillId="35" borderId="38" xfId="84" applyFont="1" applyFill="1" applyBorder="1" applyAlignment="1" applyProtection="1">
      <alignment horizontal="center" vertical="center"/>
    </xf>
    <xf numFmtId="0" fontId="237" fillId="35" borderId="35" xfId="84" applyFont="1" applyFill="1" applyBorder="1" applyAlignment="1" applyProtection="1">
      <alignment horizontal="center" vertical="center"/>
    </xf>
    <xf numFmtId="0" fontId="237" fillId="35" borderId="36" xfId="84" applyFont="1" applyFill="1" applyBorder="1" applyAlignment="1" applyProtection="1">
      <alignment horizontal="center" vertical="center"/>
    </xf>
    <xf numFmtId="0" fontId="237" fillId="35" borderId="39" xfId="84" applyFont="1" applyFill="1" applyBorder="1" applyAlignment="1" applyProtection="1">
      <alignment horizontal="center" vertical="center"/>
    </xf>
    <xf numFmtId="0" fontId="49" fillId="44" borderId="32" xfId="84" quotePrefix="1" applyFont="1" applyFill="1" applyBorder="1" applyAlignment="1" applyProtection="1">
      <alignment horizontal="center" vertical="center"/>
    </xf>
    <xf numFmtId="0" fontId="49" fillId="44" borderId="33" xfId="84" quotePrefix="1" applyFont="1" applyFill="1" applyBorder="1" applyAlignment="1" applyProtection="1">
      <alignment horizontal="center" vertical="center"/>
    </xf>
    <xf numFmtId="0" fontId="49" fillId="44" borderId="38" xfId="84" quotePrefix="1" applyFont="1" applyFill="1" applyBorder="1" applyAlignment="1" applyProtection="1">
      <alignment horizontal="center" vertical="center"/>
    </xf>
    <xf numFmtId="0" fontId="49" fillId="44" borderId="35" xfId="84" quotePrefix="1" applyFont="1" applyFill="1" applyBorder="1" applyAlignment="1" applyProtection="1">
      <alignment horizontal="center" vertical="center"/>
    </xf>
    <xf numFmtId="0" fontId="49" fillId="44" borderId="36" xfId="84" quotePrefix="1" applyFont="1" applyFill="1" applyBorder="1" applyAlignment="1" applyProtection="1">
      <alignment horizontal="center" vertical="center"/>
    </xf>
    <xf numFmtId="0" fontId="49" fillId="44" borderId="39" xfId="84" quotePrefix="1" applyFont="1" applyFill="1" applyBorder="1" applyAlignment="1" applyProtection="1">
      <alignment horizontal="center" vertical="center"/>
    </xf>
    <xf numFmtId="0" fontId="49" fillId="8" borderId="32" xfId="84" quotePrefix="1" applyFont="1" applyFill="1" applyBorder="1" applyAlignment="1" applyProtection="1">
      <alignment horizontal="center" vertical="center"/>
    </xf>
    <xf numFmtId="0" fontId="49" fillId="8" borderId="33" xfId="84" applyFont="1" applyFill="1" applyBorder="1" applyAlignment="1" applyProtection="1">
      <alignment horizontal="center" vertical="center"/>
    </xf>
    <xf numFmtId="0" fontId="49" fillId="8" borderId="38" xfId="84" applyFont="1" applyFill="1" applyBorder="1" applyAlignment="1" applyProtection="1">
      <alignment horizontal="center" vertical="center"/>
    </xf>
    <xf numFmtId="0" fontId="49" fillId="8" borderId="35" xfId="84" applyFont="1" applyFill="1" applyBorder="1" applyAlignment="1" applyProtection="1">
      <alignment horizontal="center" vertical="center"/>
    </xf>
    <xf numFmtId="0" fontId="49" fillId="8" borderId="36" xfId="84" applyFont="1" applyFill="1" applyBorder="1" applyAlignment="1" applyProtection="1">
      <alignment horizontal="center" vertical="center"/>
    </xf>
    <xf numFmtId="0" fontId="49" fillId="8" borderId="39" xfId="84" applyFont="1" applyFill="1" applyBorder="1" applyAlignment="1" applyProtection="1">
      <alignment horizontal="center" vertical="center"/>
    </xf>
    <xf numFmtId="0" fontId="49" fillId="44" borderId="32" xfId="84" applyFont="1" applyFill="1" applyBorder="1" applyAlignment="1" applyProtection="1">
      <alignment horizontal="center" vertical="center"/>
    </xf>
    <xf numFmtId="0" fontId="49" fillId="44" borderId="33" xfId="84" applyFont="1" applyFill="1" applyBorder="1" applyAlignment="1" applyProtection="1">
      <alignment horizontal="center" vertical="center"/>
    </xf>
    <xf numFmtId="0" fontId="49" fillId="44" borderId="38" xfId="84" applyFont="1" applyFill="1" applyBorder="1" applyAlignment="1" applyProtection="1">
      <alignment horizontal="center" vertical="center"/>
    </xf>
    <xf numFmtId="0" fontId="49" fillId="44" borderId="35" xfId="84" applyFont="1" applyFill="1" applyBorder="1" applyAlignment="1" applyProtection="1">
      <alignment horizontal="center" vertical="center"/>
    </xf>
    <xf numFmtId="0" fontId="49" fillId="44" borderId="36" xfId="84" applyFont="1" applyFill="1" applyBorder="1" applyAlignment="1" applyProtection="1">
      <alignment horizontal="center" vertical="center"/>
    </xf>
    <xf numFmtId="0" fontId="49" fillId="44" borderId="39" xfId="84" applyFont="1" applyFill="1" applyBorder="1" applyAlignment="1" applyProtection="1">
      <alignment horizontal="center" vertical="center"/>
    </xf>
    <xf numFmtId="190" fontId="97" fillId="35" borderId="66" xfId="84" quotePrefix="1" applyNumberFormat="1" applyFont="1" applyFill="1" applyBorder="1" applyAlignment="1" applyProtection="1">
      <alignment horizontal="center" vertical="center"/>
      <protection locked="0"/>
    </xf>
    <xf numFmtId="190" fontId="97" fillId="35" borderId="67" xfId="84" applyNumberFormat="1" applyFont="1" applyFill="1" applyBorder="1" applyAlignment="1" applyProtection="1">
      <alignment horizontal="center" vertical="center"/>
      <protection locked="0"/>
    </xf>
    <xf numFmtId="0" fontId="49" fillId="8" borderId="32" xfId="84" applyFont="1" applyFill="1" applyBorder="1" applyAlignment="1" applyProtection="1">
      <alignment horizontal="center" vertical="center"/>
    </xf>
    <xf numFmtId="0" fontId="49" fillId="10" borderId="32" xfId="84" applyFont="1" applyFill="1" applyBorder="1" applyAlignment="1" applyProtection="1">
      <alignment horizontal="center" vertical="center"/>
    </xf>
    <xf numFmtId="0" fontId="49" fillId="10" borderId="33" xfId="84" applyFont="1" applyFill="1" applyBorder="1" applyAlignment="1" applyProtection="1">
      <alignment horizontal="center" vertical="center"/>
    </xf>
    <xf numFmtId="0" fontId="49" fillId="10" borderId="38" xfId="84" applyFont="1" applyFill="1" applyBorder="1" applyAlignment="1" applyProtection="1">
      <alignment horizontal="center" vertical="center"/>
    </xf>
    <xf numFmtId="0" fontId="49" fillId="10" borderId="35" xfId="84" applyFont="1" applyFill="1" applyBorder="1" applyAlignment="1" applyProtection="1">
      <alignment horizontal="center" vertical="center"/>
    </xf>
    <xf numFmtId="0" fontId="49" fillId="10" borderId="36" xfId="84" applyFont="1" applyFill="1" applyBorder="1" applyAlignment="1" applyProtection="1">
      <alignment horizontal="center" vertical="center"/>
    </xf>
    <xf numFmtId="0" fontId="49" fillId="10" borderId="39" xfId="84" applyFont="1" applyFill="1" applyBorder="1" applyAlignment="1" applyProtection="1">
      <alignment horizontal="center" vertical="center"/>
    </xf>
    <xf numFmtId="0" fontId="238" fillId="35" borderId="32" xfId="84" applyFont="1" applyFill="1" applyBorder="1" applyAlignment="1" applyProtection="1">
      <alignment horizontal="center" vertical="center"/>
    </xf>
    <xf numFmtId="0" fontId="238" fillId="35" borderId="33" xfId="84" applyFont="1" applyFill="1" applyBorder="1" applyAlignment="1" applyProtection="1">
      <alignment horizontal="center" vertical="center"/>
    </xf>
    <xf numFmtId="0" fontId="238" fillId="35" borderId="38" xfId="84" applyFont="1" applyFill="1" applyBorder="1" applyAlignment="1" applyProtection="1">
      <alignment horizontal="center" vertical="center"/>
    </xf>
    <xf numFmtId="0" fontId="238" fillId="35" borderId="35" xfId="84" applyFont="1" applyFill="1" applyBorder="1" applyAlignment="1" applyProtection="1">
      <alignment horizontal="center" vertical="center"/>
    </xf>
    <xf numFmtId="0" fontId="238" fillId="35" borderId="36" xfId="84" applyFont="1" applyFill="1" applyBorder="1" applyAlignment="1" applyProtection="1">
      <alignment horizontal="center" vertical="center"/>
    </xf>
    <xf numFmtId="0" fontId="238" fillId="35" borderId="39" xfId="84" applyFont="1" applyFill="1" applyBorder="1" applyAlignment="1" applyProtection="1">
      <alignment horizontal="center" vertical="center"/>
    </xf>
    <xf numFmtId="0" fontId="234" fillId="35" borderId="32" xfId="84" applyFont="1" applyFill="1" applyBorder="1" applyAlignment="1" applyProtection="1">
      <alignment horizontal="center" vertical="center" wrapText="1"/>
    </xf>
    <xf numFmtId="0" fontId="234" fillId="35" borderId="33" xfId="84" applyFont="1" applyFill="1" applyBorder="1" applyAlignment="1" applyProtection="1">
      <alignment horizontal="center" vertical="center"/>
    </xf>
    <xf numFmtId="0" fontId="234" fillId="35" borderId="38" xfId="84" applyFont="1" applyFill="1" applyBorder="1" applyAlignment="1" applyProtection="1">
      <alignment horizontal="center" vertical="center"/>
    </xf>
    <xf numFmtId="0" fontId="234" fillId="35" borderId="35" xfId="84" applyFont="1" applyFill="1" applyBorder="1" applyAlignment="1" applyProtection="1">
      <alignment horizontal="center" vertical="center"/>
    </xf>
    <xf numFmtId="0" fontId="234" fillId="35" borderId="36" xfId="84" applyFont="1" applyFill="1" applyBorder="1" applyAlignment="1" applyProtection="1">
      <alignment horizontal="center" vertical="center"/>
    </xf>
    <xf numFmtId="0" fontId="234" fillId="35" borderId="39" xfId="84" applyFont="1" applyFill="1" applyBorder="1" applyAlignment="1" applyProtection="1">
      <alignment horizontal="center" vertical="center"/>
    </xf>
    <xf numFmtId="0" fontId="49" fillId="5" borderId="32" xfId="84" quotePrefix="1" applyFont="1" applyFill="1" applyBorder="1" applyAlignment="1" applyProtection="1">
      <alignment horizontal="center" vertical="center"/>
    </xf>
    <xf numFmtId="0" fontId="49" fillId="5" borderId="33" xfId="84" applyFont="1" applyFill="1" applyBorder="1" applyAlignment="1" applyProtection="1">
      <alignment horizontal="center" vertical="center"/>
    </xf>
    <xf numFmtId="0" fontId="49" fillId="5" borderId="38" xfId="84" applyFont="1" applyFill="1" applyBorder="1" applyAlignment="1" applyProtection="1">
      <alignment horizontal="center" vertical="center"/>
    </xf>
    <xf numFmtId="0" fontId="49" fillId="5" borderId="35" xfId="84" applyFont="1" applyFill="1" applyBorder="1" applyAlignment="1" applyProtection="1">
      <alignment horizontal="center" vertical="center"/>
    </xf>
    <xf numFmtId="0" fontId="49" fillId="5" borderId="36" xfId="84" applyFont="1" applyFill="1" applyBorder="1" applyAlignment="1" applyProtection="1">
      <alignment horizontal="center" vertical="center"/>
    </xf>
    <xf numFmtId="0" fontId="49" fillId="5" borderId="39" xfId="84" applyFont="1" applyFill="1" applyBorder="1" applyAlignment="1" applyProtection="1">
      <alignment horizontal="center" vertical="center"/>
    </xf>
    <xf numFmtId="190" fontId="144" fillId="45" borderId="66" xfId="0" applyNumberFormat="1" applyFont="1" applyFill="1" applyBorder="1" applyAlignment="1" applyProtection="1">
      <alignment horizontal="center" vertical="center"/>
      <protection locked="0"/>
    </xf>
    <xf numFmtId="14" fontId="167" fillId="35" borderId="42" xfId="84" quotePrefix="1" applyNumberFormat="1" applyFont="1" applyFill="1" applyBorder="1" applyAlignment="1" applyProtection="1">
      <alignment horizontal="center" vertical="center"/>
      <protection locked="0"/>
    </xf>
    <xf numFmtId="14" fontId="167" fillId="35" borderId="44" xfId="84" applyNumberFormat="1" applyFont="1" applyFill="1" applyBorder="1" applyAlignment="1" applyProtection="1">
      <alignment horizontal="center" vertical="center"/>
      <protection locked="0"/>
    </xf>
    <xf numFmtId="14" fontId="167" fillId="35" borderId="62" xfId="84" applyNumberFormat="1" applyFont="1" applyFill="1" applyBorder="1" applyAlignment="1" applyProtection="1">
      <alignment horizontal="center" vertical="center"/>
      <protection locked="0"/>
    </xf>
    <xf numFmtId="14" fontId="167" fillId="35" borderId="63" xfId="84" applyNumberFormat="1" applyFont="1" applyFill="1" applyBorder="1" applyAlignment="1" applyProtection="1">
      <alignment horizontal="center" vertical="center"/>
      <protection locked="0"/>
    </xf>
    <xf numFmtId="14" fontId="97" fillId="35" borderId="42" xfId="0" quotePrefix="1" applyNumberFormat="1" applyFont="1" applyFill="1" applyBorder="1" applyAlignment="1" applyProtection="1">
      <alignment horizontal="center" vertical="center"/>
      <protection locked="0"/>
    </xf>
    <xf numFmtId="14" fontId="97" fillId="35" borderId="44" xfId="0" applyNumberFormat="1" applyFont="1" applyFill="1" applyBorder="1" applyAlignment="1" applyProtection="1">
      <alignment horizontal="center" vertical="center"/>
      <protection locked="0"/>
    </xf>
    <xf numFmtId="14" fontId="97" fillId="35" borderId="62" xfId="0" applyNumberFormat="1" applyFont="1" applyFill="1" applyBorder="1" applyAlignment="1" applyProtection="1">
      <alignment horizontal="center" vertical="center"/>
      <protection locked="0"/>
    </xf>
    <xf numFmtId="14" fontId="97" fillId="35" borderId="63" xfId="0" applyNumberFormat="1" applyFont="1" applyFill="1" applyBorder="1" applyAlignment="1" applyProtection="1">
      <alignment horizontal="center" vertical="center"/>
      <protection locked="0"/>
    </xf>
    <xf numFmtId="0" fontId="49" fillId="35" borderId="32" xfId="84" applyFont="1" applyFill="1" applyBorder="1" applyAlignment="1" applyProtection="1">
      <alignment horizontal="center" vertical="center"/>
    </xf>
    <xf numFmtId="0" fontId="49" fillId="35" borderId="33" xfId="84" applyFont="1" applyFill="1" applyBorder="1" applyAlignment="1" applyProtection="1">
      <alignment horizontal="center" vertical="center"/>
    </xf>
    <xf numFmtId="0" fontId="49" fillId="35" borderId="38" xfId="84" applyFont="1" applyFill="1" applyBorder="1" applyAlignment="1" applyProtection="1">
      <alignment horizontal="center" vertical="center"/>
    </xf>
    <xf numFmtId="0" fontId="49" fillId="35" borderId="35" xfId="84" applyFont="1" applyFill="1" applyBorder="1" applyAlignment="1" applyProtection="1">
      <alignment horizontal="center" vertical="center"/>
    </xf>
    <xf numFmtId="0" fontId="49" fillId="35" borderId="36" xfId="84" applyFont="1" applyFill="1" applyBorder="1" applyAlignment="1" applyProtection="1">
      <alignment horizontal="center" vertical="center"/>
    </xf>
    <xf numFmtId="0" fontId="49" fillId="35" borderId="39" xfId="84" applyFont="1" applyFill="1" applyBorder="1" applyAlignment="1" applyProtection="1">
      <alignment horizontal="center" vertical="center"/>
    </xf>
    <xf numFmtId="14" fontId="115" fillId="35" borderId="42" xfId="0" quotePrefix="1" applyNumberFormat="1" applyFont="1" applyFill="1" applyBorder="1" applyAlignment="1" applyProtection="1">
      <alignment horizontal="center" vertical="center"/>
      <protection locked="0"/>
    </xf>
    <xf numFmtId="14" fontId="115" fillId="35" borderId="44" xfId="0" applyNumberFormat="1" applyFont="1" applyFill="1" applyBorder="1" applyAlignment="1" applyProtection="1">
      <alignment horizontal="center" vertical="center"/>
      <protection locked="0"/>
    </xf>
    <xf numFmtId="14" fontId="115" fillId="35" borderId="62" xfId="0" applyNumberFormat="1" applyFont="1" applyFill="1" applyBorder="1" applyAlignment="1" applyProtection="1">
      <alignment horizontal="center" vertical="center"/>
      <protection locked="0"/>
    </xf>
    <xf numFmtId="14" fontId="115" fillId="35" borderId="63" xfId="0" applyNumberFormat="1" applyFont="1" applyFill="1" applyBorder="1" applyAlignment="1" applyProtection="1">
      <alignment horizontal="center" vertical="center"/>
      <protection locked="0"/>
    </xf>
    <xf numFmtId="0" fontId="49" fillId="35" borderId="68" xfId="0" applyFont="1" applyFill="1" applyBorder="1" applyAlignment="1">
      <alignment horizontal="left" vertical="center" wrapText="1"/>
    </xf>
    <xf numFmtId="0" fontId="49" fillId="35" borderId="0" xfId="0" applyFont="1" applyFill="1" applyBorder="1" applyAlignment="1">
      <alignment horizontal="left" vertical="center" wrapText="1"/>
    </xf>
    <xf numFmtId="0" fontId="238" fillId="35" borderId="32" xfId="84" quotePrefix="1" applyFont="1" applyFill="1" applyBorder="1" applyAlignment="1" applyProtection="1">
      <alignment horizontal="center" vertical="center"/>
    </xf>
    <xf numFmtId="14" fontId="57" fillId="35" borderId="42" xfId="0" quotePrefix="1" applyNumberFormat="1" applyFont="1" applyFill="1" applyBorder="1" applyAlignment="1" applyProtection="1">
      <alignment horizontal="center" vertical="center"/>
      <protection locked="0"/>
    </xf>
    <xf numFmtId="14" fontId="57" fillId="35" borderId="64" xfId="0" applyNumberFormat="1" applyFont="1" applyFill="1" applyBorder="1" applyAlignment="1" applyProtection="1">
      <alignment horizontal="center" vertical="center"/>
      <protection locked="0"/>
    </xf>
    <xf numFmtId="14" fontId="57" fillId="35" borderId="62" xfId="0" applyNumberFormat="1" applyFont="1" applyFill="1" applyBorder="1" applyAlignment="1" applyProtection="1">
      <alignment horizontal="center" vertical="center"/>
      <protection locked="0"/>
    </xf>
    <xf numFmtId="14" fontId="57" fillId="35" borderId="15" xfId="0" applyNumberFormat="1" applyFont="1" applyFill="1" applyBorder="1" applyAlignment="1" applyProtection="1">
      <alignment horizontal="center" vertical="center"/>
      <protection locked="0"/>
    </xf>
    <xf numFmtId="0" fontId="13" fillId="5" borderId="0" xfId="0" applyFont="1" applyFill="1" applyAlignment="1">
      <alignment horizontal="center" vertical="center" wrapText="1"/>
    </xf>
    <xf numFmtId="0" fontId="23" fillId="6" borderId="0" xfId="0" applyFont="1" applyFill="1" applyAlignment="1">
      <alignment horizontal="center" vertical="center" wrapText="1"/>
    </xf>
    <xf numFmtId="177" fontId="49" fillId="0" borderId="5" xfId="1" applyNumberFormat="1" applyFont="1" applyFill="1" applyBorder="1" applyAlignment="1" applyProtection="1">
      <alignment horizontal="center" vertical="center"/>
    </xf>
    <xf numFmtId="177" fontId="49" fillId="0" borderId="9" xfId="1" applyNumberFormat="1" applyFont="1" applyFill="1" applyBorder="1" applyAlignment="1" applyProtection="1">
      <alignment horizontal="center" vertical="center"/>
    </xf>
    <xf numFmtId="177" fontId="49" fillId="0" borderId="6" xfId="1" applyNumberFormat="1" applyFont="1" applyFill="1" applyBorder="1" applyAlignment="1" applyProtection="1">
      <alignment horizontal="center" vertical="center"/>
    </xf>
    <xf numFmtId="0" fontId="37" fillId="0" borderId="5" xfId="0" applyFont="1" applyFill="1" applyBorder="1" applyAlignment="1" applyProtection="1">
      <alignment horizontal="center" vertical="center" wrapText="1"/>
      <protection locked="0"/>
    </xf>
    <xf numFmtId="0" fontId="37" fillId="0" borderId="9" xfId="0" applyFont="1" applyFill="1" applyBorder="1" applyAlignment="1" applyProtection="1">
      <alignment horizontal="center" vertical="center" wrapText="1"/>
      <protection locked="0"/>
    </xf>
    <xf numFmtId="0" fontId="37" fillId="0" borderId="6"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protection locked="0"/>
    </xf>
    <xf numFmtId="0" fontId="37" fillId="0" borderId="1"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xf>
    <xf numFmtId="0" fontId="49" fillId="0" borderId="3" xfId="0" applyFont="1" applyFill="1" applyBorder="1" applyAlignment="1" applyProtection="1">
      <alignment horizontal="center" vertical="center" wrapText="1"/>
    </xf>
    <xf numFmtId="0" fontId="49" fillId="0" borderId="90" xfId="0" applyFont="1" applyFill="1" applyBorder="1" applyAlignment="1" applyProtection="1">
      <alignment horizontal="center" vertical="center" wrapText="1"/>
    </xf>
    <xf numFmtId="188" fontId="37" fillId="0" borderId="5" xfId="0" applyNumberFormat="1" applyFont="1" applyFill="1" applyBorder="1" applyAlignment="1" applyProtection="1">
      <alignment horizontal="center" vertical="center" wrapText="1"/>
      <protection locked="0"/>
    </xf>
    <xf numFmtId="188" fontId="37" fillId="0" borderId="9" xfId="0" applyNumberFormat="1" applyFont="1" applyFill="1" applyBorder="1" applyAlignment="1" applyProtection="1">
      <alignment horizontal="center" vertical="center" wrapText="1"/>
      <protection locked="0"/>
    </xf>
    <xf numFmtId="188" fontId="37" fillId="0" borderId="6" xfId="0" applyNumberFormat="1" applyFont="1" applyFill="1" applyBorder="1" applyAlignment="1" applyProtection="1">
      <alignment horizontal="center" vertical="center" wrapText="1"/>
      <protection locked="0"/>
    </xf>
    <xf numFmtId="188" fontId="37" fillId="0" borderId="1" xfId="0" applyNumberFormat="1" applyFont="1" applyFill="1" applyBorder="1" applyAlignment="1" applyProtection="1">
      <alignment horizontal="center" vertical="center" wrapText="1"/>
      <protection locked="0"/>
    </xf>
    <xf numFmtId="0" fontId="49" fillId="0" borderId="1" xfId="0" applyFont="1" applyFill="1" applyBorder="1" applyAlignment="1" applyProtection="1">
      <alignment horizontal="center" vertical="center" wrapText="1"/>
    </xf>
    <xf numFmtId="43" fontId="37" fillId="52" borderId="5" xfId="0" applyNumberFormat="1" applyFont="1" applyFill="1" applyBorder="1" applyAlignment="1" applyProtection="1">
      <alignment horizontal="center" vertical="center" wrapText="1"/>
      <protection locked="0"/>
    </xf>
    <xf numFmtId="43" fontId="37" fillId="52" borderId="9" xfId="0" applyNumberFormat="1" applyFont="1" applyFill="1" applyBorder="1" applyAlignment="1" applyProtection="1">
      <alignment horizontal="center" vertical="center" wrapText="1"/>
      <protection locked="0"/>
    </xf>
    <xf numFmtId="43" fontId="37" fillId="52" borderId="6" xfId="0" applyNumberFormat="1" applyFont="1" applyFill="1" applyBorder="1" applyAlignment="1" applyProtection="1">
      <alignment horizontal="center" vertical="center" wrapText="1"/>
      <protection locked="0"/>
    </xf>
    <xf numFmtId="43" fontId="37" fillId="52" borderId="1" xfId="0" applyNumberFormat="1" applyFont="1" applyFill="1" applyBorder="1" applyAlignment="1" applyProtection="1">
      <alignment horizontal="center" vertical="center" wrapText="1"/>
      <protection locked="0"/>
    </xf>
    <xf numFmtId="177" fontId="37" fillId="0" borderId="5" xfId="0" applyNumberFormat="1" applyFont="1" applyFill="1" applyBorder="1" applyAlignment="1" applyProtection="1">
      <alignment horizontal="center" vertical="center" wrapText="1"/>
    </xf>
    <xf numFmtId="177" fontId="37" fillId="0" borderId="9" xfId="0" applyNumberFormat="1" applyFont="1" applyFill="1" applyBorder="1" applyAlignment="1" applyProtection="1">
      <alignment horizontal="center" vertical="center" wrapText="1"/>
    </xf>
    <xf numFmtId="177" fontId="37" fillId="0" borderId="6" xfId="0" applyNumberFormat="1" applyFont="1" applyFill="1" applyBorder="1" applyAlignment="1" applyProtection="1">
      <alignment horizontal="center" vertical="center" wrapText="1"/>
    </xf>
    <xf numFmtId="178" fontId="37" fillId="0" borderId="5" xfId="0" applyNumberFormat="1" applyFont="1" applyFill="1" applyBorder="1" applyAlignment="1" applyProtection="1">
      <alignment horizontal="center" vertical="center" wrapText="1"/>
      <protection locked="0"/>
    </xf>
    <xf numFmtId="178" fontId="37" fillId="0" borderId="9" xfId="0" applyNumberFormat="1" applyFont="1" applyFill="1" applyBorder="1" applyAlignment="1" applyProtection="1">
      <alignment horizontal="center" vertical="center" wrapText="1"/>
      <protection locked="0"/>
    </xf>
    <xf numFmtId="178" fontId="37" fillId="0" borderId="6" xfId="0" applyNumberFormat="1" applyFont="1" applyFill="1" applyBorder="1" applyAlignment="1" applyProtection="1">
      <alignment horizontal="center" vertical="center" wrapText="1"/>
      <protection locked="0"/>
    </xf>
    <xf numFmtId="0" fontId="97" fillId="0" borderId="3" xfId="0" applyFont="1" applyFill="1" applyBorder="1" applyAlignment="1" applyProtection="1">
      <alignment horizontal="center" vertical="center" wrapText="1"/>
    </xf>
    <xf numFmtId="0" fontId="97" fillId="0" borderId="10" xfId="0" applyFont="1" applyFill="1" applyBorder="1" applyAlignment="1" applyProtection="1">
      <alignment horizontal="center" vertical="center" wrapText="1"/>
    </xf>
    <xf numFmtId="178" fontId="37" fillId="0" borderId="1" xfId="0" applyNumberFormat="1" applyFont="1" applyFill="1" applyBorder="1" applyAlignment="1" applyProtection="1">
      <alignment horizontal="center" vertical="center" wrapText="1"/>
      <protection locked="0"/>
    </xf>
    <xf numFmtId="177" fontId="49" fillId="0" borderId="1" xfId="1" applyNumberFormat="1" applyFont="1" applyFill="1" applyBorder="1" applyAlignment="1" applyProtection="1">
      <alignment horizontal="center" vertical="center"/>
    </xf>
    <xf numFmtId="0" fontId="37" fillId="9" borderId="1" xfId="0" applyFont="1" applyFill="1" applyBorder="1" applyAlignment="1">
      <alignment horizontal="center" vertical="center"/>
    </xf>
    <xf numFmtId="41" fontId="37" fillId="0" borderId="5" xfId="0" applyNumberFormat="1" applyFont="1" applyFill="1" applyBorder="1" applyAlignment="1" applyProtection="1">
      <alignment horizontal="center" vertical="center" wrapText="1"/>
      <protection locked="0"/>
    </xf>
    <xf numFmtId="41" fontId="37" fillId="0" borderId="9" xfId="0" applyNumberFormat="1" applyFont="1" applyFill="1" applyBorder="1" applyAlignment="1" applyProtection="1">
      <alignment horizontal="center" vertical="center" wrapText="1"/>
      <protection locked="0"/>
    </xf>
    <xf numFmtId="41" fontId="37" fillId="0" borderId="6" xfId="0" applyNumberFormat="1" applyFont="1" applyFill="1" applyBorder="1" applyAlignment="1" applyProtection="1">
      <alignment horizontal="center" vertical="center" wrapText="1"/>
      <protection locked="0"/>
    </xf>
    <xf numFmtId="41" fontId="37" fillId="0" borderId="1" xfId="0" applyNumberFormat="1" applyFont="1" applyFill="1" applyBorder="1" applyAlignment="1" applyProtection="1">
      <alignment horizontal="center" vertical="center" wrapText="1"/>
      <protection locked="0"/>
    </xf>
    <xf numFmtId="0" fontId="51" fillId="0" borderId="3" xfId="8" applyFont="1" applyFill="1" applyBorder="1" applyAlignment="1" applyProtection="1">
      <alignment horizontal="center" vertical="center"/>
    </xf>
    <xf numFmtId="0" fontId="51" fillId="0" borderId="2" xfId="8"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51" fillId="0" borderId="1" xfId="0" applyNumberFormat="1" applyFont="1" applyFill="1" applyBorder="1" applyAlignment="1" applyProtection="1">
      <alignment horizontal="center" vertical="center"/>
    </xf>
    <xf numFmtId="0" fontId="58" fillId="0" borderId="0" xfId="0" applyFont="1" applyAlignment="1" applyProtection="1">
      <alignment horizontal="center" vertical="center" wrapText="1"/>
    </xf>
    <xf numFmtId="20" fontId="23" fillId="0" borderId="5" xfId="0" quotePrefix="1" applyNumberFormat="1" applyFont="1" applyFill="1" applyBorder="1" applyAlignment="1" applyProtection="1">
      <alignment horizontal="center" vertical="center" wrapText="1"/>
    </xf>
    <xf numFmtId="0" fontId="23" fillId="0" borderId="9" xfId="0" applyFont="1" applyFill="1" applyBorder="1" applyAlignment="1" applyProtection="1">
      <alignment horizontal="center" vertical="center" wrapText="1"/>
    </xf>
    <xf numFmtId="0" fontId="23" fillId="0" borderId="6" xfId="0" applyFont="1" applyFill="1" applyBorder="1" applyAlignment="1" applyProtection="1">
      <alignment horizontal="center" vertical="center" wrapText="1"/>
    </xf>
    <xf numFmtId="20" fontId="51" fillId="0" borderId="5" xfId="0" quotePrefix="1" applyNumberFormat="1" applyFont="1" applyFill="1" applyBorder="1" applyAlignment="1" applyProtection="1">
      <alignment horizontal="center" vertical="center" wrapText="1"/>
    </xf>
    <xf numFmtId="0" fontId="51" fillId="0" borderId="9" xfId="0" applyFont="1" applyFill="1" applyBorder="1" applyAlignment="1" applyProtection="1">
      <alignment horizontal="center" vertical="center" wrapText="1"/>
    </xf>
    <xf numFmtId="0" fontId="51" fillId="0" borderId="6" xfId="0" applyFont="1" applyFill="1" applyBorder="1" applyAlignment="1" applyProtection="1">
      <alignment horizontal="center" vertical="center" wrapText="1"/>
    </xf>
    <xf numFmtId="0" fontId="23" fillId="0" borderId="13" xfId="0" applyFont="1" applyFill="1" applyBorder="1" applyAlignment="1" applyProtection="1">
      <alignment horizontal="center" vertical="center"/>
    </xf>
    <xf numFmtId="0" fontId="23" fillId="0" borderId="8" xfId="0" applyFont="1" applyFill="1" applyBorder="1" applyAlignment="1" applyProtection="1">
      <alignment horizontal="center" vertical="center"/>
    </xf>
    <xf numFmtId="0" fontId="23" fillId="0" borderId="12" xfId="0" applyFont="1" applyFill="1" applyBorder="1" applyAlignment="1" applyProtection="1">
      <alignment horizontal="center" vertical="center"/>
    </xf>
    <xf numFmtId="0" fontId="51" fillId="0" borderId="13" xfId="0" applyFont="1" applyFill="1" applyBorder="1" applyAlignment="1" applyProtection="1">
      <alignment horizontal="center" vertical="center"/>
    </xf>
    <xf numFmtId="0" fontId="51" fillId="0" borderId="8" xfId="0" applyFont="1" applyFill="1" applyBorder="1" applyAlignment="1" applyProtection="1">
      <alignment horizontal="center" vertical="center"/>
    </xf>
    <xf numFmtId="0" fontId="51" fillId="0" borderId="12" xfId="0" applyFont="1" applyFill="1" applyBorder="1" applyAlignment="1" applyProtection="1">
      <alignment horizontal="center" vertical="center"/>
    </xf>
    <xf numFmtId="182" fontId="39" fillId="0" borderId="73" xfId="8" applyNumberFormat="1" applyFont="1" applyFill="1" applyBorder="1" applyAlignment="1" applyProtection="1">
      <alignment horizontal="left" vertical="center" wrapText="1"/>
    </xf>
    <xf numFmtId="0" fontId="39" fillId="0" borderId="73" xfId="8" applyFont="1" applyFill="1" applyBorder="1" applyAlignment="1" applyProtection="1">
      <alignment horizontal="left" vertical="center" wrapText="1"/>
    </xf>
    <xf numFmtId="0" fontId="54" fillId="0" borderId="1" xfId="0" applyFont="1" applyFill="1" applyBorder="1" applyAlignment="1" applyProtection="1">
      <alignment horizontal="center" vertical="center" wrapText="1"/>
    </xf>
    <xf numFmtId="0" fontId="54" fillId="0" borderId="1" xfId="0" applyFont="1" applyFill="1" applyBorder="1" applyAlignment="1" applyProtection="1">
      <alignment horizontal="center" vertical="center"/>
    </xf>
    <xf numFmtId="0" fontId="54" fillId="0" borderId="5" xfId="0" applyFont="1" applyFill="1" applyBorder="1" applyAlignment="1" applyProtection="1">
      <alignment horizontal="center" vertical="center"/>
    </xf>
    <xf numFmtId="0" fontId="54" fillId="0" borderId="6" xfId="0" applyFont="1" applyFill="1" applyBorder="1" applyAlignment="1" applyProtection="1">
      <alignment horizontal="center" vertical="center"/>
    </xf>
    <xf numFmtId="0" fontId="54" fillId="0" borderId="5" xfId="0" applyFont="1" applyFill="1" applyBorder="1" applyAlignment="1" applyProtection="1">
      <alignment horizontal="center" vertical="center" wrapText="1"/>
    </xf>
    <xf numFmtId="0" fontId="54" fillId="0" borderId="6" xfId="0" applyFont="1" applyFill="1" applyBorder="1" applyAlignment="1" applyProtection="1">
      <alignment horizontal="center" vertical="center" wrapText="1"/>
    </xf>
    <xf numFmtId="0" fontId="54" fillId="0" borderId="13" xfId="0" applyFont="1" applyFill="1" applyBorder="1" applyAlignment="1" applyProtection="1">
      <alignment horizontal="center" vertical="center" wrapText="1"/>
    </xf>
    <xf numFmtId="0" fontId="54" fillId="0" borderId="8" xfId="0" applyFont="1" applyFill="1" applyBorder="1" applyAlignment="1" applyProtection="1">
      <alignment horizontal="center" vertical="center" wrapText="1"/>
    </xf>
    <xf numFmtId="0" fontId="54" fillId="0" borderId="12" xfId="0" applyFont="1" applyFill="1" applyBorder="1" applyAlignment="1" applyProtection="1">
      <alignment horizontal="center" vertical="center" wrapText="1"/>
    </xf>
    <xf numFmtId="0" fontId="54" fillId="0" borderId="4" xfId="0" applyFont="1" applyFill="1" applyBorder="1" applyAlignment="1" applyProtection="1">
      <alignment horizontal="center" vertical="center" wrapText="1"/>
    </xf>
    <xf numFmtId="0" fontId="54" fillId="0" borderId="7" xfId="0" applyFont="1" applyFill="1" applyBorder="1" applyAlignment="1" applyProtection="1">
      <alignment horizontal="center" vertical="center" wrapText="1"/>
    </xf>
    <xf numFmtId="0" fontId="54" fillId="0" borderId="15" xfId="0" applyFont="1" applyFill="1" applyBorder="1" applyAlignment="1" applyProtection="1">
      <alignment horizontal="center" vertical="center" wrapText="1"/>
    </xf>
    <xf numFmtId="14" fontId="142" fillId="50" borderId="7" xfId="8" applyNumberFormat="1" applyFont="1" applyFill="1" applyBorder="1" applyAlignment="1" applyProtection="1">
      <alignment horizontal="center" vertical="center" wrapText="1"/>
      <protection locked="0"/>
    </xf>
    <xf numFmtId="20" fontId="67" fillId="0" borderId="81" xfId="0" applyNumberFormat="1" applyFont="1" applyFill="1" applyBorder="1" applyAlignment="1" applyProtection="1">
      <alignment horizontal="center" vertical="center" wrapText="1"/>
    </xf>
    <xf numFmtId="0" fontId="67" fillId="0" borderId="82" xfId="0" applyFont="1" applyFill="1" applyBorder="1" applyAlignment="1" applyProtection="1">
      <alignment horizontal="center" vertical="center" wrapText="1"/>
    </xf>
    <xf numFmtId="0" fontId="67" fillId="0" borderId="83" xfId="0" applyFont="1" applyFill="1" applyBorder="1" applyAlignment="1" applyProtection="1">
      <alignment horizontal="center" vertical="center" wrapText="1"/>
    </xf>
    <xf numFmtId="0" fontId="67" fillId="0" borderId="85" xfId="0" applyFont="1" applyFill="1" applyBorder="1" applyAlignment="1" applyProtection="1">
      <alignment horizontal="center" vertical="center"/>
    </xf>
    <xf numFmtId="0" fontId="67" fillId="0" borderId="86" xfId="0" applyFont="1" applyFill="1" applyBorder="1" applyAlignment="1" applyProtection="1">
      <alignment horizontal="center" vertical="center"/>
    </xf>
    <xf numFmtId="0" fontId="51" fillId="0" borderId="10" xfId="8" applyFont="1" applyFill="1" applyBorder="1" applyAlignment="1" applyProtection="1">
      <alignment horizontal="center" vertical="center"/>
    </xf>
    <xf numFmtId="0" fontId="54" fillId="0" borderId="1" xfId="8" applyFont="1" applyFill="1" applyBorder="1" applyAlignment="1" applyProtection="1">
      <alignment horizontal="center" vertical="center" wrapText="1"/>
    </xf>
    <xf numFmtId="0" fontId="23" fillId="0" borderId="5" xfId="8" applyFont="1" applyFill="1" applyBorder="1" applyAlignment="1" applyProtection="1">
      <alignment horizontal="center" vertical="center" wrapText="1"/>
    </xf>
    <xf numFmtId="0" fontId="23" fillId="0" borderId="9" xfId="8" applyFont="1" applyFill="1" applyBorder="1" applyAlignment="1" applyProtection="1">
      <alignment horizontal="center" vertical="center" wrapText="1"/>
    </xf>
    <xf numFmtId="0" fontId="23" fillId="0" borderId="8" xfId="8" applyFont="1" applyFill="1" applyBorder="1" applyAlignment="1" applyProtection="1">
      <alignment horizontal="center" vertical="center" wrapText="1"/>
    </xf>
    <xf numFmtId="0" fontId="23" fillId="0" borderId="6" xfId="8" applyFont="1" applyFill="1" applyBorder="1" applyAlignment="1" applyProtection="1">
      <alignment horizontal="center" vertical="center" wrapText="1"/>
    </xf>
    <xf numFmtId="0" fontId="54" fillId="0" borderId="12" xfId="0" applyFont="1" applyFill="1" applyBorder="1" applyAlignment="1" applyProtection="1">
      <alignment horizontal="center" vertical="center"/>
    </xf>
    <xf numFmtId="0" fontId="54" fillId="0" borderId="11" xfId="0" applyFont="1" applyFill="1" applyBorder="1" applyAlignment="1" applyProtection="1">
      <alignment horizontal="center" vertical="center"/>
    </xf>
    <xf numFmtId="0" fontId="54" fillId="0" borderId="16" xfId="0" applyFont="1" applyFill="1" applyBorder="1" applyAlignment="1" applyProtection="1">
      <alignment horizontal="center" vertical="center"/>
    </xf>
    <xf numFmtId="0" fontId="54" fillId="0" borderId="4" xfId="0" applyFont="1" applyFill="1" applyBorder="1" applyAlignment="1" applyProtection="1">
      <alignment horizontal="center" vertical="center"/>
    </xf>
    <xf numFmtId="0" fontId="54" fillId="0" borderId="15" xfId="0" applyFont="1" applyFill="1" applyBorder="1" applyAlignment="1" applyProtection="1">
      <alignment horizontal="center" vertical="center"/>
    </xf>
    <xf numFmtId="0" fontId="13" fillId="0" borderId="1" xfId="8" applyFont="1" applyFill="1" applyBorder="1" applyAlignment="1" applyProtection="1">
      <alignment horizontal="center" vertical="center" wrapText="1"/>
    </xf>
    <xf numFmtId="0" fontId="13" fillId="0" borderId="5" xfId="8"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51" fillId="0" borderId="90" xfId="0" applyNumberFormat="1" applyFont="1" applyFill="1" applyBorder="1" applyAlignment="1" applyProtection="1">
      <alignment horizontal="center" vertical="center" wrapText="1"/>
    </xf>
    <xf numFmtId="0" fontId="54" fillId="0" borderId="6" xfId="8" applyFont="1" applyFill="1" applyBorder="1" applyAlignment="1" applyProtection="1">
      <alignment horizontal="center" vertical="center" wrapText="1"/>
    </xf>
    <xf numFmtId="0" fontId="54" fillId="0" borderId="9" xfId="8" applyFont="1" applyFill="1" applyBorder="1" applyAlignment="1" applyProtection="1">
      <alignment horizontal="center" vertical="center" wrapText="1"/>
    </xf>
    <xf numFmtId="0" fontId="54" fillId="0" borderId="5" xfId="8" applyFont="1" applyFill="1" applyBorder="1" applyAlignment="1" applyProtection="1">
      <alignment horizontal="center" vertical="center" wrapText="1"/>
    </xf>
    <xf numFmtId="0" fontId="13" fillId="0" borderId="9" xfId="8" applyFont="1" applyFill="1" applyBorder="1" applyAlignment="1" applyProtection="1">
      <alignment horizontal="center" vertical="center" wrapText="1"/>
    </xf>
    <xf numFmtId="0" fontId="23" fillId="0" borderId="0" xfId="8" applyFont="1" applyFill="1" applyBorder="1" applyAlignment="1" applyProtection="1">
      <alignment horizontal="center" vertical="center" wrapText="1"/>
    </xf>
    <xf numFmtId="0" fontId="54" fillId="0" borderId="9" xfId="0" applyFont="1" applyFill="1" applyBorder="1" applyAlignment="1" applyProtection="1">
      <alignment horizontal="center" vertical="center" wrapText="1"/>
    </xf>
    <xf numFmtId="0" fontId="49" fillId="0" borderId="5" xfId="0" applyFont="1" applyFill="1" applyBorder="1" applyAlignment="1" applyProtection="1">
      <alignment horizontal="center" vertical="center" wrapText="1"/>
      <protection locked="0"/>
    </xf>
    <xf numFmtId="0" fontId="49" fillId="0" borderId="9" xfId="0" applyFont="1" applyFill="1" applyBorder="1" applyAlignment="1" applyProtection="1">
      <alignment horizontal="center" vertical="center" wrapText="1"/>
      <protection locked="0"/>
    </xf>
    <xf numFmtId="0" fontId="13" fillId="0" borderId="6" xfId="8" applyFont="1" applyFill="1" applyBorder="1" applyAlignment="1" applyProtection="1">
      <alignment horizontal="center" vertical="center" wrapText="1"/>
    </xf>
    <xf numFmtId="0" fontId="49" fillId="0" borderId="6" xfId="0" applyFont="1" applyFill="1" applyBorder="1" applyAlignment="1" applyProtection="1">
      <alignment horizontal="center" vertical="center" wrapText="1"/>
      <protection locked="0"/>
    </xf>
    <xf numFmtId="0" fontId="49" fillId="0" borderId="1" xfId="0" applyFont="1" applyFill="1" applyBorder="1" applyAlignment="1" applyProtection="1">
      <alignment horizontal="center" vertical="center" wrapText="1"/>
      <protection locked="0"/>
    </xf>
    <xf numFmtId="0" fontId="59" fillId="0" borderId="0" xfId="8" applyFont="1" applyFill="1" applyBorder="1" applyAlignment="1" applyProtection="1">
      <alignment horizontal="center" vertical="center" wrapText="1"/>
    </xf>
    <xf numFmtId="0" fontId="59" fillId="0" borderId="16" xfId="8" applyFont="1" applyFill="1" applyBorder="1" applyAlignment="1" applyProtection="1">
      <alignment horizontal="center" vertical="center" wrapText="1"/>
    </xf>
    <xf numFmtId="0" fontId="67" fillId="0" borderId="1" xfId="8" applyFont="1" applyFill="1" applyBorder="1" applyAlignment="1" applyProtection="1">
      <alignment horizontal="center" vertical="center" wrapText="1"/>
    </xf>
    <xf numFmtId="182" fontId="39" fillId="0" borderId="7" xfId="8" applyNumberFormat="1" applyFont="1" applyFill="1" applyBorder="1" applyAlignment="1" applyProtection="1">
      <alignment horizontal="center" vertical="center" wrapText="1"/>
    </xf>
    <xf numFmtId="0" fontId="39" fillId="0" borderId="7" xfId="8"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wrapText="1"/>
    </xf>
    <xf numFmtId="0" fontId="51" fillId="0" borderId="1" xfId="0" applyFont="1" applyFill="1" applyBorder="1" applyAlignment="1" applyProtection="1">
      <alignment horizontal="center" vertical="center"/>
    </xf>
    <xf numFmtId="0" fontId="49" fillId="0" borderId="5" xfId="0" applyFont="1" applyFill="1" applyBorder="1" applyAlignment="1" applyProtection="1">
      <alignment horizontal="center" vertical="center" wrapText="1"/>
    </xf>
    <xf numFmtId="0" fontId="49" fillId="0" borderId="9" xfId="0" applyFont="1" applyFill="1" applyBorder="1" applyAlignment="1" applyProtection="1">
      <alignment horizontal="center" vertical="center" wrapText="1"/>
    </xf>
    <xf numFmtId="0" fontId="49" fillId="0" borderId="6" xfId="0" applyFont="1" applyFill="1" applyBorder="1" applyAlignment="1" applyProtection="1">
      <alignment horizontal="center" vertical="center" wrapText="1"/>
    </xf>
    <xf numFmtId="0" fontId="67" fillId="0" borderId="1" xfId="8" applyFont="1" applyFill="1" applyBorder="1" applyAlignment="1" applyProtection="1">
      <alignment horizontal="center" vertical="center"/>
      <protection locked="0"/>
    </xf>
    <xf numFmtId="0" fontId="23" fillId="0" borderId="5" xfId="8" applyFont="1" applyFill="1" applyBorder="1" applyAlignment="1" applyProtection="1">
      <alignment horizontal="center" vertical="center"/>
    </xf>
    <xf numFmtId="0" fontId="23" fillId="0" borderId="6" xfId="8" applyFont="1" applyFill="1" applyBorder="1" applyAlignment="1" applyProtection="1">
      <alignment horizontal="center" vertical="center"/>
    </xf>
    <xf numFmtId="0" fontId="49" fillId="0" borderId="5" xfId="0" applyFont="1" applyFill="1" applyBorder="1" applyAlignment="1">
      <alignment horizontal="center" vertical="center" wrapText="1"/>
    </xf>
    <xf numFmtId="0" fontId="49" fillId="0" borderId="9" xfId="0" applyFont="1" applyFill="1" applyBorder="1" applyAlignment="1">
      <alignment horizontal="center" vertical="center" wrapText="1"/>
    </xf>
    <xf numFmtId="0" fontId="49" fillId="0" borderId="6" xfId="0" applyFont="1" applyFill="1" applyBorder="1" applyAlignment="1">
      <alignment horizontal="center" vertical="center" wrapText="1"/>
    </xf>
    <xf numFmtId="0" fontId="61" fillId="0" borderId="1" xfId="0" applyFont="1" applyFill="1" applyBorder="1" applyAlignment="1" applyProtection="1">
      <alignment horizontal="center" vertical="center" wrapText="1"/>
    </xf>
    <xf numFmtId="0" fontId="51" fillId="0" borderId="5" xfId="0" applyFont="1" applyFill="1" applyBorder="1" applyAlignment="1" applyProtection="1">
      <alignment horizontal="center" vertical="center" wrapText="1"/>
      <protection locked="0"/>
    </xf>
    <xf numFmtId="0" fontId="51" fillId="0" borderId="6" xfId="0" applyFont="1" applyFill="1" applyBorder="1" applyAlignment="1" applyProtection="1">
      <alignment horizontal="center" vertical="center" wrapText="1"/>
      <protection locked="0"/>
    </xf>
    <xf numFmtId="0" fontId="49" fillId="0" borderId="3" xfId="0" applyFont="1" applyFill="1" applyBorder="1" applyAlignment="1" applyProtection="1">
      <alignment horizontal="center" vertical="center"/>
    </xf>
    <xf numFmtId="0" fontId="49" fillId="0" borderId="2" xfId="0" applyFont="1" applyFill="1" applyBorder="1" applyAlignment="1" applyProtection="1">
      <alignment horizontal="center" vertical="center"/>
    </xf>
    <xf numFmtId="0" fontId="49" fillId="0" borderId="10" xfId="0" applyFont="1" applyFill="1" applyBorder="1" applyAlignment="1" applyProtection="1">
      <alignment horizontal="center" vertical="center"/>
    </xf>
    <xf numFmtId="0" fontId="23" fillId="0" borderId="3" xfId="8" applyFont="1" applyFill="1" applyBorder="1" applyAlignment="1" applyProtection="1">
      <alignment horizontal="center" vertical="center" wrapText="1"/>
    </xf>
    <xf numFmtId="0" fontId="23" fillId="0" borderId="2" xfId="8"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protection locked="0"/>
    </xf>
    <xf numFmtId="20" fontId="51" fillId="0" borderId="1" xfId="0" quotePrefix="1" applyNumberFormat="1" applyFont="1" applyFill="1" applyBorder="1" applyAlignment="1" applyProtection="1">
      <alignment horizontal="center" vertical="center" wrapText="1"/>
    </xf>
    <xf numFmtId="0" fontId="58" fillId="0" borderId="0" xfId="0" applyFont="1" applyFill="1" applyAlignment="1" applyProtection="1">
      <alignment horizontal="center" vertical="center" wrapText="1"/>
    </xf>
    <xf numFmtId="0" fontId="51" fillId="0" borderId="0" xfId="0" applyFont="1" applyFill="1" applyBorder="1" applyAlignment="1" applyProtection="1">
      <alignment horizontal="center" vertical="center" wrapText="1"/>
    </xf>
    <xf numFmtId="0" fontId="61" fillId="0" borderId="5" xfId="0" applyFont="1" applyFill="1" applyBorder="1" applyAlignment="1" applyProtection="1">
      <alignment horizontal="center" vertical="center" wrapText="1"/>
    </xf>
    <xf numFmtId="0" fontId="61" fillId="0" borderId="9" xfId="0" applyFont="1" applyFill="1" applyBorder="1" applyAlignment="1" applyProtection="1">
      <alignment horizontal="center" vertical="center" wrapText="1"/>
    </xf>
    <xf numFmtId="0" fontId="61" fillId="0" borderId="6" xfId="0" applyFont="1" applyFill="1" applyBorder="1" applyAlignment="1" applyProtection="1">
      <alignment horizontal="center" vertical="center" wrapText="1"/>
    </xf>
    <xf numFmtId="0" fontId="54" fillId="0" borderId="65" xfId="0" applyFont="1" applyFill="1" applyBorder="1" applyAlignment="1" applyProtection="1">
      <alignment horizontal="center" vertical="center"/>
    </xf>
    <xf numFmtId="0" fontId="23" fillId="0" borderId="13" xfId="8" applyFont="1" applyFill="1" applyBorder="1" applyAlignment="1" applyProtection="1">
      <alignment horizontal="center" vertical="center"/>
    </xf>
    <xf numFmtId="0" fontId="23" fillId="0" borderId="1" xfId="8" applyFont="1" applyFill="1" applyBorder="1" applyAlignment="1" applyProtection="1">
      <alignment horizontal="center" vertical="center" wrapText="1"/>
    </xf>
    <xf numFmtId="0" fontId="51" fillId="0" borderId="5" xfId="0" applyFont="1" applyBorder="1" applyAlignment="1" applyProtection="1">
      <alignment horizontal="center" vertical="center" wrapText="1"/>
    </xf>
    <xf numFmtId="0" fontId="51" fillId="0" borderId="9" xfId="0" applyFont="1" applyBorder="1" applyAlignment="1" applyProtection="1">
      <alignment horizontal="center" vertical="center" wrapText="1"/>
    </xf>
    <xf numFmtId="0" fontId="51" fillId="0" borderId="6" xfId="0" applyFont="1" applyBorder="1" applyAlignment="1" applyProtection="1">
      <alignment horizontal="center" vertical="center" wrapText="1"/>
    </xf>
    <xf numFmtId="177" fontId="37" fillId="0" borderId="5" xfId="0" applyNumberFormat="1" applyFont="1" applyFill="1" applyBorder="1" applyAlignment="1" applyProtection="1">
      <alignment horizontal="center" vertical="center" wrapText="1"/>
      <protection locked="0"/>
    </xf>
    <xf numFmtId="177" fontId="37" fillId="0" borderId="9" xfId="0" applyNumberFormat="1" applyFont="1" applyFill="1" applyBorder="1" applyAlignment="1" applyProtection="1">
      <alignment horizontal="center" vertical="center" wrapText="1"/>
      <protection locked="0"/>
    </xf>
    <xf numFmtId="177" fontId="37" fillId="0" borderId="6"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9" fillId="0" borderId="5" xfId="0" applyFont="1" applyFill="1" applyBorder="1" applyAlignment="1" applyProtection="1">
      <alignment horizontal="center" vertical="center" wrapText="1"/>
    </xf>
    <xf numFmtId="0" fontId="9" fillId="0" borderId="6" xfId="0" applyFont="1" applyFill="1" applyBorder="1" applyAlignment="1" applyProtection="1">
      <alignment horizontal="center" vertical="center" wrapText="1"/>
    </xf>
    <xf numFmtId="0" fontId="62" fillId="0" borderId="0" xfId="0" applyFont="1" applyAlignment="1" applyProtection="1">
      <alignment horizontal="center" vertical="center" wrapText="1"/>
    </xf>
    <xf numFmtId="0" fontId="64" fillId="0" borderId="0" xfId="0" applyFont="1" applyBorder="1" applyAlignment="1" applyProtection="1">
      <alignment horizontal="center" vertical="center" wrapText="1"/>
    </xf>
    <xf numFmtId="0" fontId="64" fillId="0" borderId="1" xfId="0" applyFont="1" applyBorder="1" applyAlignment="1" applyProtection="1">
      <alignment horizontal="center" vertical="center" wrapText="1"/>
    </xf>
    <xf numFmtId="0" fontId="51" fillId="0" borderId="5" xfId="0" applyFont="1" applyFill="1" applyBorder="1" applyAlignment="1">
      <alignment horizontal="center" vertical="center" wrapText="1"/>
    </xf>
    <xf numFmtId="0" fontId="51" fillId="0" borderId="9" xfId="0" applyFont="1" applyFill="1" applyBorder="1" applyAlignment="1">
      <alignment horizontal="center" vertical="center" wrapText="1"/>
    </xf>
    <xf numFmtId="0" fontId="51" fillId="0" borderId="6" xfId="0" applyFont="1" applyFill="1" applyBorder="1" applyAlignment="1">
      <alignment horizontal="center" vertical="center" wrapText="1"/>
    </xf>
    <xf numFmtId="0" fontId="64" fillId="0" borderId="5" xfId="0" applyFont="1" applyBorder="1" applyAlignment="1" applyProtection="1">
      <alignment horizontal="center" vertical="center" wrapText="1"/>
    </xf>
    <xf numFmtId="0" fontId="64" fillId="0" borderId="9" xfId="0" applyFont="1" applyBorder="1" applyAlignment="1" applyProtection="1">
      <alignment horizontal="center" vertical="center" wrapText="1"/>
    </xf>
    <xf numFmtId="0" fontId="64" fillId="0" borderId="6" xfId="0" applyFont="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75" fillId="0" borderId="3" xfId="0" applyFont="1" applyFill="1" applyBorder="1" applyAlignment="1" applyProtection="1">
      <alignment horizontal="center" vertical="center"/>
    </xf>
    <xf numFmtId="0" fontId="75" fillId="0" borderId="2" xfId="0"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0" fontId="52" fillId="0" borderId="5" xfId="8" applyFont="1" applyFill="1" applyBorder="1" applyAlignment="1" applyProtection="1">
      <alignment horizontal="center" vertical="center" wrapText="1"/>
    </xf>
    <xf numFmtId="0" fontId="52" fillId="0" borderId="9" xfId="8" applyFont="1" applyFill="1" applyBorder="1" applyAlignment="1" applyProtection="1">
      <alignment horizontal="center" vertical="center" wrapText="1"/>
    </xf>
    <xf numFmtId="0" fontId="52" fillId="0" borderId="6" xfId="8" applyFont="1" applyFill="1" applyBorder="1" applyAlignment="1" applyProtection="1">
      <alignment horizontal="center" vertical="center" wrapText="1"/>
    </xf>
    <xf numFmtId="0" fontId="52" fillId="0" borderId="13" xfId="0" applyFont="1" applyFill="1" applyBorder="1" applyAlignment="1" applyProtection="1">
      <alignment horizontal="center" vertical="center" wrapText="1"/>
    </xf>
    <xf numFmtId="0" fontId="52" fillId="0" borderId="8" xfId="0" applyFont="1" applyFill="1" applyBorder="1" applyAlignment="1" applyProtection="1">
      <alignment horizontal="center" vertical="center" wrapText="1"/>
    </xf>
    <xf numFmtId="0" fontId="52" fillId="0" borderId="4" xfId="0" applyFont="1" applyFill="1" applyBorder="1" applyAlignment="1" applyProtection="1">
      <alignment horizontal="center" vertical="center" wrapText="1"/>
    </xf>
    <xf numFmtId="0" fontId="52" fillId="0" borderId="7" xfId="0" applyFont="1" applyFill="1" applyBorder="1" applyAlignment="1" applyProtection="1">
      <alignment horizontal="center" vertical="center" wrapText="1"/>
    </xf>
    <xf numFmtId="0" fontId="52" fillId="0" borderId="12" xfId="0" applyFont="1" applyFill="1" applyBorder="1" applyAlignment="1" applyProtection="1">
      <alignment horizontal="center" vertical="center" wrapText="1"/>
      <protection locked="0"/>
    </xf>
    <xf numFmtId="0" fontId="52" fillId="0" borderId="15" xfId="0" applyFont="1" applyFill="1" applyBorder="1" applyAlignment="1" applyProtection="1">
      <alignment horizontal="center" vertical="center" wrapText="1"/>
      <protection locked="0"/>
    </xf>
    <xf numFmtId="0" fontId="75" fillId="0" borderId="10" xfId="0" applyFont="1" applyFill="1" applyBorder="1" applyAlignment="1" applyProtection="1">
      <alignment horizontal="center" vertical="center"/>
    </xf>
    <xf numFmtId="0" fontId="151" fillId="0" borderId="13" xfId="0" applyFont="1" applyFill="1" applyBorder="1" applyAlignment="1" applyProtection="1">
      <alignment horizontal="center" vertical="center" wrapText="1"/>
    </xf>
    <xf numFmtId="0" fontId="151" fillId="0" borderId="12" xfId="0" applyFont="1" applyFill="1" applyBorder="1" applyAlignment="1" applyProtection="1">
      <alignment horizontal="center" vertical="center"/>
    </xf>
    <xf numFmtId="0" fontId="151" fillId="0" borderId="11" xfId="0" applyFont="1" applyFill="1" applyBorder="1" applyAlignment="1" applyProtection="1">
      <alignment horizontal="center" vertical="center"/>
    </xf>
    <xf numFmtId="0" fontId="151" fillId="0" borderId="16" xfId="0" applyFont="1" applyFill="1" applyBorder="1" applyAlignment="1" applyProtection="1">
      <alignment horizontal="center" vertical="center"/>
    </xf>
    <xf numFmtId="0" fontId="52" fillId="0" borderId="1" xfId="0" applyFont="1" applyBorder="1" applyAlignment="1" applyProtection="1">
      <alignment horizontal="center" vertical="center"/>
    </xf>
    <xf numFmtId="20" fontId="67" fillId="0" borderId="82" xfId="0" applyNumberFormat="1" applyFont="1" applyFill="1" applyBorder="1" applyAlignment="1" applyProtection="1">
      <alignment horizontal="center" vertical="center" wrapText="1"/>
    </xf>
    <xf numFmtId="20" fontId="67" fillId="0" borderId="83" xfId="0" applyNumberFormat="1" applyFont="1" applyFill="1" applyBorder="1" applyAlignment="1" applyProtection="1">
      <alignment horizontal="center" vertical="center" wrapText="1"/>
    </xf>
    <xf numFmtId="0" fontId="64" fillId="0" borderId="16" xfId="0" applyFont="1" applyBorder="1" applyAlignment="1" applyProtection="1">
      <alignment horizontal="center" vertical="center" wrapText="1"/>
    </xf>
    <xf numFmtId="0" fontId="23" fillId="0" borderId="5" xfId="0" applyFont="1" applyFill="1" applyBorder="1" applyAlignment="1" applyProtection="1">
      <alignment horizontal="center" vertical="center" wrapText="1"/>
    </xf>
    <xf numFmtId="0" fontId="23" fillId="0" borderId="5" xfId="0" applyFont="1" applyFill="1" applyBorder="1" applyAlignment="1" applyProtection="1">
      <alignment horizontal="center" vertical="center"/>
      <protection locked="0"/>
    </xf>
    <xf numFmtId="0" fontId="23" fillId="0" borderId="6" xfId="0" applyFont="1" applyFill="1" applyBorder="1" applyAlignment="1" applyProtection="1">
      <alignment horizontal="center" vertical="center"/>
      <protection locked="0"/>
    </xf>
    <xf numFmtId="0" fontId="9" fillId="0" borderId="1" xfId="0" applyFont="1" applyBorder="1" applyAlignment="1" applyProtection="1">
      <alignment horizontal="center" vertical="center"/>
    </xf>
    <xf numFmtId="0" fontId="13" fillId="0" borderId="13" xfId="0" applyFont="1" applyFill="1" applyBorder="1" applyAlignment="1" applyProtection="1">
      <alignment horizontal="center" vertical="center" wrapText="1"/>
    </xf>
    <xf numFmtId="0" fontId="13" fillId="0" borderId="8" xfId="0" applyFont="1" applyFill="1" applyBorder="1" applyAlignment="1" applyProtection="1">
      <alignment horizontal="center" vertical="center" wrapText="1"/>
    </xf>
    <xf numFmtId="0" fontId="13" fillId="0" borderId="12" xfId="0" applyFont="1" applyFill="1" applyBorder="1" applyAlignment="1" applyProtection="1">
      <alignment horizontal="center" vertical="center" wrapText="1"/>
    </xf>
    <xf numFmtId="0" fontId="13" fillId="0" borderId="4" xfId="0" applyFont="1" applyFill="1" applyBorder="1" applyAlignment="1" applyProtection="1">
      <alignment horizontal="center" vertical="center" wrapText="1"/>
    </xf>
    <xf numFmtId="0" fontId="13" fillId="0" borderId="7" xfId="0" applyFont="1" applyFill="1" applyBorder="1" applyAlignment="1" applyProtection="1">
      <alignment horizontal="center" vertical="center" wrapText="1"/>
    </xf>
    <xf numFmtId="0" fontId="13" fillId="0" borderId="15"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wrapText="1"/>
    </xf>
    <xf numFmtId="0" fontId="23" fillId="0" borderId="1" xfId="0" applyFont="1" applyFill="1" applyBorder="1" applyAlignment="1" applyProtection="1">
      <alignment horizontal="center" vertical="center"/>
    </xf>
    <xf numFmtId="0" fontId="10" fillId="0" borderId="3" xfId="0" applyFont="1" applyFill="1" applyBorder="1" applyAlignment="1" applyProtection="1">
      <alignment horizontal="center" vertical="center"/>
    </xf>
    <xf numFmtId="0" fontId="10" fillId="0" borderId="10" xfId="0" applyFont="1" applyFill="1" applyBorder="1" applyAlignment="1" applyProtection="1">
      <alignment horizontal="center" vertical="center"/>
    </xf>
    <xf numFmtId="0" fontId="16" fillId="0" borderId="13" xfId="0" applyFont="1" applyFill="1" applyBorder="1" applyAlignment="1" applyProtection="1">
      <alignment horizontal="center" vertical="center" wrapText="1"/>
    </xf>
    <xf numFmtId="0" fontId="16" fillId="0" borderId="12" xfId="0" applyFont="1" applyFill="1" applyBorder="1" applyAlignment="1" applyProtection="1">
      <alignment horizontal="center" vertical="center"/>
    </xf>
    <xf numFmtId="0" fontId="16" fillId="0" borderId="11" xfId="0" applyFont="1" applyFill="1" applyBorder="1" applyAlignment="1" applyProtection="1">
      <alignment horizontal="center" vertical="center"/>
    </xf>
    <xf numFmtId="0" fontId="16" fillId="0" borderId="16"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3" fillId="0" borderId="6" xfId="0" applyFont="1" applyFill="1" applyBorder="1" applyAlignment="1" applyProtection="1">
      <alignment horizontal="center" vertical="center"/>
    </xf>
    <xf numFmtId="0" fontId="10" fillId="0" borderId="2" xfId="0" applyFont="1" applyFill="1" applyBorder="1" applyAlignment="1" applyProtection="1">
      <alignment horizontal="center" vertical="center"/>
    </xf>
    <xf numFmtId="0" fontId="13" fillId="0" borderId="1" xfId="0" applyFont="1" applyFill="1" applyBorder="1" applyAlignment="1" applyProtection="1">
      <alignment horizontal="center" vertical="center" wrapText="1"/>
    </xf>
    <xf numFmtId="0" fontId="13" fillId="0" borderId="1" xfId="0" applyFont="1" applyFill="1" applyBorder="1" applyAlignment="1" applyProtection="1">
      <alignment horizontal="center" vertical="center"/>
    </xf>
    <xf numFmtId="0" fontId="13" fillId="0" borderId="5" xfId="0" applyFont="1" applyFill="1" applyBorder="1" applyAlignment="1" applyProtection="1">
      <alignment horizontal="center" vertical="center" wrapText="1"/>
    </xf>
    <xf numFmtId="0" fontId="13" fillId="0" borderId="6" xfId="0" applyFont="1" applyFill="1" applyBorder="1" applyAlignment="1" applyProtection="1">
      <alignment horizontal="center" vertical="center" wrapText="1"/>
    </xf>
    <xf numFmtId="0" fontId="23" fillId="0" borderId="5" xfId="0" applyFont="1" applyFill="1" applyBorder="1" applyAlignment="1">
      <alignment horizontal="center" vertical="center" wrapText="1"/>
    </xf>
    <xf numFmtId="0" fontId="23" fillId="0" borderId="9" xfId="0" applyFont="1" applyFill="1" applyBorder="1" applyAlignment="1">
      <alignment horizontal="center" vertical="center" wrapText="1"/>
    </xf>
    <xf numFmtId="0" fontId="23" fillId="0" borderId="6" xfId="0" applyFont="1" applyFill="1" applyBorder="1" applyAlignment="1">
      <alignment horizontal="center" vertical="center" wrapText="1"/>
    </xf>
    <xf numFmtId="0" fontId="9" fillId="0" borderId="1" xfId="0" applyFont="1" applyBorder="1" applyAlignment="1" applyProtection="1">
      <alignment horizontal="center" vertical="center" wrapText="1"/>
    </xf>
    <xf numFmtId="0" fontId="9" fillId="0" borderId="5" xfId="0" applyFont="1" applyBorder="1" applyAlignment="1" applyProtection="1">
      <alignment horizontal="center" vertical="center" wrapText="1"/>
    </xf>
    <xf numFmtId="0" fontId="9" fillId="0" borderId="9" xfId="0" applyFont="1" applyBorder="1" applyAlignment="1" applyProtection="1">
      <alignment horizontal="center" vertical="center" wrapText="1"/>
    </xf>
    <xf numFmtId="0" fontId="9" fillId="0" borderId="6" xfId="0" applyFont="1" applyBorder="1" applyAlignment="1" applyProtection="1">
      <alignment horizontal="center" vertical="center" wrapText="1"/>
    </xf>
    <xf numFmtId="0" fontId="9" fillId="0" borderId="5" xfId="0" applyFont="1" applyFill="1" applyBorder="1" applyAlignment="1">
      <alignment horizontal="center" vertical="center" wrapText="1"/>
    </xf>
    <xf numFmtId="0" fontId="9" fillId="0" borderId="9"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16" fillId="0" borderId="13" xfId="8" applyFont="1" applyFill="1" applyBorder="1" applyAlignment="1" applyProtection="1">
      <alignment horizontal="center" vertical="center" wrapText="1"/>
    </xf>
    <xf numFmtId="0" fontId="16" fillId="0" borderId="12" xfId="8" applyFont="1" applyFill="1" applyBorder="1" applyAlignment="1" applyProtection="1">
      <alignment horizontal="center" vertical="center" wrapText="1"/>
    </xf>
    <xf numFmtId="0" fontId="16" fillId="0" borderId="11" xfId="8" applyFont="1" applyFill="1" applyBorder="1" applyAlignment="1" applyProtection="1">
      <alignment horizontal="center" vertical="center" wrapText="1"/>
    </xf>
    <xf numFmtId="0" fontId="16" fillId="0" borderId="16" xfId="8" applyFont="1" applyFill="1" applyBorder="1" applyAlignment="1" applyProtection="1">
      <alignment horizontal="center" vertical="center" wrapText="1"/>
    </xf>
    <xf numFmtId="0" fontId="16" fillId="0" borderId="4" xfId="8" applyFont="1" applyFill="1" applyBorder="1" applyAlignment="1" applyProtection="1">
      <alignment horizontal="center" vertical="center" wrapText="1"/>
    </xf>
    <xf numFmtId="0" fontId="16" fillId="0" borderId="15" xfId="8" applyFont="1" applyFill="1" applyBorder="1" applyAlignment="1" applyProtection="1">
      <alignment horizontal="center" vertical="center" wrapText="1"/>
    </xf>
    <xf numFmtId="0" fontId="16" fillId="0" borderId="5" xfId="8" applyFont="1" applyFill="1" applyBorder="1" applyAlignment="1" applyProtection="1">
      <alignment horizontal="center" vertical="center" wrapText="1"/>
    </xf>
    <xf numFmtId="0" fontId="16" fillId="0" borderId="6" xfId="8" applyFont="1" applyFill="1" applyBorder="1" applyAlignment="1" applyProtection="1">
      <alignment horizontal="center" vertical="center" wrapText="1"/>
    </xf>
    <xf numFmtId="0" fontId="9" fillId="0" borderId="9" xfId="0" applyFont="1" applyFill="1" applyBorder="1" applyAlignment="1" applyProtection="1">
      <alignment horizontal="center" vertical="center" wrapText="1"/>
    </xf>
    <xf numFmtId="0" fontId="13" fillId="0" borderId="9" xfId="0" applyFont="1" applyFill="1" applyBorder="1" applyAlignment="1" applyProtection="1">
      <alignment horizontal="center" vertical="center" wrapText="1"/>
    </xf>
    <xf numFmtId="0" fontId="37" fillId="0" borderId="5" xfId="0" applyFont="1" applyFill="1" applyBorder="1" applyAlignment="1" applyProtection="1">
      <alignment horizontal="center" vertical="center" wrapText="1"/>
    </xf>
    <xf numFmtId="0" fontId="37" fillId="0" borderId="9" xfId="0" applyFont="1" applyFill="1" applyBorder="1" applyAlignment="1" applyProtection="1">
      <alignment horizontal="center" vertical="center" wrapText="1"/>
    </xf>
    <xf numFmtId="0" fontId="37" fillId="0" borderId="6" xfId="0" applyFont="1" applyFill="1" applyBorder="1" applyAlignment="1" applyProtection="1">
      <alignment horizontal="center" vertical="center" wrapText="1"/>
    </xf>
    <xf numFmtId="0" fontId="61" fillId="0" borderId="1" xfId="0" applyFont="1" applyFill="1" applyBorder="1" applyAlignment="1" applyProtection="1">
      <alignment horizontal="center" vertical="center"/>
    </xf>
    <xf numFmtId="0" fontId="23" fillId="0" borderId="3" xfId="8" applyFont="1" applyFill="1" applyBorder="1" applyAlignment="1" applyProtection="1">
      <alignment horizontal="center" vertical="center"/>
    </xf>
    <xf numFmtId="0" fontId="23" fillId="0" borderId="2" xfId="8" applyFont="1" applyFill="1" applyBorder="1" applyAlignment="1" applyProtection="1">
      <alignment horizontal="center" vertical="center"/>
    </xf>
    <xf numFmtId="0" fontId="37" fillId="0" borderId="3" xfId="0" applyFont="1" applyFill="1" applyBorder="1" applyAlignment="1" applyProtection="1">
      <alignment horizontal="center" vertical="center"/>
    </xf>
    <xf numFmtId="0" fontId="37" fillId="0" borderId="2" xfId="0" applyFont="1" applyFill="1" applyBorder="1" applyAlignment="1" applyProtection="1">
      <alignment horizontal="center" vertical="center"/>
    </xf>
    <xf numFmtId="0" fontId="23" fillId="0" borderId="10" xfId="8" applyFont="1" applyFill="1" applyBorder="1" applyAlignment="1" applyProtection="1">
      <alignment horizontal="center" vertical="center"/>
    </xf>
    <xf numFmtId="0" fontId="13" fillId="0" borderId="12" xfId="0" applyFont="1" applyFill="1" applyBorder="1" applyAlignment="1" applyProtection="1">
      <alignment horizontal="center" vertical="center"/>
    </xf>
    <xf numFmtId="0" fontId="13" fillId="0" borderId="11" xfId="0" applyFont="1" applyFill="1" applyBorder="1" applyAlignment="1" applyProtection="1">
      <alignment horizontal="center" vertical="center"/>
    </xf>
    <xf numFmtId="0" fontId="13" fillId="0" borderId="16" xfId="0" applyFont="1" applyFill="1" applyBorder="1" applyAlignment="1" applyProtection="1">
      <alignment horizontal="center" vertical="center"/>
    </xf>
    <xf numFmtId="0" fontId="13" fillId="0" borderId="4" xfId="0" applyFont="1" applyFill="1" applyBorder="1" applyAlignment="1" applyProtection="1">
      <alignment horizontal="center" vertical="center"/>
    </xf>
    <xf numFmtId="0" fontId="13" fillId="0" borderId="15" xfId="0" applyFont="1" applyFill="1" applyBorder="1" applyAlignment="1" applyProtection="1">
      <alignment horizontal="center" vertical="center"/>
    </xf>
    <xf numFmtId="0" fontId="29" fillId="0" borderId="0" xfId="0" applyFont="1" applyAlignment="1" applyProtection="1">
      <alignment horizontal="center" vertical="center" wrapText="1"/>
    </xf>
    <xf numFmtId="14" fontId="23" fillId="0" borderId="7" xfId="8" applyNumberFormat="1" applyFont="1" applyFill="1" applyBorder="1" applyAlignment="1" applyProtection="1">
      <alignment horizontal="center" vertical="center" wrapText="1"/>
    </xf>
    <xf numFmtId="0" fontId="23" fillId="0" borderId="7" xfId="8" applyFont="1" applyFill="1" applyBorder="1" applyAlignment="1" applyProtection="1">
      <alignment horizontal="center" vertical="center" wrapText="1"/>
    </xf>
    <xf numFmtId="0" fontId="23" fillId="0" borderId="5" xfId="8" applyFont="1" applyFill="1" applyBorder="1" applyAlignment="1" applyProtection="1">
      <alignment horizontal="center" vertical="center"/>
      <protection locked="0"/>
    </xf>
    <xf numFmtId="0" fontId="23" fillId="0" borderId="6" xfId="8" applyFont="1" applyFill="1" applyBorder="1" applyAlignment="1" applyProtection="1">
      <alignment horizontal="center" vertical="center"/>
      <protection locked="0"/>
    </xf>
    <xf numFmtId="20" fontId="23" fillId="0" borderId="6" xfId="0" quotePrefix="1" applyNumberFormat="1" applyFont="1" applyFill="1" applyBorder="1" applyAlignment="1" applyProtection="1">
      <alignment horizontal="center" vertical="center" wrapText="1"/>
    </xf>
    <xf numFmtId="0" fontId="37" fillId="0" borderId="5" xfId="0" applyFont="1" applyFill="1" applyBorder="1" applyAlignment="1">
      <alignment horizontal="center" vertical="center" wrapText="1"/>
    </xf>
    <xf numFmtId="0" fontId="37" fillId="0" borderId="9" xfId="0" applyFont="1" applyFill="1" applyBorder="1" applyAlignment="1">
      <alignment horizontal="center" vertical="center" wrapText="1"/>
    </xf>
    <xf numFmtId="0" fontId="37" fillId="0" borderId="6" xfId="0" applyFont="1" applyFill="1" applyBorder="1" applyAlignment="1">
      <alignment horizontal="center" vertical="center" wrapText="1"/>
    </xf>
    <xf numFmtId="0" fontId="13" fillId="0" borderId="73" xfId="0" applyFont="1" applyFill="1" applyBorder="1" applyAlignment="1" applyProtection="1">
      <alignment horizontal="center" vertical="center" wrapText="1"/>
    </xf>
    <xf numFmtId="0" fontId="13" fillId="0" borderId="74" xfId="0"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xf>
    <xf numFmtId="14" fontId="39" fillId="51" borderId="73" xfId="8" applyNumberFormat="1" applyFont="1" applyFill="1" applyBorder="1" applyAlignment="1" applyProtection="1">
      <alignment horizontal="center" vertical="center" wrapText="1"/>
      <protection locked="0"/>
    </xf>
    <xf numFmtId="0" fontId="23" fillId="0" borderId="5" xfId="0" applyFont="1" applyFill="1" applyBorder="1" applyAlignment="1" applyProtection="1">
      <alignment horizontal="center" vertical="center" wrapText="1"/>
      <protection locked="0"/>
    </xf>
    <xf numFmtId="0" fontId="23" fillId="0" borderId="6" xfId="0" applyFont="1" applyFill="1" applyBorder="1" applyAlignment="1" applyProtection="1">
      <alignment horizontal="center" vertical="center" wrapText="1"/>
      <protection locked="0"/>
    </xf>
    <xf numFmtId="0" fontId="29" fillId="0" borderId="0" xfId="0" applyFont="1" applyFill="1" applyAlignment="1" applyProtection="1">
      <alignment horizontal="center" vertical="center" wrapText="1"/>
    </xf>
    <xf numFmtId="0" fontId="152" fillId="0" borderId="5" xfId="0" applyFont="1" applyBorder="1" applyAlignment="1" applyProtection="1">
      <alignment horizontal="center" vertical="center" wrapText="1"/>
    </xf>
    <xf numFmtId="0" fontId="152" fillId="0" borderId="9" xfId="0" applyFont="1" applyBorder="1" applyAlignment="1" applyProtection="1">
      <alignment horizontal="center" vertical="center" wrapText="1"/>
    </xf>
    <xf numFmtId="0" fontId="152" fillId="0" borderId="6" xfId="0" applyFont="1" applyBorder="1" applyAlignment="1" applyProtection="1">
      <alignment horizontal="center" vertical="center" wrapText="1"/>
    </xf>
    <xf numFmtId="0" fontId="50" fillId="0" borderId="13" xfId="0" applyFont="1" applyFill="1" applyBorder="1" applyAlignment="1" applyProtection="1">
      <alignment horizontal="center" vertical="center" wrapText="1"/>
    </xf>
    <xf numFmtId="0" fontId="50" fillId="0" borderId="8"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91" xfId="0" applyFont="1" applyFill="1" applyBorder="1" applyAlignment="1" applyProtection="1">
      <alignment horizontal="center" vertical="center" wrapText="1"/>
    </xf>
    <xf numFmtId="0" fontId="50" fillId="0" borderId="73" xfId="0" applyFont="1" applyFill="1" applyBorder="1" applyAlignment="1" applyProtection="1">
      <alignment horizontal="center" vertical="center" wrapText="1"/>
    </xf>
    <xf numFmtId="0" fontId="50" fillId="0" borderId="74" xfId="0" applyFont="1" applyFill="1" applyBorder="1" applyAlignment="1" applyProtection="1">
      <alignment horizontal="center" vertical="center" wrapText="1"/>
    </xf>
    <xf numFmtId="0" fontId="9" fillId="0" borderId="13" xfId="0" applyFont="1" applyFill="1" applyBorder="1" applyAlignment="1" applyProtection="1">
      <alignment horizontal="center" vertical="center" wrapText="1"/>
    </xf>
    <xf numFmtId="0" fontId="9" fillId="0" borderId="8" xfId="0" applyFont="1" applyFill="1" applyBorder="1" applyAlignment="1" applyProtection="1">
      <alignment horizontal="center" vertical="center" wrapText="1"/>
    </xf>
    <xf numFmtId="0" fontId="9" fillId="0" borderId="4" xfId="0" applyFont="1" applyFill="1" applyBorder="1" applyAlignment="1" applyProtection="1">
      <alignment horizontal="center" vertical="center" wrapText="1"/>
    </xf>
    <xf numFmtId="0" fontId="9" fillId="0" borderId="7" xfId="0" applyFont="1" applyFill="1" applyBorder="1" applyAlignment="1" applyProtection="1">
      <alignment horizontal="center" vertical="center" wrapText="1"/>
    </xf>
    <xf numFmtId="0" fontId="9" fillId="0" borderId="12" xfId="0" applyFont="1" applyFill="1" applyBorder="1" applyAlignment="1" applyProtection="1">
      <alignment horizontal="center" vertical="center" wrapText="1"/>
      <protection locked="0"/>
    </xf>
    <xf numFmtId="0" fontId="9" fillId="0" borderId="15" xfId="0" applyFont="1" applyFill="1" applyBorder="1" applyAlignment="1" applyProtection="1">
      <alignment horizontal="center" vertical="center" wrapText="1"/>
      <protection locked="0"/>
    </xf>
    <xf numFmtId="0" fontId="9" fillId="0" borderId="3" xfId="8" applyFont="1" applyFill="1" applyBorder="1" applyAlignment="1" applyProtection="1">
      <alignment horizontal="center" vertical="center" wrapText="1"/>
    </xf>
    <xf numFmtId="0" fontId="9" fillId="0" borderId="2" xfId="8" applyFont="1" applyFill="1" applyBorder="1" applyAlignment="1" applyProtection="1">
      <alignment horizontal="center" vertical="center" wrapText="1"/>
    </xf>
    <xf numFmtId="0" fontId="9" fillId="0" borderId="5" xfId="8" applyFont="1" applyFill="1" applyBorder="1" applyAlignment="1" applyProtection="1">
      <alignment horizontal="center" vertical="center" wrapText="1"/>
    </xf>
    <xf numFmtId="0" fontId="9" fillId="0" borderId="9" xfId="8" applyFont="1" applyFill="1" applyBorder="1" applyAlignment="1" applyProtection="1">
      <alignment horizontal="center" vertical="center" wrapText="1"/>
    </xf>
    <xf numFmtId="0" fontId="9" fillId="0" borderId="6" xfId="8" applyFont="1" applyFill="1" applyBorder="1" applyAlignment="1" applyProtection="1">
      <alignment horizontal="center" vertical="center" wrapText="1"/>
    </xf>
    <xf numFmtId="41" fontId="37" fillId="0" borderId="5" xfId="0" applyNumberFormat="1" applyFont="1" applyFill="1" applyBorder="1" applyAlignment="1" applyProtection="1">
      <alignment horizontal="center" vertical="center" wrapText="1"/>
    </xf>
    <xf numFmtId="41" fontId="37" fillId="0" borderId="6" xfId="0" applyNumberFormat="1" applyFont="1" applyFill="1" applyBorder="1" applyAlignment="1" applyProtection="1">
      <alignment horizontal="center" vertical="center" wrapText="1"/>
    </xf>
    <xf numFmtId="0" fontId="37" fillId="0" borderId="0" xfId="0" applyFont="1" applyFill="1" applyAlignment="1" applyProtection="1">
      <alignment horizontal="center" vertical="center"/>
    </xf>
    <xf numFmtId="188" fontId="37" fillId="0" borderId="5" xfId="0" applyNumberFormat="1" applyFont="1" applyFill="1" applyBorder="1" applyAlignment="1" applyProtection="1">
      <alignment horizontal="center" vertical="center" wrapText="1"/>
    </xf>
    <xf numFmtId="188" fontId="37" fillId="0" borderId="9" xfId="0" applyNumberFormat="1" applyFont="1" applyFill="1" applyBorder="1" applyAlignment="1" applyProtection="1">
      <alignment horizontal="center" vertical="center" wrapText="1"/>
    </xf>
    <xf numFmtId="188" fontId="37" fillId="0" borderId="6" xfId="0" applyNumberFormat="1" applyFont="1" applyFill="1" applyBorder="1" applyAlignment="1" applyProtection="1">
      <alignment horizontal="center" vertical="center" wrapText="1"/>
    </xf>
    <xf numFmtId="0" fontId="98" fillId="0" borderId="1" xfId="84" applyFill="1" applyBorder="1" applyAlignment="1" applyProtection="1">
      <alignment horizontal="left" vertical="center"/>
    </xf>
    <xf numFmtId="0" fontId="98" fillId="0" borderId="3" xfId="84" applyFill="1" applyBorder="1" applyAlignment="1" applyProtection="1">
      <alignment horizontal="left" vertical="center"/>
    </xf>
    <xf numFmtId="0" fontId="98" fillId="0" borderId="10" xfId="84" applyFill="1" applyBorder="1" applyAlignment="1" applyProtection="1">
      <alignment horizontal="left" vertical="center"/>
    </xf>
    <xf numFmtId="0" fontId="98" fillId="0" borderId="90" xfId="84" applyFill="1" applyBorder="1" applyAlignment="1" applyProtection="1">
      <alignment horizontal="left" vertical="center"/>
    </xf>
    <xf numFmtId="0" fontId="222" fillId="0" borderId="3" xfId="0" applyFont="1" applyFill="1" applyBorder="1" applyAlignment="1" applyProtection="1">
      <alignment horizontal="center" vertical="center" wrapText="1"/>
    </xf>
    <xf numFmtId="0" fontId="222" fillId="0" borderId="10" xfId="0" applyFont="1" applyFill="1" applyBorder="1" applyAlignment="1" applyProtection="1">
      <alignment horizontal="center" vertical="center" wrapText="1"/>
    </xf>
    <xf numFmtId="188" fontId="37" fillId="0" borderId="1" xfId="0" applyNumberFormat="1" applyFont="1" applyFill="1" applyBorder="1" applyAlignment="1" applyProtection="1">
      <alignment horizontal="center" vertical="center" wrapText="1"/>
    </xf>
    <xf numFmtId="0" fontId="98" fillId="0" borderId="3" xfId="84" applyFill="1" applyBorder="1" applyAlignment="1" applyProtection="1">
      <alignment horizontal="center" vertical="center"/>
    </xf>
    <xf numFmtId="0" fontId="98" fillId="0" borderId="10" xfId="84" applyFill="1" applyBorder="1" applyAlignment="1" applyProtection="1">
      <alignment horizontal="center" vertical="center"/>
    </xf>
    <xf numFmtId="0" fontId="98" fillId="0" borderId="90" xfId="84" applyFill="1" applyBorder="1" applyAlignment="1" applyProtection="1">
      <alignment horizontal="center" vertical="center"/>
    </xf>
    <xf numFmtId="0" fontId="37" fillId="4" borderId="0" xfId="0" applyFont="1" applyFill="1" applyAlignment="1" applyProtection="1">
      <alignment horizontal="center" vertical="center" wrapText="1"/>
    </xf>
    <xf numFmtId="0" fontId="16" fillId="0" borderId="4" xfId="0" applyFont="1" applyFill="1" applyBorder="1" applyAlignment="1" applyProtection="1">
      <alignment horizontal="center" vertical="center"/>
    </xf>
    <xf numFmtId="0" fontId="54" fillId="0" borderId="5" xfId="0" applyFont="1" applyFill="1" applyBorder="1" applyAlignment="1">
      <alignment horizontal="center" vertical="center" wrapText="1"/>
    </xf>
    <xf numFmtId="0" fontId="54" fillId="0" borderId="9" xfId="0" applyFont="1" applyFill="1" applyBorder="1" applyAlignment="1">
      <alignment horizontal="center" vertical="center" wrapText="1"/>
    </xf>
    <xf numFmtId="0" fontId="16" fillId="0" borderId="11" xfId="0" applyFont="1" applyFill="1" applyBorder="1" applyAlignment="1" applyProtection="1">
      <alignment horizontal="center" vertical="center" wrapText="1"/>
    </xf>
    <xf numFmtId="0" fontId="10" fillId="0" borderId="11" xfId="0" applyFont="1" applyFill="1" applyBorder="1" applyAlignment="1" applyProtection="1">
      <alignment horizontal="center" vertical="center"/>
    </xf>
    <xf numFmtId="0" fontId="10" fillId="0" borderId="4" xfId="0" applyFont="1" applyFill="1" applyBorder="1" applyAlignment="1" applyProtection="1">
      <alignment horizontal="center" vertical="center"/>
    </xf>
    <xf numFmtId="0" fontId="16" fillId="0" borderId="0" xfId="0" applyFont="1" applyFill="1" applyBorder="1" applyAlignment="1" applyProtection="1">
      <alignment horizontal="center" vertical="center" wrapText="1"/>
    </xf>
    <xf numFmtId="0" fontId="16" fillId="0" borderId="0" xfId="0" applyFont="1" applyFill="1" applyBorder="1" applyAlignment="1" applyProtection="1">
      <alignment horizontal="center" vertical="center"/>
    </xf>
    <xf numFmtId="0" fontId="16" fillId="0" borderId="7" xfId="0" applyFont="1" applyFill="1" applyBorder="1" applyAlignment="1" applyProtection="1">
      <alignment horizontal="center" vertical="center"/>
    </xf>
    <xf numFmtId="0" fontId="33" fillId="0" borderId="3" xfId="0" applyFont="1" applyFill="1" applyBorder="1" applyAlignment="1" applyProtection="1">
      <alignment horizontal="center" vertical="center"/>
    </xf>
    <xf numFmtId="0" fontId="33" fillId="0" borderId="2" xfId="0" applyFont="1" applyFill="1" applyBorder="1" applyAlignment="1" applyProtection="1">
      <alignment horizontal="center" vertical="center"/>
    </xf>
    <xf numFmtId="0" fontId="37" fillId="0" borderId="11" xfId="0" applyFont="1" applyFill="1" applyBorder="1" applyAlignment="1" applyProtection="1">
      <alignment horizontal="center" vertical="center"/>
    </xf>
    <xf numFmtId="0" fontId="37" fillId="0" borderId="4" xfId="0" applyFont="1" applyFill="1" applyBorder="1" applyAlignment="1" applyProtection="1">
      <alignment horizontal="center" vertical="center"/>
    </xf>
    <xf numFmtId="0" fontId="13" fillId="0" borderId="0" xfId="0" applyFont="1" applyFill="1" applyBorder="1" applyAlignment="1" applyProtection="1">
      <alignment horizontal="center" vertical="center" wrapText="1"/>
    </xf>
    <xf numFmtId="0" fontId="13" fillId="0" borderId="0" xfId="0" applyFont="1" applyFill="1" applyBorder="1" applyAlignment="1" applyProtection="1">
      <alignment horizontal="center" vertical="center"/>
    </xf>
    <xf numFmtId="0" fontId="13" fillId="0" borderId="7" xfId="0" applyFont="1" applyFill="1" applyBorder="1" applyAlignment="1" applyProtection="1">
      <alignment horizontal="center" vertical="center"/>
    </xf>
    <xf numFmtId="0" fontId="13" fillId="0" borderId="11" xfId="0" applyFont="1" applyFill="1" applyBorder="1" applyAlignment="1" applyProtection="1">
      <alignment horizontal="center" vertical="center" wrapText="1"/>
    </xf>
    <xf numFmtId="0" fontId="23" fillId="0" borderId="9" xfId="8" applyFont="1" applyFill="1" applyBorder="1" applyAlignment="1" applyProtection="1">
      <alignment horizontal="center" vertical="center"/>
    </xf>
    <xf numFmtId="0" fontId="51" fillId="0" borderId="13" xfId="0" applyFont="1" applyFill="1" applyBorder="1" applyAlignment="1">
      <alignment horizontal="center" vertical="center" wrapText="1"/>
    </xf>
    <xf numFmtId="0" fontId="51" fillId="0" borderId="4" xfId="0" applyFont="1" applyFill="1" applyBorder="1" applyAlignment="1">
      <alignment horizontal="center" vertical="center"/>
    </xf>
    <xf numFmtId="0" fontId="23" fillId="0" borderId="13" xfId="8" applyFont="1" applyFill="1" applyBorder="1" applyAlignment="1" applyProtection="1">
      <alignment horizontal="center" vertical="center" wrapText="1"/>
    </xf>
    <xf numFmtId="0" fontId="23" fillId="0" borderId="4" xfId="8" applyFont="1" applyFill="1" applyBorder="1" applyAlignment="1" applyProtection="1">
      <alignment horizontal="center" vertical="center" wrapText="1"/>
    </xf>
    <xf numFmtId="0" fontId="23" fillId="6" borderId="1" xfId="8" applyFont="1" applyFill="1" applyBorder="1" applyAlignment="1" applyProtection="1">
      <alignment horizontal="center" vertical="center" wrapText="1"/>
    </xf>
    <xf numFmtId="0" fontId="23" fillId="6" borderId="5" xfId="8" applyFont="1" applyFill="1" applyBorder="1" applyAlignment="1" applyProtection="1">
      <alignment horizontal="center" vertical="center" wrapText="1"/>
    </xf>
    <xf numFmtId="0" fontId="23" fillId="6" borderId="9" xfId="8" applyFont="1" applyFill="1" applyBorder="1" applyAlignment="1" applyProtection="1">
      <alignment horizontal="center" vertical="center" wrapText="1"/>
    </xf>
    <xf numFmtId="0" fontId="23" fillId="0" borderId="11" xfId="8" applyFont="1" applyFill="1" applyBorder="1" applyAlignment="1" applyProtection="1">
      <alignment horizontal="center" vertical="center"/>
    </xf>
    <xf numFmtId="0" fontId="23" fillId="0" borderId="4" xfId="8" applyFont="1" applyFill="1" applyBorder="1" applyAlignment="1" applyProtection="1">
      <alignment horizontal="center" vertical="center"/>
    </xf>
    <xf numFmtId="0" fontId="51" fillId="0" borderId="0" xfId="0" applyFont="1" applyFill="1" applyBorder="1" applyAlignment="1">
      <alignment horizontal="center" vertical="center" wrapText="1"/>
    </xf>
    <xf numFmtId="0" fontId="51" fillId="0" borderId="7" xfId="0" applyFont="1" applyFill="1" applyBorder="1" applyAlignment="1">
      <alignment horizontal="center" vertical="center"/>
    </xf>
    <xf numFmtId="0" fontId="51" fillId="0" borderId="11" xfId="0" applyFont="1" applyFill="1" applyBorder="1" applyAlignment="1">
      <alignment horizontal="center" vertical="center" wrapText="1"/>
    </xf>
    <xf numFmtId="20" fontId="23" fillId="0" borderId="9" xfId="0" quotePrefix="1" applyNumberFormat="1" applyFont="1" applyFill="1" applyBorder="1" applyAlignment="1" applyProtection="1">
      <alignment horizontal="center" vertical="center" wrapText="1"/>
    </xf>
    <xf numFmtId="20" fontId="9" fillId="0" borderId="1" xfId="0" applyNumberFormat="1" applyFont="1" applyBorder="1" applyAlignment="1" applyProtection="1">
      <alignment horizontal="center" vertical="center"/>
    </xf>
    <xf numFmtId="14" fontId="115" fillId="0" borderId="73" xfId="8" applyNumberFormat="1" applyFont="1" applyFill="1" applyBorder="1" applyAlignment="1" applyProtection="1">
      <alignment horizontal="left" vertical="center"/>
      <protection locked="0"/>
    </xf>
    <xf numFmtId="0" fontId="9" fillId="0" borderId="5" xfId="0" applyFont="1" applyBorder="1" applyAlignment="1" applyProtection="1">
      <alignment horizontal="center" vertical="center"/>
    </xf>
    <xf numFmtId="0" fontId="13" fillId="0" borderId="91" xfId="0" applyFont="1" applyFill="1" applyBorder="1" applyAlignment="1" applyProtection="1">
      <alignment vertical="center" wrapText="1"/>
    </xf>
    <xf numFmtId="0" fontId="13" fillId="0" borderId="73" xfId="0" applyFont="1" applyFill="1" applyBorder="1" applyAlignment="1" applyProtection="1">
      <alignment vertical="center" wrapText="1"/>
    </xf>
    <xf numFmtId="0" fontId="13" fillId="0" borderId="12" xfId="0" applyFont="1" applyFill="1" applyBorder="1" applyAlignment="1" applyProtection="1">
      <alignment horizontal="center" vertical="top" wrapText="1"/>
    </xf>
    <xf numFmtId="0" fontId="13" fillId="0" borderId="74" xfId="0" applyFont="1" applyFill="1" applyBorder="1" applyAlignment="1" applyProtection="1">
      <alignment horizontal="center" vertical="top" wrapText="1"/>
    </xf>
    <xf numFmtId="0" fontId="23" fillId="0" borderId="8" xfId="0" applyFont="1" applyBorder="1" applyAlignment="1" applyProtection="1">
      <alignment vertical="center"/>
    </xf>
    <xf numFmtId="0" fontId="23" fillId="0" borderId="13" xfId="0" applyFont="1" applyFill="1" applyBorder="1" applyAlignment="1" applyProtection="1">
      <alignment horizontal="center" vertical="center" wrapText="1"/>
    </xf>
    <xf numFmtId="0" fontId="23" fillId="0" borderId="8" xfId="0" applyFont="1" applyFill="1" applyBorder="1" applyAlignment="1" applyProtection="1">
      <alignment horizontal="center" vertical="center" wrapText="1"/>
    </xf>
    <xf numFmtId="0" fontId="23" fillId="0" borderId="8" xfId="0" applyFont="1" applyBorder="1" applyAlignment="1" applyProtection="1">
      <alignment vertical="center" wrapText="1"/>
    </xf>
    <xf numFmtId="0" fontId="23" fillId="0" borderId="90" xfId="8" applyFont="1" applyFill="1" applyBorder="1" applyAlignment="1" applyProtection="1">
      <alignment horizontal="center" vertical="center" wrapText="1"/>
    </xf>
    <xf numFmtId="0" fontId="16" fillId="0" borderId="8" xfId="0" applyFont="1" applyFill="1" applyBorder="1" applyAlignment="1" applyProtection="1">
      <alignment horizontal="center" vertical="center" wrapText="1"/>
    </xf>
    <xf numFmtId="0" fontId="54" fillId="38" borderId="5" xfId="0" applyFont="1" applyFill="1" applyBorder="1" applyAlignment="1" applyProtection="1">
      <alignment horizontal="left" vertical="center" wrapText="1"/>
      <protection locked="0"/>
    </xf>
    <xf numFmtId="0" fontId="54" fillId="38" borderId="6" xfId="0" applyFont="1" applyFill="1" applyBorder="1" applyAlignment="1" applyProtection="1">
      <alignment horizontal="left" vertical="center" wrapText="1"/>
      <protection locked="0"/>
    </xf>
    <xf numFmtId="0" fontId="103" fillId="38" borderId="5" xfId="0" applyFont="1" applyFill="1" applyBorder="1" applyAlignment="1" applyProtection="1">
      <alignment horizontal="left" vertical="center" wrapText="1"/>
      <protection locked="0"/>
    </xf>
    <xf numFmtId="0" fontId="103"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23" fillId="0" borderId="5" xfId="0" applyFont="1" applyFill="1" applyBorder="1" applyAlignment="1">
      <alignment horizontal="center" vertical="center"/>
    </xf>
    <xf numFmtId="0" fontId="23" fillId="0" borderId="6" xfId="0" applyFont="1" applyFill="1" applyBorder="1" applyAlignment="1">
      <alignment horizontal="center" vertical="center"/>
    </xf>
    <xf numFmtId="0" fontId="23" fillId="0" borderId="4" xfId="0" applyFont="1" applyFill="1" applyBorder="1" applyAlignment="1">
      <alignment horizontal="center" vertical="center"/>
    </xf>
    <xf numFmtId="0" fontId="23" fillId="0" borderId="15" xfId="0" applyFont="1" applyFill="1" applyBorder="1" applyAlignment="1">
      <alignment horizontal="center" vertical="center"/>
    </xf>
    <xf numFmtId="0" fontId="23" fillId="0" borderId="13" xfId="0" applyFont="1" applyFill="1" applyBorder="1" applyAlignment="1">
      <alignment horizontal="center" vertical="center"/>
    </xf>
    <xf numFmtId="0" fontId="23" fillId="0" borderId="12" xfId="0" applyFont="1" applyFill="1" applyBorder="1" applyAlignment="1">
      <alignment horizontal="center" vertical="center"/>
    </xf>
    <xf numFmtId="0" fontId="23" fillId="5" borderId="3" xfId="0" applyFont="1" applyFill="1" applyBorder="1" applyAlignment="1" applyProtection="1">
      <alignment horizontal="center" vertical="center" wrapText="1"/>
      <protection locked="0"/>
    </xf>
    <xf numFmtId="0" fontId="23" fillId="5" borderId="10" xfId="0" applyFont="1" applyFill="1" applyBorder="1" applyAlignment="1" applyProtection="1">
      <alignment horizontal="center" vertical="center" wrapText="1"/>
      <protection locked="0"/>
    </xf>
    <xf numFmtId="0" fontId="23" fillId="5" borderId="2" xfId="0" applyFont="1" applyFill="1" applyBorder="1" applyAlignment="1" applyProtection="1">
      <alignment horizontal="center" vertical="center" wrapText="1"/>
      <protection locked="0"/>
    </xf>
    <xf numFmtId="0" fontId="37" fillId="14" borderId="1" xfId="85" applyFont="1" applyFill="1" applyBorder="1" applyAlignment="1">
      <alignment horizontal="right" vertical="center" wrapText="1"/>
    </xf>
    <xf numFmtId="0" fontId="23" fillId="0" borderId="0" xfId="0" applyFont="1" applyFill="1" applyBorder="1" applyAlignment="1">
      <alignment horizontal="center" vertical="center"/>
    </xf>
    <xf numFmtId="0" fontId="37" fillId="0" borderId="0" xfId="0" applyFont="1" applyFill="1" applyBorder="1" applyAlignment="1" applyProtection="1">
      <alignment horizontal="center" vertical="center" wrapText="1"/>
      <protection locked="0"/>
    </xf>
    <xf numFmtId="0" fontId="37" fillId="0" borderId="5" xfId="0" applyFont="1" applyFill="1" applyBorder="1" applyAlignment="1">
      <alignment horizontal="center" vertical="center"/>
    </xf>
    <xf numFmtId="0" fontId="37" fillId="0" borderId="6" xfId="0" applyFont="1" applyFill="1" applyBorder="1" applyAlignment="1">
      <alignment horizontal="center" vertical="center"/>
    </xf>
    <xf numFmtId="0" fontId="37" fillId="0" borderId="13" xfId="0" applyFont="1" applyFill="1" applyBorder="1" applyAlignment="1">
      <alignment horizontal="center" vertical="center"/>
    </xf>
    <xf numFmtId="0" fontId="37" fillId="0" borderId="12" xfId="0" applyFont="1" applyFill="1" applyBorder="1" applyAlignment="1">
      <alignment horizontal="center" vertical="center"/>
    </xf>
    <xf numFmtId="0" fontId="37" fillId="0" borderId="4" xfId="0" applyFont="1" applyFill="1" applyBorder="1" applyAlignment="1">
      <alignment horizontal="center" vertical="center"/>
    </xf>
    <xf numFmtId="0" fontId="37" fillId="0" borderId="15" xfId="0" applyFont="1" applyFill="1" applyBorder="1" applyAlignment="1">
      <alignment horizontal="center" vertical="center"/>
    </xf>
    <xf numFmtId="0" fontId="37" fillId="0" borderId="13" xfId="0" applyFont="1" applyFill="1" applyBorder="1" applyAlignment="1" applyProtection="1">
      <alignment horizontal="center" vertical="center" wrapText="1"/>
    </xf>
    <xf numFmtId="0" fontId="37" fillId="0" borderId="12" xfId="0" applyFont="1" applyFill="1" applyBorder="1" applyAlignment="1" applyProtection="1">
      <alignment horizontal="center" vertical="center" wrapText="1"/>
    </xf>
    <xf numFmtId="0" fontId="37" fillId="0" borderId="11" xfId="0" applyFont="1" applyFill="1" applyBorder="1" applyAlignment="1" applyProtection="1">
      <alignment horizontal="center" vertical="center" wrapText="1"/>
    </xf>
    <xf numFmtId="0" fontId="37" fillId="0" borderId="16" xfId="0" applyFont="1" applyFill="1" applyBorder="1" applyAlignment="1" applyProtection="1">
      <alignment horizontal="center" vertical="center" wrapText="1"/>
    </xf>
    <xf numFmtId="0" fontId="37" fillId="0" borderId="3" xfId="0" applyFont="1" applyFill="1" applyBorder="1" applyAlignment="1" applyProtection="1">
      <alignment horizontal="center" vertical="center" wrapText="1"/>
    </xf>
    <xf numFmtId="0" fontId="37" fillId="0" borderId="10" xfId="0" applyFont="1" applyFill="1" applyBorder="1" applyAlignment="1" applyProtection="1">
      <alignment horizontal="center" vertical="center" wrapText="1"/>
    </xf>
    <xf numFmtId="0" fontId="37" fillId="0" borderId="3" xfId="0" applyNumberFormat="1" applyFont="1" applyFill="1" applyBorder="1" applyAlignment="1" applyProtection="1">
      <alignment horizontal="center" vertical="center" wrapText="1"/>
    </xf>
    <xf numFmtId="0" fontId="37" fillId="0" borderId="10" xfId="0" applyNumberFormat="1" applyFont="1" applyFill="1" applyBorder="1" applyAlignment="1" applyProtection="1">
      <alignment horizontal="center" vertical="center" wrapText="1"/>
    </xf>
    <xf numFmtId="20" fontId="37" fillId="4" borderId="1" xfId="0" quotePrefix="1" applyNumberFormat="1" applyFont="1" applyFill="1" applyBorder="1" applyAlignment="1" applyProtection="1">
      <alignment horizontal="center" vertical="center"/>
    </xf>
    <xf numFmtId="0" fontId="37" fillId="0" borderId="7" xfId="0" quotePrefix="1" applyFont="1" applyFill="1" applyBorder="1" applyAlignment="1" applyProtection="1">
      <alignment horizontal="center" vertical="center"/>
    </xf>
    <xf numFmtId="20" fontId="37" fillId="0" borderId="5" xfId="0" quotePrefix="1" applyNumberFormat="1" applyFont="1" applyFill="1" applyBorder="1" applyAlignment="1" applyProtection="1">
      <alignment horizontal="center" vertical="center"/>
    </xf>
    <xf numFmtId="20" fontId="37" fillId="0" borderId="9" xfId="0" quotePrefix="1" applyNumberFormat="1" applyFont="1" applyFill="1" applyBorder="1" applyAlignment="1" applyProtection="1">
      <alignment horizontal="center" vertical="center"/>
    </xf>
    <xf numFmtId="20" fontId="37" fillId="0" borderId="6" xfId="0" quotePrefix="1" applyNumberFormat="1" applyFont="1" applyFill="1" applyBorder="1" applyAlignment="1" applyProtection="1">
      <alignment horizontal="center" vertical="center"/>
    </xf>
    <xf numFmtId="0" fontId="37" fillId="0" borderId="13" xfId="0" applyFont="1" applyFill="1" applyBorder="1" applyAlignment="1">
      <alignment horizontal="center" vertical="center" wrapText="1"/>
    </xf>
    <xf numFmtId="0" fontId="37" fillId="0" borderId="12"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7" fillId="0" borderId="15" xfId="0" applyFont="1" applyFill="1" applyBorder="1" applyAlignment="1">
      <alignment horizontal="center" vertical="center" wrapText="1"/>
    </xf>
    <xf numFmtId="0" fontId="37" fillId="0" borderId="3" xfId="0" applyFont="1" applyFill="1" applyBorder="1" applyAlignment="1">
      <alignment horizontal="center" vertical="center" wrapText="1"/>
    </xf>
    <xf numFmtId="0" fontId="37" fillId="0" borderId="10" xfId="0" applyFont="1" applyFill="1" applyBorder="1" applyAlignment="1">
      <alignment horizontal="center" vertical="center" wrapText="1"/>
    </xf>
    <xf numFmtId="0" fontId="37" fillId="0" borderId="2" xfId="0" applyFont="1" applyFill="1" applyBorder="1" applyAlignment="1">
      <alignment horizontal="center" vertical="center" wrapText="1"/>
    </xf>
    <xf numFmtId="0" fontId="37" fillId="5" borderId="3" xfId="0" applyFont="1" applyFill="1" applyBorder="1" applyAlignment="1">
      <alignment horizontal="center" vertical="center" wrapText="1"/>
    </xf>
    <xf numFmtId="0" fontId="37" fillId="5" borderId="10" xfId="0" applyFont="1" applyFill="1" applyBorder="1" applyAlignment="1">
      <alignment horizontal="center" vertical="center" wrapText="1"/>
    </xf>
    <xf numFmtId="0" fontId="37" fillId="5" borderId="2" xfId="0" applyFont="1" applyFill="1" applyBorder="1" applyAlignment="1">
      <alignment horizontal="center" vertical="center" wrapText="1"/>
    </xf>
    <xf numFmtId="0" fontId="37" fillId="0" borderId="1" xfId="0" applyFont="1" applyFill="1" applyBorder="1" applyAlignment="1">
      <alignment horizontal="center" vertical="center"/>
    </xf>
    <xf numFmtId="20" fontId="37" fillId="0" borderId="7" xfId="0" quotePrefix="1" applyNumberFormat="1" applyFont="1" applyFill="1" applyBorder="1" applyAlignment="1" applyProtection="1">
      <alignment horizontal="center" vertical="center"/>
    </xf>
    <xf numFmtId="0" fontId="37" fillId="0" borderId="11" xfId="0" applyFont="1" applyFill="1" applyBorder="1" applyAlignment="1">
      <alignment horizontal="center" vertical="center" wrapText="1"/>
    </xf>
    <xf numFmtId="0" fontId="37" fillId="0" borderId="1" xfId="0" quotePrefix="1" applyFont="1" applyFill="1" applyBorder="1" applyAlignment="1" applyProtection="1">
      <alignment horizontal="center" vertical="center"/>
    </xf>
    <xf numFmtId="20" fontId="37" fillId="0" borderId="1" xfId="0" quotePrefix="1" applyNumberFormat="1" applyFont="1" applyFill="1" applyBorder="1" applyAlignment="1" applyProtection="1">
      <alignment horizontal="center" vertical="center"/>
    </xf>
    <xf numFmtId="0" fontId="23" fillId="0" borderId="9" xfId="0" applyFont="1" applyFill="1" applyBorder="1" applyAlignment="1" applyProtection="1">
      <alignment horizontal="center" vertical="center" wrapText="1"/>
      <protection locked="0"/>
    </xf>
    <xf numFmtId="0" fontId="13" fillId="0" borderId="5" xfId="0" applyFont="1" applyFill="1" applyBorder="1" applyAlignment="1" applyProtection="1">
      <alignment horizontal="left" vertical="center" wrapText="1"/>
    </xf>
    <xf numFmtId="0" fontId="13" fillId="0" borderId="9" xfId="0" applyFont="1" applyFill="1" applyBorder="1" applyAlignment="1" applyProtection="1">
      <alignment horizontal="left" vertical="center" wrapText="1"/>
    </xf>
    <xf numFmtId="0" fontId="13" fillId="0" borderId="6" xfId="0" applyFont="1" applyFill="1" applyBorder="1" applyAlignment="1" applyProtection="1">
      <alignment horizontal="left" vertical="center" wrapText="1"/>
    </xf>
    <xf numFmtId="0" fontId="31" fillId="0" borderId="5" xfId="0" applyFont="1" applyFill="1" applyBorder="1" applyAlignment="1" applyProtection="1">
      <alignment horizontal="center" vertical="center" wrapText="1"/>
    </xf>
    <xf numFmtId="0" fontId="31" fillId="0" borderId="9" xfId="0" applyFont="1" applyFill="1" applyBorder="1" applyAlignment="1" applyProtection="1">
      <alignment horizontal="center" vertical="center" wrapText="1"/>
    </xf>
    <xf numFmtId="0" fontId="31" fillId="0" borderId="6" xfId="0" applyFont="1" applyFill="1" applyBorder="1" applyAlignment="1" applyProtection="1">
      <alignment horizontal="center" vertical="center" wrapText="1"/>
    </xf>
    <xf numFmtId="0" fontId="23" fillId="0" borderId="12" xfId="8" applyFont="1" applyFill="1" applyBorder="1" applyAlignment="1" applyProtection="1">
      <alignment horizontal="center" vertical="center" wrapText="1"/>
    </xf>
    <xf numFmtId="0" fontId="23" fillId="0" borderId="10" xfId="8" applyFont="1" applyFill="1" applyBorder="1" applyAlignment="1" applyProtection="1">
      <alignment horizontal="center" vertical="center" wrapText="1"/>
    </xf>
    <xf numFmtId="20" fontId="24" fillId="0" borderId="2" xfId="0" applyNumberFormat="1" applyFont="1" applyFill="1" applyBorder="1" applyAlignment="1" applyProtection="1">
      <alignment horizontal="center" vertical="center" wrapText="1"/>
    </xf>
    <xf numFmtId="0" fontId="24" fillId="0" borderId="2"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wrapText="1"/>
    </xf>
    <xf numFmtId="0" fontId="110" fillId="0" borderId="0" xfId="0" applyFont="1" applyFill="1" applyAlignment="1" applyProtection="1">
      <alignment horizontal="center" vertical="center" wrapText="1"/>
    </xf>
    <xf numFmtId="0" fontId="39" fillId="0" borderId="0" xfId="8" applyFont="1" applyFill="1" applyBorder="1" applyAlignment="1" applyProtection="1">
      <alignment horizontal="center" vertical="center" wrapText="1"/>
    </xf>
    <xf numFmtId="0" fontId="23" fillId="0" borderId="13" xfId="0" applyFont="1" applyFill="1" applyBorder="1" applyAlignment="1" applyProtection="1">
      <alignment horizontal="center" vertical="center"/>
      <protection locked="0"/>
    </xf>
    <xf numFmtId="0" fontId="23" fillId="0" borderId="12" xfId="0" applyFont="1" applyFill="1" applyBorder="1" applyAlignment="1" applyProtection="1">
      <alignment horizontal="center" vertical="center"/>
      <protection locked="0"/>
    </xf>
    <xf numFmtId="0" fontId="24" fillId="0" borderId="1" xfId="0" applyFont="1" applyFill="1" applyBorder="1" applyAlignment="1" applyProtection="1"/>
    <xf numFmtId="0" fontId="31" fillId="0" borderId="13" xfId="0" applyFont="1" applyFill="1" applyBorder="1" applyAlignment="1" applyProtection="1">
      <alignment horizontal="center" vertical="center" wrapText="1"/>
    </xf>
    <xf numFmtId="0" fontId="31" fillId="0" borderId="8" xfId="0" applyFont="1" applyFill="1" applyBorder="1" applyAlignment="1" applyProtection="1">
      <alignment horizontal="center" vertical="center" wrapText="1"/>
    </xf>
    <xf numFmtId="0" fontId="31" fillId="0" borderId="12" xfId="0" applyFont="1" applyFill="1" applyBorder="1" applyAlignment="1" applyProtection="1">
      <alignment horizontal="center" vertical="center" wrapText="1"/>
    </xf>
    <xf numFmtId="0" fontId="31" fillId="0" borderId="11" xfId="0" applyFont="1" applyFill="1" applyBorder="1" applyAlignment="1" applyProtection="1">
      <alignment horizontal="center" vertical="center" wrapText="1"/>
    </xf>
    <xf numFmtId="0" fontId="31" fillId="0" borderId="0" xfId="0" applyFont="1" applyFill="1" applyBorder="1" applyAlignment="1" applyProtection="1">
      <alignment horizontal="center" vertical="center" wrapText="1"/>
    </xf>
    <xf numFmtId="0" fontId="31" fillId="0" borderId="16" xfId="0" applyFont="1" applyFill="1" applyBorder="1" applyAlignment="1" applyProtection="1">
      <alignment horizontal="center" vertical="center" wrapText="1"/>
    </xf>
    <xf numFmtId="0" fontId="31" fillId="0" borderId="4" xfId="0" applyFont="1" applyFill="1" applyBorder="1" applyAlignment="1" applyProtection="1">
      <alignment horizontal="center" vertical="center" wrapText="1"/>
    </xf>
    <xf numFmtId="0" fontId="31" fillId="0" borderId="7" xfId="0" applyFont="1" applyFill="1" applyBorder="1" applyAlignment="1" applyProtection="1">
      <alignment horizontal="center" vertical="center" wrapText="1"/>
    </xf>
    <xf numFmtId="0" fontId="31" fillId="0" borderId="15"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3" fillId="0" borderId="5" xfId="0" applyNumberFormat="1" applyFont="1" applyFill="1" applyBorder="1" applyAlignment="1" applyProtection="1">
      <alignment horizontal="center" vertical="center" wrapText="1"/>
    </xf>
    <xf numFmtId="0" fontId="23" fillId="0" borderId="1" xfId="0" applyNumberFormat="1" applyFont="1" applyFill="1" applyBorder="1" applyAlignment="1" applyProtection="1">
      <alignment horizontal="center" vertical="center" wrapText="1"/>
    </xf>
    <xf numFmtId="0" fontId="23" fillId="0" borderId="1" xfId="0" applyNumberFormat="1" applyFont="1" applyFill="1" applyBorder="1" applyAlignment="1" applyProtection="1">
      <alignment horizontal="center" vertical="center"/>
    </xf>
    <xf numFmtId="0" fontId="58" fillId="0" borderId="5" xfId="0" applyFont="1" applyFill="1" applyBorder="1" applyAlignment="1" applyProtection="1">
      <alignment horizontal="center" vertical="center" wrapText="1"/>
      <protection locked="0"/>
    </xf>
    <xf numFmtId="0" fontId="58" fillId="0" borderId="9" xfId="0" applyFont="1" applyFill="1" applyBorder="1" applyAlignment="1" applyProtection="1">
      <alignment horizontal="center" vertical="center" wrapText="1"/>
      <protection locked="0"/>
    </xf>
    <xf numFmtId="0" fontId="62" fillId="0" borderId="5" xfId="0" applyFont="1" applyFill="1" applyBorder="1" applyAlignment="1" applyProtection="1">
      <alignment horizontal="center" vertical="center" wrapText="1"/>
    </xf>
    <xf numFmtId="0" fontId="62" fillId="0" borderId="9" xfId="0" applyFont="1" applyFill="1" applyBorder="1" applyAlignment="1" applyProtection="1">
      <alignment horizontal="center" vertical="center" wrapText="1"/>
    </xf>
    <xf numFmtId="0" fontId="62" fillId="0" borderId="6" xfId="0" applyFont="1" applyFill="1" applyBorder="1" applyAlignment="1" applyProtection="1">
      <alignment horizontal="center" vertical="center" wrapText="1"/>
    </xf>
    <xf numFmtId="0" fontId="29" fillId="0" borderId="13" xfId="8" applyFont="1" applyFill="1" applyBorder="1" applyAlignment="1" applyProtection="1">
      <alignment horizontal="center" vertical="center" wrapText="1"/>
    </xf>
    <xf numFmtId="0" fontId="29" fillId="0" borderId="12" xfId="8" applyFont="1" applyFill="1" applyBorder="1" applyAlignment="1" applyProtection="1">
      <alignment horizontal="center" vertical="center" wrapText="1"/>
    </xf>
    <xf numFmtId="0" fontId="62" fillId="0" borderId="3" xfId="0" applyFont="1" applyFill="1" applyBorder="1" applyAlignment="1">
      <alignment horizontal="center" vertical="center" wrapText="1"/>
    </xf>
    <xf numFmtId="0" fontId="62" fillId="0" borderId="2" xfId="0" applyFont="1" applyFill="1" applyBorder="1" applyAlignment="1">
      <alignment horizontal="center" vertical="center" wrapText="1"/>
    </xf>
    <xf numFmtId="0" fontId="29" fillId="0" borderId="1" xfId="0" applyFont="1" applyFill="1" applyBorder="1" applyAlignment="1" applyProtection="1">
      <alignment horizontal="center" vertical="center"/>
    </xf>
    <xf numFmtId="0" fontId="62" fillId="0" borderId="1" xfId="0" applyFont="1" applyFill="1" applyBorder="1" applyAlignment="1" applyProtection="1">
      <alignment horizontal="center" vertical="center" wrapText="1"/>
    </xf>
    <xf numFmtId="0" fontId="29" fillId="0" borderId="3" xfId="0" applyFont="1" applyFill="1" applyBorder="1" applyAlignment="1">
      <alignment horizontal="center" vertical="center" wrapText="1"/>
    </xf>
    <xf numFmtId="0" fontId="29" fillId="0" borderId="10" xfId="0" applyFont="1" applyFill="1" applyBorder="1" applyAlignment="1">
      <alignment horizontal="center" vertical="center" wrapText="1"/>
    </xf>
    <xf numFmtId="0" fontId="29" fillId="0" borderId="2" xfId="0" applyFont="1" applyFill="1" applyBorder="1" applyAlignment="1">
      <alignment horizontal="center" vertical="center" wrapText="1"/>
    </xf>
    <xf numFmtId="0" fontId="62" fillId="0" borderId="1" xfId="0" applyFont="1" applyFill="1" applyBorder="1" applyAlignment="1">
      <alignment horizontal="center" vertical="center"/>
    </xf>
    <xf numFmtId="0" fontId="120" fillId="0" borderId="10" xfId="0" applyFont="1" applyFill="1" applyBorder="1" applyAlignment="1" applyProtection="1">
      <alignment horizontal="center" vertical="center"/>
    </xf>
    <xf numFmtId="0" fontId="120" fillId="0" borderId="2" xfId="0" applyFont="1" applyFill="1" applyBorder="1" applyAlignment="1" applyProtection="1">
      <alignment horizontal="center" vertical="center"/>
    </xf>
    <xf numFmtId="0" fontId="62" fillId="0" borderId="2" xfId="0"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xf>
    <xf numFmtId="0" fontId="62" fillId="0" borderId="2" xfId="0" applyNumberFormat="1" applyFont="1" applyFill="1" applyBorder="1" applyAlignment="1" applyProtection="1">
      <alignment horizontal="center" vertical="center" wrapText="1"/>
    </xf>
    <xf numFmtId="0" fontId="62" fillId="0" borderId="1" xfId="0" applyNumberFormat="1" applyFont="1" applyFill="1" applyBorder="1" applyAlignment="1" applyProtection="1">
      <alignment horizontal="center" vertical="center" wrapText="1"/>
    </xf>
    <xf numFmtId="0" fontId="62" fillId="0" borderId="1" xfId="0" applyNumberFormat="1" applyFont="1" applyFill="1" applyBorder="1" applyAlignment="1" applyProtection="1">
      <alignment horizontal="center" vertical="center"/>
    </xf>
    <xf numFmtId="0" fontId="62" fillId="0" borderId="5" xfId="0" applyFont="1" applyFill="1" applyBorder="1" applyAlignment="1" applyProtection="1">
      <alignment horizontal="center" vertical="center"/>
    </xf>
    <xf numFmtId="0" fontId="62" fillId="0" borderId="9" xfId="0" applyFont="1" applyFill="1" applyBorder="1" applyAlignment="1" applyProtection="1">
      <alignment horizontal="center" vertical="center"/>
    </xf>
    <xf numFmtId="0" fontId="62" fillId="0" borderId="6" xfId="0" applyFont="1" applyFill="1" applyBorder="1" applyAlignment="1" applyProtection="1">
      <alignment horizontal="center" vertical="center"/>
    </xf>
    <xf numFmtId="0" fontId="29" fillId="0" borderId="2" xfId="8" applyFont="1" applyFill="1" applyBorder="1" applyAlignment="1" applyProtection="1">
      <alignment horizontal="center" vertical="center" wrapText="1"/>
    </xf>
    <xf numFmtId="0" fontId="29" fillId="0" borderId="1" xfId="8" applyFont="1" applyFill="1" applyBorder="1" applyAlignment="1" applyProtection="1">
      <alignment horizontal="center" vertical="center" wrapText="1"/>
    </xf>
    <xf numFmtId="20" fontId="62" fillId="0" borderId="1" xfId="0" applyNumberFormat="1" applyFont="1" applyFill="1" applyBorder="1" applyAlignment="1" applyProtection="1">
      <alignment horizontal="center" vertical="center"/>
    </xf>
    <xf numFmtId="20" fontId="62" fillId="0" borderId="5" xfId="0" applyNumberFormat="1" applyFont="1" applyFill="1" applyBorder="1" applyAlignment="1" applyProtection="1">
      <alignment horizontal="center" vertical="center"/>
    </xf>
    <xf numFmtId="20" fontId="62" fillId="0" borderId="9" xfId="0" applyNumberFormat="1" applyFont="1" applyFill="1" applyBorder="1" applyAlignment="1" applyProtection="1">
      <alignment horizontal="center" vertical="center"/>
    </xf>
    <xf numFmtId="20" fontId="62" fillId="0" borderId="6" xfId="0" applyNumberFormat="1" applyFont="1" applyFill="1" applyBorder="1" applyAlignment="1" applyProtection="1">
      <alignment horizontal="center" vertical="center"/>
    </xf>
    <xf numFmtId="0" fontId="62" fillId="0" borderId="4" xfId="0" applyFont="1" applyFill="1" applyBorder="1" applyAlignment="1" applyProtection="1">
      <alignment horizontal="center" vertical="center"/>
    </xf>
    <xf numFmtId="0" fontId="62" fillId="0" borderId="7" xfId="0" applyFont="1" applyFill="1" applyBorder="1" applyAlignment="1" applyProtection="1">
      <alignment horizontal="center" vertical="center"/>
    </xf>
    <xf numFmtId="0" fontId="62" fillId="0" borderId="15" xfId="0" applyFont="1" applyFill="1" applyBorder="1" applyAlignment="1" applyProtection="1">
      <alignment horizontal="center" vertical="center"/>
    </xf>
    <xf numFmtId="0" fontId="29" fillId="4" borderId="1" xfId="8" applyFont="1" applyFill="1" applyBorder="1" applyAlignment="1" applyProtection="1">
      <alignment horizontal="center" vertical="center" wrapText="1" shrinkToFit="1"/>
    </xf>
    <xf numFmtId="0" fontId="29" fillId="0" borderId="7" xfId="8" applyFont="1" applyFill="1" applyBorder="1" applyAlignment="1" applyProtection="1">
      <alignment horizontal="center" vertical="center"/>
    </xf>
    <xf numFmtId="0" fontId="62"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29" fillId="0" borderId="0" xfId="8" applyFont="1" applyFill="1" applyBorder="1" applyAlignment="1" applyProtection="1">
      <alignment horizontal="center" vertical="center" wrapText="1"/>
    </xf>
    <xf numFmtId="0" fontId="120" fillId="0" borderId="3" xfId="0" applyFont="1" applyFill="1" applyBorder="1" applyAlignment="1" applyProtection="1">
      <alignment horizontal="center" vertical="center"/>
    </xf>
    <xf numFmtId="0" fontId="116" fillId="0" borderId="0" xfId="0" applyFont="1" applyFill="1" applyAlignment="1" applyProtection="1">
      <alignment horizontal="center" vertical="center" wrapText="1"/>
    </xf>
    <xf numFmtId="0" fontId="62" fillId="0" borderId="5" xfId="8" applyFont="1" applyFill="1" applyBorder="1" applyAlignment="1" applyProtection="1">
      <alignment horizontal="center" vertical="center" wrapText="1"/>
    </xf>
    <xf numFmtId="0" fontId="62" fillId="0" borderId="6" xfId="8" applyFont="1" applyFill="1" applyBorder="1" applyAlignment="1" applyProtection="1">
      <alignment horizontal="center" vertical="center" wrapText="1"/>
    </xf>
    <xf numFmtId="0" fontId="29" fillId="0" borderId="5" xfId="8" applyFont="1" applyFill="1" applyBorder="1" applyAlignment="1" applyProtection="1">
      <alignment horizontal="center" vertical="center" wrapText="1"/>
    </xf>
    <xf numFmtId="0" fontId="29" fillId="0" borderId="6" xfId="8" applyFont="1" applyFill="1" applyBorder="1" applyAlignment="1" applyProtection="1">
      <alignment horizontal="center" vertical="center" wrapText="1"/>
    </xf>
    <xf numFmtId="0" fontId="62" fillId="0" borderId="5" xfId="8" applyFont="1" applyFill="1" applyBorder="1" applyAlignment="1" applyProtection="1">
      <alignment horizontal="center" vertical="center"/>
    </xf>
    <xf numFmtId="0" fontId="62" fillId="0" borderId="6" xfId="8" applyFont="1" applyFill="1" applyBorder="1" applyAlignment="1" applyProtection="1">
      <alignment horizontal="center" vertical="center"/>
    </xf>
    <xf numFmtId="0" fontId="29" fillId="0" borderId="5" xfId="8" applyFont="1" applyFill="1" applyBorder="1" applyAlignment="1" applyProtection="1">
      <alignment horizontal="center" vertical="center"/>
    </xf>
    <xf numFmtId="0" fontId="29" fillId="0" borderId="6" xfId="8" applyFont="1" applyFill="1" applyBorder="1" applyAlignment="1" applyProtection="1">
      <alignment horizontal="center" vertical="center"/>
    </xf>
    <xf numFmtId="0" fontId="58" fillId="0" borderId="1" xfId="0" applyFont="1" applyFill="1" applyBorder="1" applyAlignment="1" applyProtection="1">
      <alignment horizontal="center" vertical="center" wrapText="1"/>
      <protection locked="0"/>
    </xf>
    <xf numFmtId="0" fontId="13" fillId="0" borderId="3"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6" fillId="0" borderId="1" xfId="0" applyFont="1" applyFill="1" applyBorder="1" applyAlignment="1">
      <alignment horizontal="center" vertical="center"/>
    </xf>
    <xf numFmtId="0" fontId="129" fillId="0" borderId="1"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wrapText="1"/>
    </xf>
    <xf numFmtId="0" fontId="16" fillId="0" borderId="15" xfId="0" applyFont="1" applyFill="1" applyBorder="1" applyAlignment="1" applyProtection="1">
      <alignment horizontal="center" vertical="center"/>
    </xf>
    <xf numFmtId="174" fontId="120" fillId="0" borderId="7" xfId="0" applyNumberFormat="1" applyFont="1" applyFill="1" applyBorder="1" applyAlignment="1" applyProtection="1">
      <alignment horizontal="center" vertical="center" wrapText="1"/>
    </xf>
    <xf numFmtId="0" fontId="127" fillId="0" borderId="3" xfId="0" applyFont="1" applyFill="1" applyBorder="1" applyAlignment="1" applyProtection="1">
      <alignment horizontal="center" vertical="center"/>
    </xf>
    <xf numFmtId="0" fontId="127" fillId="0" borderId="10" xfId="0" applyFont="1" applyFill="1" applyBorder="1" applyAlignment="1" applyProtection="1">
      <alignment horizontal="center" vertical="center"/>
    </xf>
    <xf numFmtId="0" fontId="127" fillId="0" borderId="2" xfId="0" applyFont="1" applyFill="1" applyBorder="1" applyAlignment="1" applyProtection="1">
      <alignment horizontal="center" vertical="center"/>
    </xf>
    <xf numFmtId="0" fontId="16" fillId="0" borderId="1" xfId="0" applyFont="1" applyFill="1" applyBorder="1" applyAlignment="1" applyProtection="1">
      <alignment horizontal="center" vertical="center"/>
    </xf>
    <xf numFmtId="0" fontId="16" fillId="0" borderId="1" xfId="0" applyNumberFormat="1" applyFont="1" applyFill="1" applyBorder="1" applyAlignment="1" applyProtection="1">
      <alignment horizontal="center" vertical="center" wrapText="1"/>
    </xf>
    <xf numFmtId="0" fontId="16" fillId="0" borderId="1" xfId="0" applyNumberFormat="1" applyFont="1" applyFill="1" applyBorder="1" applyAlignment="1" applyProtection="1">
      <alignment horizontal="center" vertical="center"/>
    </xf>
    <xf numFmtId="0" fontId="9" fillId="0" borderId="5" xfId="0" applyNumberFormat="1" applyFont="1" applyFill="1" applyBorder="1" applyAlignment="1">
      <alignment horizontal="center" vertical="center"/>
    </xf>
    <xf numFmtId="0" fontId="9" fillId="0" borderId="6" xfId="0" applyNumberFormat="1" applyFont="1" applyFill="1" applyBorder="1" applyAlignment="1">
      <alignment horizontal="center" vertical="center"/>
    </xf>
    <xf numFmtId="167" fontId="9" fillId="0" borderId="5" xfId="0" applyNumberFormat="1" applyFont="1" applyFill="1" applyBorder="1" applyAlignment="1">
      <alignment horizontal="center" vertical="center"/>
    </xf>
    <xf numFmtId="167" fontId="9" fillId="0" borderId="6" xfId="0" applyNumberFormat="1" applyFont="1" applyFill="1" applyBorder="1" applyAlignment="1">
      <alignment horizontal="center" vertical="center"/>
    </xf>
    <xf numFmtId="9" fontId="9" fillId="0" borderId="5" xfId="0" applyNumberFormat="1" applyFont="1" applyFill="1" applyBorder="1" applyAlignment="1">
      <alignment horizontal="center" vertical="center"/>
    </xf>
    <xf numFmtId="9" fontId="9" fillId="0" borderId="6" xfId="0" applyNumberFormat="1" applyFont="1" applyFill="1" applyBorder="1" applyAlignment="1">
      <alignment horizontal="center" vertical="center"/>
    </xf>
    <xf numFmtId="167" fontId="9" fillId="0" borderId="13" xfId="0" applyNumberFormat="1" applyFont="1" applyFill="1" applyBorder="1" applyAlignment="1">
      <alignment horizontal="center" vertical="center"/>
    </xf>
    <xf numFmtId="167" fontId="9" fillId="0" borderId="12" xfId="0" applyNumberFormat="1" applyFont="1" applyFill="1" applyBorder="1" applyAlignment="1">
      <alignment horizontal="center" vertical="center"/>
    </xf>
    <xf numFmtId="167" fontId="9" fillId="0" borderId="4" xfId="0" applyNumberFormat="1" applyFont="1" applyFill="1" applyBorder="1" applyAlignment="1">
      <alignment horizontal="center" vertical="center"/>
    </xf>
    <xf numFmtId="167" fontId="9" fillId="0" borderId="15" xfId="0" applyNumberFormat="1" applyFont="1" applyFill="1" applyBorder="1" applyAlignment="1">
      <alignment horizontal="center" vertical="center"/>
    </xf>
    <xf numFmtId="0" fontId="9" fillId="0" borderId="3"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5" xfId="0" applyFont="1" applyFill="1" applyBorder="1" applyAlignment="1">
      <alignment horizontal="center" vertical="center" wrapText="1"/>
    </xf>
    <xf numFmtId="20" fontId="9" fillId="0" borderId="5" xfId="0" applyNumberFormat="1" applyFont="1" applyFill="1" applyBorder="1" applyAlignment="1">
      <alignment horizontal="center" vertical="center" wrapText="1"/>
    </xf>
    <xf numFmtId="0" fontId="9" fillId="0" borderId="3" xfId="0" applyFont="1" applyFill="1" applyBorder="1" applyAlignment="1">
      <alignment horizontal="left" vertical="center" wrapText="1"/>
    </xf>
    <xf numFmtId="0" fontId="9" fillId="0" borderId="2" xfId="0" applyFont="1" applyFill="1" applyBorder="1" applyAlignment="1">
      <alignment horizontal="left" vertical="center" wrapText="1"/>
    </xf>
    <xf numFmtId="0" fontId="9" fillId="0" borderId="1" xfId="0" applyFont="1" applyFill="1" applyBorder="1" applyAlignment="1">
      <alignment horizontal="center" vertical="center"/>
    </xf>
    <xf numFmtId="0" fontId="9"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xf>
    <xf numFmtId="0" fontId="13" fillId="0" borderId="5"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23" fillId="0" borderId="5" xfId="8" applyFont="1" applyFill="1" applyBorder="1" applyAlignment="1">
      <alignment horizontal="center" vertical="center" wrapText="1"/>
    </xf>
    <xf numFmtId="0" fontId="134" fillId="0" borderId="6" xfId="0" applyFont="1" applyFill="1" applyBorder="1">
      <alignment vertical="center"/>
    </xf>
    <xf numFmtId="0" fontId="9" fillId="0" borderId="5" xfId="8" applyFont="1" applyFill="1" applyBorder="1" applyAlignment="1">
      <alignment horizontal="center" vertical="center"/>
    </xf>
    <xf numFmtId="0" fontId="9" fillId="0" borderId="5" xfId="0" applyFont="1" applyFill="1" applyBorder="1" applyAlignment="1">
      <alignment horizontal="center" vertical="center"/>
    </xf>
    <xf numFmtId="0" fontId="9" fillId="0" borderId="9" xfId="0" applyFont="1" applyFill="1" applyBorder="1" applyAlignment="1">
      <alignment horizontal="center" vertical="center"/>
    </xf>
    <xf numFmtId="0" fontId="9" fillId="0" borderId="6" xfId="0" applyFont="1" applyFill="1" applyBorder="1" applyAlignment="1">
      <alignment horizontal="center" vertical="center"/>
    </xf>
    <xf numFmtId="0" fontId="23" fillId="0" borderId="13" xfId="8" applyFont="1" applyFill="1" applyBorder="1" applyAlignment="1">
      <alignment horizontal="center" vertical="center" wrapText="1"/>
    </xf>
    <xf numFmtId="0" fontId="23" fillId="0" borderId="12" xfId="8" applyFont="1" applyFill="1" applyBorder="1" applyAlignment="1">
      <alignment horizontal="center" vertical="center" wrapText="1"/>
    </xf>
    <xf numFmtId="0" fontId="23" fillId="0" borderId="11" xfId="8" applyFont="1" applyFill="1" applyBorder="1" applyAlignment="1">
      <alignment horizontal="center" vertical="center" wrapText="1"/>
    </xf>
    <xf numFmtId="0" fontId="23" fillId="0" borderId="16" xfId="8" applyFont="1" applyFill="1" applyBorder="1" applyAlignment="1">
      <alignment horizontal="center" vertical="center" wrapText="1"/>
    </xf>
    <xf numFmtId="0" fontId="23" fillId="0" borderId="4" xfId="8" applyFont="1" applyFill="1" applyBorder="1" applyAlignment="1">
      <alignment horizontal="center" vertical="center" wrapText="1"/>
    </xf>
    <xf numFmtId="0" fontId="23" fillId="0" borderId="15" xfId="8" applyFont="1" applyFill="1" applyBorder="1" applyAlignment="1">
      <alignment horizontal="center" vertical="center" wrapText="1"/>
    </xf>
    <xf numFmtId="0" fontId="9" fillId="0" borderId="5"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20" fontId="13" fillId="0" borderId="5" xfId="0" applyNumberFormat="1" applyFont="1" applyFill="1" applyBorder="1" applyAlignment="1">
      <alignment horizontal="center" vertical="center" wrapText="1"/>
    </xf>
    <xf numFmtId="0" fontId="62" fillId="0" borderId="0" xfId="0" applyFont="1" applyFill="1" applyAlignment="1">
      <alignment horizontal="center" vertical="center" wrapText="1"/>
    </xf>
    <xf numFmtId="0" fontId="64" fillId="0" borderId="0" xfId="0" applyFont="1" applyFill="1" applyBorder="1" applyAlignment="1">
      <alignment horizontal="center" vertical="center" wrapText="1"/>
    </xf>
    <xf numFmtId="0" fontId="64" fillId="0" borderId="16" xfId="0" applyFont="1" applyFill="1" applyBorder="1" applyAlignment="1">
      <alignment horizontal="center" vertical="center" wrapText="1"/>
    </xf>
    <xf numFmtId="0" fontId="173" fillId="0" borderId="5" xfId="0" applyFont="1" applyFill="1" applyBorder="1" applyAlignment="1" applyProtection="1">
      <alignment horizontal="center" vertical="center" wrapText="1"/>
    </xf>
    <xf numFmtId="0" fontId="173" fillId="0" borderId="9" xfId="0" applyFont="1" applyFill="1" applyBorder="1" applyAlignment="1" applyProtection="1">
      <alignment horizontal="center" vertical="center" wrapText="1"/>
    </xf>
    <xf numFmtId="0" fontId="173" fillId="0" borderId="1" xfId="0" applyFont="1" applyFill="1" applyBorder="1" applyAlignment="1" applyProtection="1">
      <alignment horizontal="center" vertical="center" wrapText="1"/>
    </xf>
    <xf numFmtId="0" fontId="51" fillId="0" borderId="9" xfId="0" applyFont="1" applyFill="1" applyBorder="1" applyAlignment="1" applyProtection="1">
      <alignment horizontal="center" vertical="center" wrapText="1"/>
      <protection locked="0"/>
    </xf>
    <xf numFmtId="0" fontId="54" fillId="0" borderId="5" xfId="0" applyFont="1" applyFill="1" applyBorder="1" applyAlignment="1" applyProtection="1">
      <alignment horizontal="left" vertical="center" wrapText="1"/>
    </xf>
    <xf numFmtId="0" fontId="54" fillId="0" borderId="9" xfId="0" applyFont="1" applyFill="1" applyBorder="1" applyAlignment="1" applyProtection="1">
      <alignment horizontal="left" vertical="center" wrapText="1"/>
    </xf>
    <xf numFmtId="0" fontId="54" fillId="0" borderId="6" xfId="0" applyFont="1" applyFill="1" applyBorder="1" applyAlignment="1" applyProtection="1">
      <alignment horizontal="left" vertical="center" wrapText="1"/>
    </xf>
    <xf numFmtId="0" fontId="144" fillId="0" borderId="5" xfId="0" applyFont="1" applyFill="1" applyBorder="1" applyAlignment="1" applyProtection="1">
      <alignment horizontal="center" vertical="center" wrapText="1"/>
    </xf>
    <xf numFmtId="0" fontId="144" fillId="0" borderId="9" xfId="0" applyFont="1" applyFill="1" applyBorder="1" applyAlignment="1" applyProtection="1">
      <alignment horizontal="center" vertical="center" wrapText="1"/>
    </xf>
    <xf numFmtId="0" fontId="144" fillId="0" borderId="6" xfId="0" applyFont="1" applyFill="1" applyBorder="1" applyAlignment="1" applyProtection="1">
      <alignment horizontal="center" vertical="center" wrapText="1"/>
    </xf>
    <xf numFmtId="0" fontId="54" fillId="0" borderId="95" xfId="0" applyFont="1" applyFill="1" applyBorder="1" applyAlignment="1" applyProtection="1">
      <alignment horizontal="left" vertical="center" wrapText="1"/>
    </xf>
    <xf numFmtId="0" fontId="54" fillId="0" borderId="96" xfId="0" applyFont="1" applyFill="1" applyBorder="1" applyAlignment="1" applyProtection="1">
      <alignment horizontal="left" vertical="center" wrapText="1"/>
    </xf>
    <xf numFmtId="0" fontId="54" fillId="0" borderId="97" xfId="0" applyFont="1" applyFill="1" applyBorder="1" applyAlignment="1" applyProtection="1">
      <alignment horizontal="left" vertical="center" wrapText="1"/>
    </xf>
    <xf numFmtId="0" fontId="51" fillId="0" borderId="3" xfId="8" applyFont="1" applyFill="1" applyBorder="1" applyAlignment="1" applyProtection="1">
      <alignment horizontal="center" vertical="center" wrapText="1"/>
    </xf>
    <xf numFmtId="0" fontId="51" fillId="0" borderId="10" xfId="8" applyFont="1" applyFill="1" applyBorder="1" applyAlignment="1" applyProtection="1">
      <alignment horizontal="center" vertical="center" wrapText="1"/>
    </xf>
    <xf numFmtId="0" fontId="51" fillId="0" borderId="2" xfId="8" applyFont="1" applyFill="1" applyBorder="1" applyAlignment="1" applyProtection="1">
      <alignment horizontal="center" vertical="center" wrapText="1"/>
    </xf>
    <xf numFmtId="20" fontId="74" fillId="0" borderId="1" xfId="0" applyNumberFormat="1" applyFont="1" applyFill="1" applyBorder="1" applyAlignment="1" applyProtection="1">
      <alignment horizontal="center" vertical="center" wrapText="1"/>
    </xf>
    <xf numFmtId="0" fontId="74" fillId="0" borderId="1" xfId="0" applyFont="1" applyFill="1" applyBorder="1" applyAlignment="1" applyProtection="1">
      <alignment horizontal="center" vertical="center" wrapText="1"/>
    </xf>
    <xf numFmtId="20" fontId="74" fillId="0" borderId="5" xfId="0" applyNumberFormat="1" applyFont="1" applyFill="1" applyBorder="1" applyAlignment="1" applyProtection="1">
      <alignment horizontal="center" vertical="center" wrapText="1"/>
    </xf>
    <xf numFmtId="20" fontId="74" fillId="0" borderId="9" xfId="0" applyNumberFormat="1" applyFont="1" applyFill="1" applyBorder="1" applyAlignment="1" applyProtection="1">
      <alignment horizontal="center" vertical="center" wrapText="1"/>
    </xf>
    <xf numFmtId="20" fontId="74" fillId="0" borderId="6" xfId="0" applyNumberFormat="1" applyFont="1" applyFill="1" applyBorder="1" applyAlignment="1" applyProtection="1">
      <alignment horizontal="center" vertical="center" wrapText="1"/>
    </xf>
    <xf numFmtId="0" fontId="74" fillId="0" borderId="5" xfId="0" applyFont="1" applyFill="1" applyBorder="1" applyAlignment="1" applyProtection="1">
      <alignment horizontal="center" vertical="center" wrapText="1"/>
    </xf>
    <xf numFmtId="0" fontId="74" fillId="0" borderId="9" xfId="0" applyFont="1" applyFill="1" applyBorder="1" applyAlignment="1" applyProtection="1">
      <alignment horizontal="center" vertical="center" wrapText="1"/>
    </xf>
    <xf numFmtId="0" fontId="74" fillId="0" borderId="6" xfId="0" applyFont="1" applyFill="1" applyBorder="1" applyAlignment="1" applyProtection="1">
      <alignment horizontal="center" vertical="center" wrapText="1"/>
    </xf>
    <xf numFmtId="0" fontId="54" fillId="0" borderId="13" xfId="0" applyFont="1" applyFill="1" applyBorder="1" applyAlignment="1" applyProtection="1">
      <alignment horizontal="left" vertical="center" wrapText="1"/>
    </xf>
    <xf numFmtId="0" fontId="54" fillId="0" borderId="8" xfId="0" applyFont="1" applyFill="1" applyBorder="1" applyAlignment="1" applyProtection="1">
      <alignment horizontal="left" vertical="center" wrapText="1"/>
    </xf>
    <xf numFmtId="0" fontId="54" fillId="0" borderId="12" xfId="0" applyFont="1" applyFill="1" applyBorder="1" applyAlignment="1" applyProtection="1">
      <alignment horizontal="left" vertical="center" wrapText="1"/>
    </xf>
    <xf numFmtId="0" fontId="140" fillId="0" borderId="0" xfId="0" applyFont="1" applyFill="1" applyAlignment="1" applyProtection="1">
      <alignment horizontal="center" vertical="center" wrapText="1"/>
    </xf>
    <xf numFmtId="0" fontId="142" fillId="0" borderId="0" xfId="8" applyFont="1" applyFill="1" applyBorder="1" applyAlignment="1" applyProtection="1">
      <alignment horizontal="center" vertical="center" wrapText="1"/>
    </xf>
    <xf numFmtId="0" fontId="142" fillId="0" borderId="16" xfId="8" applyFont="1" applyFill="1" applyBorder="1" applyAlignment="1" applyProtection="1">
      <alignment horizontal="center" vertical="center" wrapText="1"/>
    </xf>
    <xf numFmtId="0" fontId="51" fillId="0" borderId="5" xfId="0" applyFont="1" applyFill="1" applyBorder="1" applyAlignment="1" applyProtection="1">
      <alignment horizontal="center" vertical="center" wrapText="1"/>
    </xf>
    <xf numFmtId="0" fontId="132" fillId="0" borderId="5" xfId="8" applyFont="1" applyFill="1" applyBorder="1" applyAlignment="1" applyProtection="1">
      <alignment horizontal="center" vertical="center"/>
    </xf>
    <xf numFmtId="0" fontId="132" fillId="0" borderId="6" xfId="8" applyFont="1" applyFill="1" applyBorder="1" applyAlignment="1" applyProtection="1">
      <alignment horizontal="center" vertical="center"/>
    </xf>
    <xf numFmtId="0" fontId="74" fillId="0" borderId="1" xfId="0" applyFont="1" applyFill="1" applyBorder="1" applyAlignment="1" applyProtection="1">
      <alignment horizontal="center" vertical="center"/>
    </xf>
    <xf numFmtId="0" fontId="144" fillId="0" borderId="13" xfId="0" applyFont="1" applyFill="1" applyBorder="1" applyAlignment="1" applyProtection="1">
      <alignment horizontal="center" vertical="center" wrapText="1"/>
    </xf>
    <xf numFmtId="0" fontId="144" fillId="0" borderId="8" xfId="0" applyFont="1" applyFill="1" applyBorder="1" applyAlignment="1" applyProtection="1">
      <alignment horizontal="center" vertical="center" wrapText="1"/>
    </xf>
    <xf numFmtId="0" fontId="144" fillId="0" borderId="12" xfId="0" applyFont="1" applyFill="1" applyBorder="1" applyAlignment="1" applyProtection="1">
      <alignment horizontal="center" vertical="center" wrapText="1"/>
    </xf>
    <xf numFmtId="0" fontId="144" fillId="0" borderId="11" xfId="0" applyFont="1" applyFill="1" applyBorder="1" applyAlignment="1" applyProtection="1">
      <alignment horizontal="center" vertical="center" wrapText="1"/>
    </xf>
    <xf numFmtId="0" fontId="144" fillId="0" borderId="0" xfId="0" applyFont="1" applyFill="1" applyBorder="1" applyAlignment="1" applyProtection="1">
      <alignment horizontal="center" vertical="center" wrapText="1"/>
    </xf>
    <xf numFmtId="0" fontId="144" fillId="0" borderId="16" xfId="0" applyFont="1" applyFill="1" applyBorder="1" applyAlignment="1" applyProtection="1">
      <alignment horizontal="center" vertical="center" wrapText="1"/>
    </xf>
    <xf numFmtId="0" fontId="144" fillId="0" borderId="4" xfId="0" applyFont="1" applyFill="1" applyBorder="1" applyAlignment="1" applyProtection="1">
      <alignment horizontal="center" vertical="center" wrapText="1"/>
    </xf>
    <xf numFmtId="0" fontId="144" fillId="0" borderId="7" xfId="0" applyFont="1" applyFill="1" applyBorder="1" applyAlignment="1" applyProtection="1">
      <alignment horizontal="center" vertical="center" wrapText="1"/>
    </xf>
    <xf numFmtId="0" fontId="144" fillId="0" borderId="15" xfId="0" applyFont="1" applyFill="1" applyBorder="1" applyAlignment="1" applyProtection="1">
      <alignment horizontal="center" vertical="center" wrapText="1"/>
    </xf>
    <xf numFmtId="168" fontId="16" fillId="0" borderId="0" xfId="0" applyNumberFormat="1" applyFont="1" applyFill="1" applyBorder="1" applyAlignment="1" applyProtection="1">
      <alignment horizontal="center" vertical="center"/>
    </xf>
    <xf numFmtId="0" fontId="13" fillId="0" borderId="13" xfId="0"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3" fillId="0" borderId="4" xfId="0" applyFont="1" applyFill="1" applyBorder="1" applyAlignment="1">
      <alignment horizontal="center" vertical="center" wrapText="1"/>
    </xf>
    <xf numFmtId="0" fontId="13" fillId="0" borderId="15"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0" borderId="16" xfId="0" applyFont="1" applyFill="1" applyBorder="1" applyAlignment="1">
      <alignment horizontal="center" vertical="center" wrapText="1"/>
    </xf>
    <xf numFmtId="0" fontId="16" fillId="0" borderId="12" xfId="0" applyFont="1" applyFill="1" applyBorder="1" applyAlignment="1" applyProtection="1">
      <alignment horizontal="center" vertical="center" wrapText="1"/>
    </xf>
    <xf numFmtId="0" fontId="16" fillId="0" borderId="16" xfId="0"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wrapText="1"/>
    </xf>
    <xf numFmtId="0" fontId="16" fillId="0" borderId="15"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179" fontId="115" fillId="0" borderId="73" xfId="0" applyNumberFormat="1" applyFont="1" applyFill="1" applyBorder="1" applyAlignment="1" applyProtection="1">
      <alignment horizontal="center" vertical="center"/>
      <protection locked="0"/>
    </xf>
    <xf numFmtId="0" fontId="194" fillId="0" borderId="5" xfId="0" applyFont="1" applyFill="1" applyBorder="1" applyAlignment="1" applyProtection="1">
      <alignment horizontal="center" vertical="center" wrapText="1"/>
      <protection locked="0"/>
    </xf>
    <xf numFmtId="0" fontId="194" fillId="0" borderId="9" xfId="0" applyFont="1" applyFill="1" applyBorder="1" applyAlignment="1" applyProtection="1">
      <alignment horizontal="center" vertical="center" wrapText="1"/>
      <protection locked="0"/>
    </xf>
    <xf numFmtId="0" fontId="16" fillId="0" borderId="5" xfId="0" applyFont="1" applyFill="1" applyBorder="1" applyAlignment="1">
      <alignment horizontal="center" vertical="center" wrapText="1"/>
    </xf>
    <xf numFmtId="0" fontId="16" fillId="0" borderId="6" xfId="0" applyFont="1" applyFill="1" applyBorder="1" applyAlignment="1">
      <alignment horizontal="center" vertical="center" wrapText="1"/>
    </xf>
    <xf numFmtId="0" fontId="211" fillId="0" borderId="0" xfId="84" applyFont="1" applyFill="1" applyBorder="1" applyAlignment="1" applyProtection="1">
      <alignment horizontal="left" vertical="center"/>
    </xf>
    <xf numFmtId="41" fontId="49" fillId="0" borderId="5" xfId="0" applyNumberFormat="1" applyFont="1" applyFill="1" applyBorder="1" applyAlignment="1" applyProtection="1">
      <alignment horizontal="center" vertical="center" wrapText="1"/>
      <protection locked="0"/>
    </xf>
    <xf numFmtId="41" fontId="49" fillId="0" borderId="9" xfId="0" applyNumberFormat="1" applyFont="1" applyFill="1" applyBorder="1" applyAlignment="1" applyProtection="1">
      <alignment horizontal="center" vertical="center" wrapText="1"/>
      <protection locked="0"/>
    </xf>
    <xf numFmtId="41" fontId="49" fillId="0" borderId="1" xfId="0" applyNumberFormat="1" applyFont="1" applyFill="1" applyBorder="1" applyAlignment="1" applyProtection="1">
      <alignment horizontal="center" vertical="center" wrapText="1"/>
      <protection locked="0"/>
    </xf>
    <xf numFmtId="0" fontId="49" fillId="0" borderId="5" xfId="0" applyFont="1" applyFill="1" applyBorder="1" applyAlignment="1">
      <alignment horizontal="center" vertical="center"/>
    </xf>
    <xf numFmtId="0" fontId="49" fillId="0" borderId="6" xfId="0" applyFont="1" applyFill="1" applyBorder="1" applyAlignment="1">
      <alignment horizontal="center" vertical="center"/>
    </xf>
    <xf numFmtId="0" fontId="49" fillId="0" borderId="13" xfId="0" applyFont="1" applyFill="1" applyBorder="1" applyAlignment="1" applyProtection="1">
      <alignment horizontal="center" vertical="center" wrapText="1"/>
    </xf>
    <xf numFmtId="0" fontId="49" fillId="0" borderId="12" xfId="0" applyFont="1" applyFill="1" applyBorder="1" applyAlignment="1" applyProtection="1">
      <alignment horizontal="center" vertical="center" wrapText="1"/>
    </xf>
    <xf numFmtId="0" fontId="49" fillId="0" borderId="11" xfId="0" applyFont="1" applyFill="1" applyBorder="1" applyAlignment="1" applyProtection="1">
      <alignment horizontal="center" vertical="center" wrapText="1"/>
    </xf>
    <xf numFmtId="0" fontId="49" fillId="0" borderId="16" xfId="0" applyFont="1" applyFill="1" applyBorder="1" applyAlignment="1" applyProtection="1">
      <alignment horizontal="center" vertical="center" wrapText="1"/>
    </xf>
    <xf numFmtId="0" fontId="49" fillId="0" borderId="10" xfId="0" applyFont="1" applyFill="1" applyBorder="1" applyAlignment="1" applyProtection="1">
      <alignment horizontal="center" vertical="center" wrapText="1"/>
    </xf>
    <xf numFmtId="0" fontId="49" fillId="0" borderId="3" xfId="0" applyNumberFormat="1" applyFont="1" applyFill="1" applyBorder="1" applyAlignment="1" applyProtection="1">
      <alignment horizontal="center" vertical="center" wrapText="1"/>
    </xf>
    <xf numFmtId="0" fontId="49" fillId="0" borderId="10" xfId="0" applyNumberFormat="1" applyFont="1" applyFill="1" applyBorder="1" applyAlignment="1" applyProtection="1">
      <alignment horizontal="center" vertical="center" wrapText="1"/>
    </xf>
    <xf numFmtId="20" fontId="49" fillId="0" borderId="1" xfId="0" quotePrefix="1" applyNumberFormat="1" applyFont="1" applyFill="1" applyBorder="1" applyAlignment="1" applyProtection="1">
      <alignment horizontal="center" vertical="center"/>
    </xf>
    <xf numFmtId="0" fontId="49" fillId="0" borderId="1" xfId="0" quotePrefix="1" applyFont="1" applyFill="1" applyBorder="1" applyAlignment="1" applyProtection="1">
      <alignment horizontal="center" vertical="center"/>
    </xf>
    <xf numFmtId="0" fontId="49" fillId="0" borderId="1" xfId="0" applyFont="1" applyFill="1" applyBorder="1" applyAlignment="1" applyProtection="1">
      <alignment horizontal="center" vertical="center"/>
    </xf>
    <xf numFmtId="0" fontId="49" fillId="0" borderId="7" xfId="0" quotePrefix="1" applyFont="1" applyFill="1" applyBorder="1" applyAlignment="1" applyProtection="1">
      <alignment horizontal="center" vertical="center"/>
    </xf>
    <xf numFmtId="0" fontId="49" fillId="0" borderId="8" xfId="0" applyFont="1" applyFill="1" applyBorder="1" applyAlignment="1" applyProtection="1">
      <alignment horizontal="center" vertical="center"/>
    </xf>
    <xf numFmtId="0" fontId="49" fillId="0" borderId="12" xfId="0" applyFont="1" applyFill="1" applyBorder="1" applyAlignment="1" applyProtection="1">
      <alignment horizontal="center" vertical="center"/>
    </xf>
    <xf numFmtId="0" fontId="49" fillId="5" borderId="3" xfId="0" applyFont="1" applyFill="1" applyBorder="1" applyAlignment="1">
      <alignment horizontal="center" vertical="center" wrapText="1"/>
    </xf>
    <xf numFmtId="0" fontId="49" fillId="5" borderId="10" xfId="0" applyFont="1" applyFill="1" applyBorder="1" applyAlignment="1">
      <alignment horizontal="center" vertical="center" wrapText="1"/>
    </xf>
    <xf numFmtId="0" fontId="49" fillId="5" borderId="2" xfId="0" applyFont="1" applyFill="1" applyBorder="1" applyAlignment="1">
      <alignment horizontal="center" vertical="center" wrapText="1"/>
    </xf>
    <xf numFmtId="41" fontId="49" fillId="0" borderId="6" xfId="0" applyNumberFormat="1" applyFont="1" applyFill="1" applyBorder="1" applyAlignment="1" applyProtection="1">
      <alignment horizontal="center" vertical="center" wrapText="1"/>
      <protection locked="0"/>
    </xf>
    <xf numFmtId="41" fontId="49" fillId="0" borderId="1" xfId="0" applyNumberFormat="1" applyFont="1" applyFill="1" applyBorder="1" applyAlignment="1" applyProtection="1">
      <alignment horizontal="center" vertical="center" wrapText="1"/>
    </xf>
    <xf numFmtId="41" fontId="37" fillId="0" borderId="1" xfId="0" applyNumberFormat="1" applyFont="1" applyFill="1" applyBorder="1" applyAlignment="1" applyProtection="1">
      <alignment horizontal="center" vertical="center" wrapText="1"/>
    </xf>
    <xf numFmtId="0" fontId="75" fillId="0" borderId="5" xfId="0" applyFont="1" applyFill="1" applyBorder="1" applyAlignment="1">
      <alignment horizontal="center" vertical="center" wrapText="1"/>
    </xf>
    <xf numFmtId="0" fontId="75" fillId="0" borderId="9" xfId="0" applyFont="1" applyFill="1" applyBorder="1" applyAlignment="1">
      <alignment horizontal="center" vertical="center" wrapText="1"/>
    </xf>
    <xf numFmtId="0" fontId="75" fillId="0" borderId="6" xfId="0" applyFont="1" applyFill="1" applyBorder="1" applyAlignment="1">
      <alignment horizontal="center" vertical="center" wrapText="1"/>
    </xf>
    <xf numFmtId="0" fontId="58" fillId="0" borderId="5" xfId="0" applyFont="1" applyFill="1" applyBorder="1" applyAlignment="1" applyProtection="1">
      <alignment horizontal="center" vertical="center" wrapText="1"/>
    </xf>
    <xf numFmtId="0" fontId="58" fillId="0" borderId="9" xfId="0" applyFont="1" applyFill="1" applyBorder="1" applyAlignment="1" applyProtection="1">
      <alignment horizontal="center" vertical="center"/>
    </xf>
    <xf numFmtId="0" fontId="58" fillId="0" borderId="9" xfId="0" applyFont="1" applyFill="1" applyBorder="1" applyAlignment="1" applyProtection="1">
      <alignment horizontal="center" vertical="center" wrapText="1"/>
    </xf>
    <xf numFmtId="0" fontId="58" fillId="0" borderId="6" xfId="0" quotePrefix="1" applyFont="1" applyFill="1" applyBorder="1" applyAlignment="1" applyProtection="1">
      <alignment horizontal="center" vertical="center"/>
    </xf>
    <xf numFmtId="0" fontId="75" fillId="0" borderId="13" xfId="0" applyFont="1" applyFill="1" applyBorder="1" applyAlignment="1">
      <alignment horizontal="center" vertical="center" wrapText="1"/>
    </xf>
    <xf numFmtId="0" fontId="75" fillId="0" borderId="8" xfId="0" applyFont="1" applyFill="1" applyBorder="1" applyAlignment="1">
      <alignment horizontal="center" vertical="center" wrapText="1"/>
    </xf>
    <xf numFmtId="0" fontId="75" fillId="0" borderId="12" xfId="0" applyFont="1" applyFill="1" applyBorder="1" applyAlignment="1">
      <alignment horizontal="center" vertical="center" wrapText="1"/>
    </xf>
    <xf numFmtId="0" fontId="75" fillId="0" borderId="4" xfId="0" applyFont="1" applyFill="1" applyBorder="1" applyAlignment="1">
      <alignment horizontal="center" vertical="center" wrapText="1"/>
    </xf>
    <xf numFmtId="0" fontId="75" fillId="0" borderId="7" xfId="0" applyFont="1" applyFill="1" applyBorder="1" applyAlignment="1">
      <alignment horizontal="center" vertical="center" wrapText="1"/>
    </xf>
    <xf numFmtId="0" fontId="75" fillId="0" borderId="15" xfId="0" applyFont="1" applyFill="1" applyBorder="1" applyAlignment="1">
      <alignment horizontal="center" vertical="center" wrapText="1"/>
    </xf>
    <xf numFmtId="0" fontId="49" fillId="42" borderId="13" xfId="0" applyFont="1" applyFill="1" applyBorder="1" applyAlignment="1">
      <alignment horizontal="center" vertical="center" wrapText="1"/>
    </xf>
    <xf numFmtId="0" fontId="49" fillId="42" borderId="11" xfId="0" applyFont="1" applyFill="1" applyBorder="1" applyAlignment="1">
      <alignment horizontal="center" vertical="center" wrapText="1"/>
    </xf>
    <xf numFmtId="0" fontId="155" fillId="0" borderId="1" xfId="0" applyFont="1" applyFill="1" applyBorder="1" applyAlignment="1">
      <alignment horizontal="center" vertical="center"/>
    </xf>
    <xf numFmtId="0" fontId="148" fillId="0" borderId="3" xfId="0" applyFont="1" applyFill="1" applyBorder="1" applyAlignment="1" applyProtection="1">
      <alignment horizontal="center" vertical="center"/>
    </xf>
    <xf numFmtId="0" fontId="148" fillId="0" borderId="2" xfId="0" applyFont="1" applyFill="1" applyBorder="1" applyAlignment="1" applyProtection="1">
      <alignment horizontal="center" vertical="center"/>
    </xf>
    <xf numFmtId="0" fontId="148" fillId="0" borderId="8" xfId="0" applyFont="1" applyFill="1" applyBorder="1" applyAlignment="1" applyProtection="1">
      <alignment horizontal="center" vertical="center"/>
    </xf>
    <xf numFmtId="0" fontId="148" fillId="0" borderId="12" xfId="0" applyFont="1" applyFill="1" applyBorder="1" applyAlignment="1" applyProtection="1">
      <alignment horizontal="center" vertical="center"/>
    </xf>
    <xf numFmtId="0" fontId="148" fillId="0" borderId="7" xfId="0" applyFont="1" applyFill="1" applyBorder="1" applyAlignment="1" applyProtection="1">
      <alignment horizontal="center" vertical="center"/>
    </xf>
    <xf numFmtId="0" fontId="148" fillId="0" borderId="15" xfId="0" applyFont="1" applyFill="1" applyBorder="1" applyAlignment="1" applyProtection="1">
      <alignment horizontal="center" vertical="center"/>
    </xf>
    <xf numFmtId="20" fontId="145" fillId="5" borderId="5" xfId="0" quotePrefix="1" applyNumberFormat="1" applyFont="1" applyFill="1" applyBorder="1" applyAlignment="1">
      <alignment horizontal="center" vertical="center" wrapText="1"/>
    </xf>
    <xf numFmtId="20" fontId="145" fillId="5" borderId="9" xfId="0" quotePrefix="1" applyNumberFormat="1" applyFont="1" applyFill="1" applyBorder="1" applyAlignment="1">
      <alignment horizontal="center" vertical="center" wrapText="1"/>
    </xf>
    <xf numFmtId="179" fontId="146" fillId="5" borderId="9" xfId="0" applyNumberFormat="1" applyFont="1" applyFill="1" applyBorder="1" applyAlignment="1" applyProtection="1">
      <alignment horizontal="center" vertical="center"/>
      <protection locked="0"/>
    </xf>
    <xf numFmtId="179" fontId="146" fillId="5" borderId="6" xfId="0" applyNumberFormat="1" applyFont="1" applyFill="1" applyBorder="1" applyAlignment="1" applyProtection="1">
      <alignment horizontal="center" vertical="center"/>
      <protection locked="0"/>
    </xf>
    <xf numFmtId="0" fontId="52" fillId="0" borderId="3" xfId="0" applyFont="1" applyFill="1" applyBorder="1" applyAlignment="1" applyProtection="1">
      <alignment horizontal="center" vertical="center"/>
    </xf>
    <xf numFmtId="0" fontId="52" fillId="0" borderId="10" xfId="0" applyFont="1" applyFill="1" applyBorder="1" applyAlignment="1" applyProtection="1">
      <alignment horizontal="center" vertical="center"/>
    </xf>
    <xf numFmtId="0" fontId="52" fillId="0" borderId="2" xfId="0" applyFont="1" applyFill="1" applyBorder="1" applyAlignment="1" applyProtection="1">
      <alignment horizontal="center" vertical="center"/>
    </xf>
    <xf numFmtId="0" fontId="52" fillId="0" borderId="12" xfId="0" applyFont="1" applyFill="1" applyBorder="1" applyAlignment="1" applyProtection="1">
      <alignment horizontal="center" vertical="center" wrapText="1"/>
    </xf>
    <xf numFmtId="0" fontId="52" fillId="0" borderId="11"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52" fillId="0" borderId="16" xfId="0" applyFont="1" applyFill="1" applyBorder="1" applyAlignment="1" applyProtection="1">
      <alignment horizontal="center" vertical="center" wrapText="1"/>
    </xf>
    <xf numFmtId="0" fontId="52" fillId="0" borderId="15" xfId="0" applyFont="1" applyFill="1" applyBorder="1" applyAlignment="1" applyProtection="1">
      <alignment horizontal="center" vertical="center" wrapText="1"/>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52" fillId="0" borderId="2" xfId="0"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10" xfId="0" applyNumberFormat="1" applyFont="1" applyFill="1" applyBorder="1" applyAlignment="1" applyProtection="1">
      <alignment horizontal="center" vertical="center" wrapText="1"/>
    </xf>
    <xf numFmtId="0" fontId="52" fillId="0" borderId="2" xfId="0" applyNumberFormat="1" applyFont="1" applyFill="1" applyBorder="1" applyAlignment="1" applyProtection="1">
      <alignment horizontal="center" vertical="center" wrapText="1"/>
    </xf>
    <xf numFmtId="0" fontId="145" fillId="0" borderId="1" xfId="0" applyFont="1" applyFill="1" applyBorder="1" applyAlignment="1" applyProtection="1">
      <alignment horizontal="center" vertical="center"/>
    </xf>
    <xf numFmtId="0" fontId="145" fillId="0" borderId="1" xfId="0" quotePrefix="1" applyFont="1" applyFill="1" applyBorder="1" applyAlignment="1" applyProtection="1">
      <alignment horizontal="center" vertical="center"/>
    </xf>
    <xf numFmtId="177" fontId="49" fillId="0" borderId="5" xfId="0" applyNumberFormat="1" applyFont="1" applyFill="1" applyBorder="1" applyAlignment="1" applyProtection="1">
      <alignment horizontal="center" vertical="center" wrapText="1"/>
      <protection locked="0"/>
    </xf>
    <xf numFmtId="177" fontId="49" fillId="0" borderId="6" xfId="0" applyNumberFormat="1" applyFont="1" applyFill="1" applyBorder="1" applyAlignment="1" applyProtection="1">
      <alignment horizontal="center" vertical="center" wrapText="1"/>
      <protection locked="0"/>
    </xf>
    <xf numFmtId="177" fontId="49" fillId="0" borderId="9" xfId="0" applyNumberFormat="1" applyFont="1" applyFill="1" applyBorder="1" applyAlignment="1" applyProtection="1">
      <alignment horizontal="center" vertical="center" wrapText="1"/>
      <protection locked="0"/>
    </xf>
    <xf numFmtId="177" fontId="154" fillId="40" borderId="5" xfId="0" applyNumberFormat="1" applyFont="1" applyFill="1" applyBorder="1" applyAlignment="1">
      <alignment horizontal="center" vertical="center"/>
    </xf>
    <xf numFmtId="177" fontId="154" fillId="40" borderId="9" xfId="0" applyNumberFormat="1" applyFont="1" applyFill="1" applyBorder="1" applyAlignment="1">
      <alignment horizontal="center" vertical="center"/>
    </xf>
    <xf numFmtId="177" fontId="154" fillId="40" borderId="6" xfId="0" applyNumberFormat="1" applyFont="1" applyFill="1" applyBorder="1" applyAlignment="1">
      <alignment horizontal="center" vertical="center"/>
    </xf>
    <xf numFmtId="177" fontId="49" fillId="0" borderId="1" xfId="0" applyNumberFormat="1" applyFont="1" applyFill="1" applyBorder="1" applyAlignment="1" applyProtection="1">
      <alignment horizontal="center" vertical="center" wrapText="1"/>
      <protection locked="0"/>
    </xf>
    <xf numFmtId="0" fontId="155" fillId="0" borderId="6" xfId="0" applyFont="1" applyFill="1" applyBorder="1" applyAlignment="1">
      <alignment horizontal="center" vertical="center"/>
    </xf>
    <xf numFmtId="0" fontId="142" fillId="0" borderId="0" xfId="0" applyFont="1" applyFill="1" applyBorder="1" applyAlignment="1">
      <alignment horizontal="center" vertical="center" wrapText="1"/>
    </xf>
    <xf numFmtId="20" fontId="145" fillId="5" borderId="5" xfId="0" quotePrefix="1" applyNumberFormat="1" applyFont="1" applyFill="1" applyBorder="1" applyAlignment="1">
      <alignment horizontal="right" vertical="center" wrapText="1"/>
    </xf>
    <xf numFmtId="20" fontId="145" fillId="5" borderId="9" xfId="0" quotePrefix="1" applyNumberFormat="1" applyFont="1" applyFill="1" applyBorder="1" applyAlignment="1">
      <alignment horizontal="right" vertical="center" wrapText="1"/>
    </xf>
    <xf numFmtId="0" fontId="51" fillId="0" borderId="3" xfId="0" applyFont="1" applyFill="1" applyBorder="1" applyAlignment="1">
      <alignment horizontal="center" vertical="center"/>
    </xf>
    <xf numFmtId="0" fontId="51" fillId="0" borderId="2" xfId="0" applyFont="1" applyFill="1" applyBorder="1" applyAlignment="1">
      <alignment horizontal="center" vertical="center"/>
    </xf>
    <xf numFmtId="0" fontId="51" fillId="0" borderId="4" xfId="0" applyFont="1" applyFill="1" applyBorder="1" applyAlignment="1">
      <alignment horizontal="center" vertical="center" wrapText="1"/>
    </xf>
    <xf numFmtId="0" fontId="24" fillId="0" borderId="3" xfId="0" applyFont="1" applyFill="1" applyBorder="1" applyAlignment="1" applyProtection="1">
      <alignment horizontal="center" vertical="center"/>
    </xf>
    <xf numFmtId="0" fontId="24" fillId="0" borderId="2"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4" xfId="0" applyFont="1" applyFill="1" applyBorder="1" applyAlignment="1" applyProtection="1">
      <alignment horizontal="center" vertical="center" wrapText="1"/>
    </xf>
    <xf numFmtId="14" fontId="51" fillId="5" borderId="5" xfId="0" applyNumberFormat="1" applyFont="1" applyFill="1" applyBorder="1" applyAlignment="1">
      <alignment horizontal="left" vertical="center" wrapText="1"/>
    </xf>
    <xf numFmtId="14" fontId="51" fillId="5" borderId="6" xfId="0" applyNumberFormat="1" applyFont="1" applyFill="1" applyBorder="1" applyAlignment="1">
      <alignment horizontal="left" vertical="center" wrapText="1"/>
    </xf>
    <xf numFmtId="0" fontId="51" fillId="0" borderId="3" xfId="0" applyFont="1" applyFill="1" applyBorder="1" applyAlignment="1" applyProtection="1">
      <alignment horizontal="center" vertical="center"/>
    </xf>
    <xf numFmtId="0" fontId="51" fillId="0" borderId="10" xfId="0"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10" xfId="0" applyFont="1" applyFill="1" applyBorder="1" applyAlignment="1" applyProtection="1">
      <alignment horizontal="center" vertical="center" wrapText="1"/>
    </xf>
    <xf numFmtId="0" fontId="23" fillId="0" borderId="13" xfId="0" applyFont="1" applyFill="1" applyBorder="1" applyAlignment="1">
      <alignment horizontal="center" vertical="center" wrapText="1"/>
    </xf>
    <xf numFmtId="0" fontId="23" fillId="0" borderId="4" xfId="0" applyFont="1" applyFill="1" applyBorder="1" applyAlignment="1">
      <alignment horizontal="center" vertical="center" wrapText="1"/>
    </xf>
    <xf numFmtId="0" fontId="24" fillId="6" borderId="3" xfId="0" applyFont="1" applyFill="1" applyBorder="1" applyAlignment="1" applyProtection="1">
      <alignment horizontal="center" vertical="center"/>
    </xf>
    <xf numFmtId="0" fontId="24" fillId="6" borderId="2" xfId="0" applyFont="1" applyFill="1" applyBorder="1" applyAlignment="1" applyProtection="1">
      <alignment horizontal="center" vertical="center"/>
    </xf>
    <xf numFmtId="0" fontId="23" fillId="6" borderId="5" xfId="0" applyFont="1" applyFill="1" applyBorder="1" applyAlignment="1" applyProtection="1">
      <alignment horizontal="center" vertical="center" wrapText="1"/>
    </xf>
    <xf numFmtId="0" fontId="23" fillId="6" borderId="5" xfId="0" applyFont="1" applyFill="1" applyBorder="1" applyAlignment="1" applyProtection="1">
      <alignment horizontal="center" vertical="center"/>
    </xf>
    <xf numFmtId="0" fontId="23" fillId="0" borderId="11" xfId="0" applyFont="1" applyFill="1" applyBorder="1" applyAlignment="1">
      <alignment horizontal="center" vertical="center" wrapText="1"/>
    </xf>
    <xf numFmtId="0" fontId="23" fillId="6" borderId="1" xfId="0" applyFont="1" applyFill="1" applyBorder="1" applyAlignment="1" applyProtection="1">
      <alignment horizontal="center" vertical="center" wrapText="1"/>
    </xf>
    <xf numFmtId="0" fontId="70" fillId="6" borderId="0" xfId="0" applyFont="1" applyFill="1" applyAlignment="1">
      <alignment horizontal="center" vertical="center"/>
    </xf>
    <xf numFmtId="178" fontId="67" fillId="12" borderId="0" xfId="6" applyNumberFormat="1" applyFont="1" applyFill="1" applyAlignment="1">
      <alignment horizontal="center"/>
    </xf>
    <xf numFmtId="178" fontId="67" fillId="5" borderId="0" xfId="6" applyNumberFormat="1" applyFont="1" applyFill="1" applyAlignment="1">
      <alignment horizontal="center"/>
    </xf>
    <xf numFmtId="178" fontId="23" fillId="5" borderId="0" xfId="6" applyNumberFormat="1" applyFont="1" applyFill="1" applyAlignment="1">
      <alignment horizontal="center"/>
    </xf>
    <xf numFmtId="178" fontId="67" fillId="13" borderId="0" xfId="6" applyNumberFormat="1" applyFont="1" applyFill="1" applyAlignment="1">
      <alignment horizontal="center"/>
    </xf>
    <xf numFmtId="178" fontId="23" fillId="13" borderId="0" xfId="6" applyNumberFormat="1" applyFont="1" applyFill="1" applyAlignment="1">
      <alignment horizontal="center"/>
    </xf>
    <xf numFmtId="0" fontId="51" fillId="0" borderId="1" xfId="4" applyFont="1" applyBorder="1" applyAlignment="1">
      <alignment horizontal="center"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7039">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9" defaultPivotStyle="PivotStyleLight16"/>
  <colors>
    <mruColors>
      <color rgb="FF0000FF"/>
      <color rgb="FFCCFF66"/>
      <color rgb="FFFFFF99"/>
      <color rgb="FFFFFF66"/>
      <color rgb="FFCCFF33"/>
      <color rgb="FF99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6.xml"/><Relationship Id="rId61"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8" Type="http://schemas.openxmlformats.org/officeDocument/2006/relationships/hyperlink" Target="#MENU!A1"/><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hyperlink" Target="#MENU!A1"/></Relationships>
</file>

<file path=xl/drawings/_rels/drawing23.xml.rels><?xml version="1.0" encoding="UTF-8" standalone="yes"?>
<Relationships xmlns="http://schemas.openxmlformats.org/package/2006/relationships"><Relationship Id="rId1" Type="http://schemas.openxmlformats.org/officeDocument/2006/relationships/hyperlink" Target="#MENU!A1"/></Relationships>
</file>

<file path=xl/drawings/_rels/drawing2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4"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32.xml.rels><?xml version="1.0" encoding="UTF-8" standalone="yes"?>
<Relationships xmlns="http://schemas.openxmlformats.org/package/2006/relationships"><Relationship Id="rId1" Type="http://schemas.openxmlformats.org/officeDocument/2006/relationships/hyperlink" Target="#MENU!A1"/></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hyperlink" Target="#MENU!A1"/></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14</xdr:col>
      <xdr:colOff>246529</xdr:colOff>
      <xdr:row>23</xdr:row>
      <xdr:rowOff>347381</xdr:rowOff>
    </xdr:from>
    <xdr:to>
      <xdr:col>16</xdr:col>
      <xdr:colOff>78441</xdr:colOff>
      <xdr:row>29</xdr:row>
      <xdr:rowOff>302559</xdr:rowOff>
    </xdr:to>
    <xdr:sp macro="" textlink="">
      <xdr:nvSpPr>
        <xdr:cNvPr id="4" name="Left Arrow 3">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12483353" y="4571999"/>
          <a:ext cx="1199029" cy="30256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7</xdr:col>
      <xdr:colOff>268941</xdr:colOff>
      <xdr:row>0</xdr:row>
      <xdr:rowOff>56030</xdr:rowOff>
    </xdr:from>
    <xdr:to>
      <xdr:col>9</xdr:col>
      <xdr:colOff>461704</xdr:colOff>
      <xdr:row>0</xdr:row>
      <xdr:rowOff>417364</xdr:rowOff>
    </xdr:to>
    <xdr:sp macro="" textlink="">
      <xdr:nvSpPr>
        <xdr:cNvPr id="5" name="Left Arrow 4">
          <a:hlinkClick xmlns:r="http://schemas.openxmlformats.org/officeDocument/2006/relationships" r:id="rId2"/>
          <a:extLst>
            <a:ext uri="{FF2B5EF4-FFF2-40B4-BE49-F238E27FC236}">
              <a16:creationId xmlns="" xmlns:a16="http://schemas.microsoft.com/office/drawing/2014/main" id="{00000000-0008-0000-0100-000002000000}"/>
            </a:ext>
          </a:extLst>
        </xdr:cNvPr>
        <xdr:cNvSpPr/>
      </xdr:nvSpPr>
      <xdr:spPr>
        <a:xfrm>
          <a:off x="7720853" y="56030"/>
          <a:ext cx="1559880" cy="3613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609601</xdr:colOff>
      <xdr:row>4</xdr:row>
      <xdr:rowOff>104775</xdr:rowOff>
    </xdr:from>
    <xdr:to>
      <xdr:col>11</xdr:col>
      <xdr:colOff>561976</xdr:colOff>
      <xdr:row>4</xdr:row>
      <xdr:rowOff>106363</xdr:rowOff>
    </xdr:to>
    <xdr:cxnSp macro="">
      <xdr:nvCxnSpPr>
        <xdr:cNvPr id="8" name="Straight Arrow Connector 7">
          <a:extLst>
            <a:ext uri="{FF2B5EF4-FFF2-40B4-BE49-F238E27FC236}">
              <a16:creationId xmlns="" xmlns:a16="http://schemas.microsoft.com/office/drawing/2014/main"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609601</xdr:colOff>
      <xdr:row>7</xdr:row>
      <xdr:rowOff>104775</xdr:rowOff>
    </xdr:from>
    <xdr:to>
      <xdr:col>11</xdr:col>
      <xdr:colOff>561976</xdr:colOff>
      <xdr:row>7</xdr:row>
      <xdr:rowOff>106363</xdr:rowOff>
    </xdr:to>
    <xdr:cxnSp macro="">
      <xdr:nvCxnSpPr>
        <xdr:cNvPr id="14" name="Straight Arrow Connector 13">
          <a:extLst>
            <a:ext uri="{FF2B5EF4-FFF2-40B4-BE49-F238E27FC236}">
              <a16:creationId xmlns="" xmlns:a16="http://schemas.microsoft.com/office/drawing/2014/main"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609601</xdr:colOff>
      <xdr:row>10</xdr:row>
      <xdr:rowOff>104775</xdr:rowOff>
    </xdr:from>
    <xdr:to>
      <xdr:col>11</xdr:col>
      <xdr:colOff>561976</xdr:colOff>
      <xdr:row>10</xdr:row>
      <xdr:rowOff>106363</xdr:rowOff>
    </xdr:to>
    <xdr:cxnSp macro="">
      <xdr:nvCxnSpPr>
        <xdr:cNvPr id="16" name="Straight Arrow Connector 15">
          <a:extLst>
            <a:ext uri="{FF2B5EF4-FFF2-40B4-BE49-F238E27FC236}">
              <a16:creationId xmlns="" xmlns:a16="http://schemas.microsoft.com/office/drawing/2014/main"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638175</xdr:colOff>
      <xdr:row>3</xdr:row>
      <xdr:rowOff>104775</xdr:rowOff>
    </xdr:from>
    <xdr:to>
      <xdr:col>11</xdr:col>
      <xdr:colOff>638175</xdr:colOff>
      <xdr:row>3</xdr:row>
      <xdr:rowOff>106363</xdr:rowOff>
    </xdr:to>
    <xdr:cxnSp macro="">
      <xdr:nvCxnSpPr>
        <xdr:cNvPr id="24" name="Straight Arrow Connector 23">
          <a:extLst>
            <a:ext uri="{FF2B5EF4-FFF2-40B4-BE49-F238E27FC236}">
              <a16:creationId xmlns="" xmlns:a16="http://schemas.microsoft.com/office/drawing/2014/main"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619125</xdr:colOff>
      <xdr:row>6</xdr:row>
      <xdr:rowOff>85725</xdr:rowOff>
    </xdr:from>
    <xdr:to>
      <xdr:col>11</xdr:col>
      <xdr:colOff>600075</xdr:colOff>
      <xdr:row>6</xdr:row>
      <xdr:rowOff>87313</xdr:rowOff>
    </xdr:to>
    <xdr:cxnSp macro="">
      <xdr:nvCxnSpPr>
        <xdr:cNvPr id="26" name="Straight Arrow Connector 25">
          <a:extLst>
            <a:ext uri="{FF2B5EF4-FFF2-40B4-BE49-F238E27FC236}">
              <a16:creationId xmlns="" xmlns:a16="http://schemas.microsoft.com/office/drawing/2014/main"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657225</xdr:colOff>
      <xdr:row>9</xdr:row>
      <xdr:rowOff>95250</xdr:rowOff>
    </xdr:from>
    <xdr:to>
      <xdr:col>11</xdr:col>
      <xdr:colOff>600075</xdr:colOff>
      <xdr:row>9</xdr:row>
      <xdr:rowOff>96838</xdr:rowOff>
    </xdr:to>
    <xdr:cxnSp macro="">
      <xdr:nvCxnSpPr>
        <xdr:cNvPr id="28" name="Straight Arrow Connector 27">
          <a:extLst>
            <a:ext uri="{FF2B5EF4-FFF2-40B4-BE49-F238E27FC236}">
              <a16:creationId xmlns="" xmlns:a16="http://schemas.microsoft.com/office/drawing/2014/main"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247650</xdr:colOff>
      <xdr:row>11</xdr:row>
      <xdr:rowOff>19050</xdr:rowOff>
    </xdr:from>
    <xdr:to>
      <xdr:col>12</xdr:col>
      <xdr:colOff>352425</xdr:colOff>
      <xdr:row>14</xdr:row>
      <xdr:rowOff>214032</xdr:rowOff>
    </xdr:to>
    <xdr:pic>
      <xdr:nvPicPr>
        <xdr:cNvPr id="19729" name="Picture 81">
          <a:extLst>
            <a:ext uri="{FF2B5EF4-FFF2-40B4-BE49-F238E27FC236}">
              <a16:creationId xmlns="" xmlns:a16="http://schemas.microsoft.com/office/drawing/2014/main"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14</xdr:col>
      <xdr:colOff>28576</xdr:colOff>
      <xdr:row>8</xdr:row>
      <xdr:rowOff>152400</xdr:rowOff>
    </xdr:from>
    <xdr:to>
      <xdr:col>16</xdr:col>
      <xdr:colOff>428626</xdr:colOff>
      <xdr:row>11</xdr:row>
      <xdr:rowOff>152400</xdr:rowOff>
    </xdr:to>
    <xdr:sp macro="" textlink="">
      <xdr:nvSpPr>
        <xdr:cNvPr id="9" name="Left Arrow 8">
          <a:hlinkClick xmlns:r="http://schemas.openxmlformats.org/officeDocument/2006/relationships" r:id="rId2"/>
          <a:extLst>
            <a:ext uri="{FF2B5EF4-FFF2-40B4-BE49-F238E27FC236}">
              <a16:creationId xmlns="" xmlns:a16="http://schemas.microsoft.com/office/drawing/2014/main" id="{00000000-0008-0000-0300-000009000000}"/>
            </a:ext>
          </a:extLst>
        </xdr:cNvPr>
        <xdr:cNvSpPr/>
      </xdr:nvSpPr>
      <xdr:spPr>
        <a:xfrm>
          <a:off x="8582026" y="166687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11</xdr:col>
      <xdr:colOff>400050</xdr:colOff>
      <xdr:row>38</xdr:row>
      <xdr:rowOff>152400</xdr:rowOff>
    </xdr:from>
    <xdr:to>
      <xdr:col>14</xdr:col>
      <xdr:colOff>361950</xdr:colOff>
      <xdr:row>41</xdr:row>
      <xdr:rowOff>152400</xdr:rowOff>
    </xdr:to>
    <xdr:sp macro="" textlink="">
      <xdr:nvSpPr>
        <xdr:cNvPr id="10" name="Left Arrow 9">
          <a:hlinkClick xmlns:r="http://schemas.openxmlformats.org/officeDocument/2006/relationships" r:id="rId3"/>
          <a:extLst>
            <a:ext uri="{FF2B5EF4-FFF2-40B4-BE49-F238E27FC236}">
              <a16:creationId xmlns="" xmlns:a16="http://schemas.microsoft.com/office/drawing/2014/main" id="{00000000-0008-0000-0300-000009000000}"/>
            </a:ext>
          </a:extLst>
        </xdr:cNvPr>
        <xdr:cNvSpPr/>
      </xdr:nvSpPr>
      <xdr:spPr>
        <a:xfrm>
          <a:off x="7143750" y="7886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50</xdr:row>
      <xdr:rowOff>0</xdr:rowOff>
    </xdr:from>
    <xdr:to>
      <xdr:col>2</xdr:col>
      <xdr:colOff>755650</xdr:colOff>
      <xdr:row>50</xdr:row>
      <xdr:rowOff>600075</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0400-000003000000}"/>
            </a:ext>
          </a:extLst>
        </xdr:cNvPr>
        <xdr:cNvSpPr/>
      </xdr:nvSpPr>
      <xdr:spPr>
        <a:xfrm>
          <a:off x="0" y="244951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49</xdr:col>
      <xdr:colOff>207816</xdr:colOff>
      <xdr:row>19</xdr:row>
      <xdr:rowOff>259772</xdr:rowOff>
    </xdr:from>
    <xdr:to>
      <xdr:col>51</xdr:col>
      <xdr:colOff>527326</xdr:colOff>
      <xdr:row>20</xdr:row>
      <xdr:rowOff>64942</xdr:rowOff>
    </xdr:to>
    <xdr:sp macro="" textlink="">
      <xdr:nvSpPr>
        <xdr:cNvPr id="5" name="Left Arrow 4">
          <a:hlinkClick xmlns:r="http://schemas.openxmlformats.org/officeDocument/2006/relationships" r:id="rId2"/>
          <a:extLst>
            <a:ext uri="{FF2B5EF4-FFF2-40B4-BE49-F238E27FC236}">
              <a16:creationId xmlns="" xmlns:a16="http://schemas.microsoft.com/office/drawing/2014/main" id="{00000000-0008-0000-0400-000002000000}"/>
            </a:ext>
          </a:extLst>
        </xdr:cNvPr>
        <xdr:cNvSpPr/>
      </xdr:nvSpPr>
      <xdr:spPr>
        <a:xfrm>
          <a:off x="19656134" y="9576954"/>
          <a:ext cx="1704965" cy="49789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49</xdr:col>
      <xdr:colOff>415632</xdr:colOff>
      <xdr:row>50</xdr:row>
      <xdr:rowOff>155852</xdr:rowOff>
    </xdr:from>
    <xdr:to>
      <xdr:col>52</xdr:col>
      <xdr:colOff>138545</xdr:colOff>
      <xdr:row>50</xdr:row>
      <xdr:rowOff>619113</xdr:rowOff>
    </xdr:to>
    <xdr:sp macro="" textlink="">
      <xdr:nvSpPr>
        <xdr:cNvPr id="6" name="Left Arrow 5">
          <a:hlinkClick xmlns:r="http://schemas.openxmlformats.org/officeDocument/2006/relationships" r:id="rId3"/>
          <a:extLst>
            <a:ext uri="{FF2B5EF4-FFF2-40B4-BE49-F238E27FC236}">
              <a16:creationId xmlns="" xmlns:a16="http://schemas.microsoft.com/office/drawing/2014/main" id="{00000000-0008-0000-0400-000002000000}"/>
            </a:ext>
          </a:extLst>
        </xdr:cNvPr>
        <xdr:cNvSpPr/>
      </xdr:nvSpPr>
      <xdr:spPr>
        <a:xfrm>
          <a:off x="19863950" y="24643761"/>
          <a:ext cx="1801095" cy="46326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49</xdr:col>
      <xdr:colOff>259770</xdr:colOff>
      <xdr:row>88</xdr:row>
      <xdr:rowOff>173176</xdr:rowOff>
    </xdr:from>
    <xdr:to>
      <xdr:col>51</xdr:col>
      <xdr:colOff>94374</xdr:colOff>
      <xdr:row>89</xdr:row>
      <xdr:rowOff>17319</xdr:rowOff>
    </xdr:to>
    <xdr:sp macro="" textlink="">
      <xdr:nvSpPr>
        <xdr:cNvPr id="7" name="Left Arrow 6">
          <a:hlinkClick xmlns:r="http://schemas.openxmlformats.org/officeDocument/2006/relationships" r:id="rId4"/>
          <a:extLst>
            <a:ext uri="{FF2B5EF4-FFF2-40B4-BE49-F238E27FC236}">
              <a16:creationId xmlns="" xmlns:a16="http://schemas.microsoft.com/office/drawing/2014/main" id="{00000000-0008-0000-0400-000002000000}"/>
            </a:ext>
          </a:extLst>
        </xdr:cNvPr>
        <xdr:cNvSpPr/>
      </xdr:nvSpPr>
      <xdr:spPr>
        <a:xfrm>
          <a:off x="19708088" y="42048540"/>
          <a:ext cx="1220059" cy="53687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49</xdr:col>
      <xdr:colOff>692720</xdr:colOff>
      <xdr:row>61</xdr:row>
      <xdr:rowOff>502226</xdr:rowOff>
    </xdr:from>
    <xdr:to>
      <xdr:col>51</xdr:col>
      <xdr:colOff>527324</xdr:colOff>
      <xdr:row>62</xdr:row>
      <xdr:rowOff>346363</xdr:rowOff>
    </xdr:to>
    <xdr:sp macro="" textlink="">
      <xdr:nvSpPr>
        <xdr:cNvPr id="8" name="Left Arrow 7">
          <a:hlinkClick xmlns:r="http://schemas.openxmlformats.org/officeDocument/2006/relationships" r:id="rId5"/>
          <a:extLst>
            <a:ext uri="{FF2B5EF4-FFF2-40B4-BE49-F238E27FC236}">
              <a16:creationId xmlns="" xmlns:a16="http://schemas.microsoft.com/office/drawing/2014/main" id="{00000000-0008-0000-0400-000002000000}"/>
            </a:ext>
          </a:extLst>
        </xdr:cNvPr>
        <xdr:cNvSpPr/>
      </xdr:nvSpPr>
      <xdr:spPr>
        <a:xfrm>
          <a:off x="20141038" y="30809044"/>
          <a:ext cx="1220059" cy="34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277101</xdr:colOff>
      <xdr:row>109</xdr:row>
      <xdr:rowOff>250225</xdr:rowOff>
    </xdr:from>
    <xdr:to>
      <xdr:col>40</xdr:col>
      <xdr:colOff>242479</xdr:colOff>
      <xdr:row>110</xdr:row>
      <xdr:rowOff>134194</xdr:rowOff>
    </xdr:to>
    <xdr:sp macro="" textlink="">
      <xdr:nvSpPr>
        <xdr:cNvPr id="9" name="Left Arrow 8">
          <a:hlinkClick xmlns:r="http://schemas.openxmlformats.org/officeDocument/2006/relationships" r:id="rId6"/>
          <a:extLst>
            <a:ext uri="{FF2B5EF4-FFF2-40B4-BE49-F238E27FC236}">
              <a16:creationId xmlns="" xmlns:a16="http://schemas.microsoft.com/office/drawing/2014/main" id="{00000000-0008-0000-0400-000002000000}"/>
            </a:ext>
          </a:extLst>
        </xdr:cNvPr>
        <xdr:cNvSpPr/>
      </xdr:nvSpPr>
      <xdr:spPr>
        <a:xfrm>
          <a:off x="15205374" y="51563998"/>
          <a:ext cx="1870378" cy="3688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49</xdr:col>
      <xdr:colOff>450268</xdr:colOff>
      <xdr:row>30</xdr:row>
      <xdr:rowOff>0</xdr:rowOff>
    </xdr:from>
    <xdr:to>
      <xdr:col>51</xdr:col>
      <xdr:colOff>631235</xdr:colOff>
      <xdr:row>30</xdr:row>
      <xdr:rowOff>467591</xdr:rowOff>
    </xdr:to>
    <xdr:sp macro="" textlink="">
      <xdr:nvSpPr>
        <xdr:cNvPr id="10" name="Left Arrow 9">
          <a:hlinkClick xmlns:r="http://schemas.openxmlformats.org/officeDocument/2006/relationships" r:id="rId7"/>
          <a:extLst>
            <a:ext uri="{FF2B5EF4-FFF2-40B4-BE49-F238E27FC236}">
              <a16:creationId xmlns="" xmlns:a16="http://schemas.microsoft.com/office/drawing/2014/main" id="{00000000-0008-0000-0400-000002000000}"/>
            </a:ext>
          </a:extLst>
        </xdr:cNvPr>
        <xdr:cNvSpPr/>
      </xdr:nvSpPr>
      <xdr:spPr>
        <a:xfrm>
          <a:off x="19898586" y="14859000"/>
          <a:ext cx="1566422" cy="46759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2</xdr:row>
      <xdr:rowOff>0</xdr:rowOff>
    </xdr:from>
    <xdr:to>
      <xdr:col>50</xdr:col>
      <xdr:colOff>69273</xdr:colOff>
      <xdr:row>2</xdr:row>
      <xdr:rowOff>467591</xdr:rowOff>
    </xdr:to>
    <xdr:sp macro="" textlink="">
      <xdr:nvSpPr>
        <xdr:cNvPr id="11" name="Left Arrow 10">
          <a:hlinkClick xmlns:r="http://schemas.openxmlformats.org/officeDocument/2006/relationships" r:id="rId8"/>
          <a:extLst>
            <a:ext uri="{FF2B5EF4-FFF2-40B4-BE49-F238E27FC236}">
              <a16:creationId xmlns="" xmlns:a16="http://schemas.microsoft.com/office/drawing/2014/main" id="{00000000-0008-0000-0400-000002000000}"/>
            </a:ext>
          </a:extLst>
        </xdr:cNvPr>
        <xdr:cNvSpPr/>
      </xdr:nvSpPr>
      <xdr:spPr>
        <a:xfrm>
          <a:off x="18755591" y="1350818"/>
          <a:ext cx="1454727" cy="46759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186170</xdr:colOff>
      <xdr:row>0</xdr:row>
      <xdr:rowOff>247650</xdr:rowOff>
    </xdr:to>
    <xdr:pic>
      <xdr:nvPicPr>
        <xdr:cNvPr id="2" name="Picture 1" descr="clip_image002.jpg">
          <a:extLst>
            <a:ext uri="{FF2B5EF4-FFF2-40B4-BE49-F238E27FC236}">
              <a16:creationId xmlns="" xmlns:a16="http://schemas.microsoft.com/office/drawing/2014/main"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editAs="oneCell">
    <xdr:from>
      <xdr:col>0</xdr:col>
      <xdr:colOff>238125</xdr:colOff>
      <xdr:row>38</xdr:row>
      <xdr:rowOff>186418</xdr:rowOff>
    </xdr:from>
    <xdr:to>
      <xdr:col>1</xdr:col>
      <xdr:colOff>352177</xdr:colOff>
      <xdr:row>38</xdr:row>
      <xdr:rowOff>430892</xdr:rowOff>
    </xdr:to>
    <xdr:pic>
      <xdr:nvPicPr>
        <xdr:cNvPr id="3" name="Picture 1" descr="clip_image002.jpg">
          <a:extLst>
            <a:ext uri="{FF2B5EF4-FFF2-40B4-BE49-F238E27FC236}">
              <a16:creationId xmlns="" xmlns:a16="http://schemas.microsoft.com/office/drawing/2014/main"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238125" y="22260606"/>
          <a:ext cx="356507" cy="244474"/>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42</xdr:row>
      <xdr:rowOff>0</xdr:rowOff>
    </xdr:from>
    <xdr:to>
      <xdr:col>35</xdr:col>
      <xdr:colOff>410935</xdr:colOff>
      <xdr:row>43</xdr:row>
      <xdr:rowOff>205468</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61</xdr:row>
      <xdr:rowOff>0</xdr:rowOff>
    </xdr:from>
    <xdr:to>
      <xdr:col>36</xdr:col>
      <xdr:colOff>692726</xdr:colOff>
      <xdr:row>62</xdr:row>
      <xdr:rowOff>24864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73</xdr:row>
      <xdr:rowOff>0</xdr:rowOff>
    </xdr:from>
    <xdr:to>
      <xdr:col>36</xdr:col>
      <xdr:colOff>692726</xdr:colOff>
      <xdr:row>74</xdr:row>
      <xdr:rowOff>24864</xdr:rowOff>
    </xdr:to>
    <xdr:sp macro="" textlink="">
      <xdr:nvSpPr>
        <xdr:cNvPr id="8" name="Left Arrow 7">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36</xdr:row>
      <xdr:rowOff>0</xdr:rowOff>
    </xdr:from>
    <xdr:to>
      <xdr:col>6</xdr:col>
      <xdr:colOff>177635</xdr:colOff>
      <xdr:row>36</xdr:row>
      <xdr:rowOff>0</xdr:rowOff>
    </xdr:to>
    <xdr:pic>
      <xdr:nvPicPr>
        <xdr:cNvPr id="2" name="Picture 5" descr="clip_image002.jpg">
          <a:extLst>
            <a:ext uri="{FF2B5EF4-FFF2-40B4-BE49-F238E27FC236}">
              <a16:creationId xmlns="" xmlns:a16="http://schemas.microsoft.com/office/drawing/2014/main"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176027</xdr:colOff>
      <xdr:row>0</xdr:row>
      <xdr:rowOff>66675</xdr:rowOff>
    </xdr:to>
    <xdr:pic>
      <xdr:nvPicPr>
        <xdr:cNvPr id="3" name="Picture 1" descr="clip_image002.jpg">
          <a:extLst>
            <a:ext uri="{FF2B5EF4-FFF2-40B4-BE49-F238E27FC236}">
              <a16:creationId xmlns="" xmlns:a16="http://schemas.microsoft.com/office/drawing/2014/main"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237259</xdr:colOff>
      <xdr:row>0</xdr:row>
      <xdr:rowOff>323850</xdr:rowOff>
    </xdr:to>
    <xdr:pic>
      <xdr:nvPicPr>
        <xdr:cNvPr id="4" name="Picture 1" descr="clip_image002.jpg">
          <a:extLst>
            <a:ext uri="{FF2B5EF4-FFF2-40B4-BE49-F238E27FC236}">
              <a16:creationId xmlns="" xmlns:a16="http://schemas.microsoft.com/office/drawing/2014/main"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36</xdr:row>
      <xdr:rowOff>66675</xdr:rowOff>
    </xdr:from>
    <xdr:to>
      <xdr:col>5</xdr:col>
      <xdr:colOff>176027</xdr:colOff>
      <xdr:row>36</xdr:row>
      <xdr:rowOff>66675</xdr:rowOff>
    </xdr:to>
    <xdr:pic>
      <xdr:nvPicPr>
        <xdr:cNvPr id="5" name="Picture 1" descr="clip_image002.jpg">
          <a:extLst>
            <a:ext uri="{FF2B5EF4-FFF2-40B4-BE49-F238E27FC236}">
              <a16:creationId xmlns="" xmlns:a16="http://schemas.microsoft.com/office/drawing/2014/main"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6" name="Picture 1" descr="clip_image002.jpg">
          <a:extLst>
            <a:ext uri="{FF2B5EF4-FFF2-40B4-BE49-F238E27FC236}">
              <a16:creationId xmlns="" xmlns:a16="http://schemas.microsoft.com/office/drawing/2014/main"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89808</xdr:colOff>
      <xdr:row>36</xdr:row>
      <xdr:rowOff>112939</xdr:rowOff>
    </xdr:from>
    <xdr:to>
      <xdr:col>1</xdr:col>
      <xdr:colOff>260392</xdr:colOff>
      <xdr:row>36</xdr:row>
      <xdr:rowOff>345622</xdr:rowOff>
    </xdr:to>
    <xdr:pic>
      <xdr:nvPicPr>
        <xdr:cNvPr id="7" name="Picture 1" descr="clip_image002.jpg">
          <a:extLst>
            <a:ext uri="{FF2B5EF4-FFF2-40B4-BE49-F238E27FC236}">
              <a16:creationId xmlns="" xmlns:a16="http://schemas.microsoft.com/office/drawing/2014/main" id="{00000000-0008-0000-0600-000007000000}"/>
            </a:ext>
          </a:extLst>
        </xdr:cNvPr>
        <xdr:cNvPicPr>
          <a:picLocks noChangeAspect="1"/>
        </xdr:cNvPicPr>
      </xdr:nvPicPr>
      <xdr:blipFill>
        <a:blip xmlns:r="http://schemas.openxmlformats.org/officeDocument/2006/relationships" r:embed="rId1"/>
        <a:srcRect/>
        <a:stretch>
          <a:fillRect/>
        </a:stretch>
      </xdr:blipFill>
      <xdr:spPr bwMode="auto">
        <a:xfrm>
          <a:off x="89808" y="15352939"/>
          <a:ext cx="381000" cy="232683"/>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8" name="Picture 1" descr="clip_image002.jpg">
          <a:extLst>
            <a:ext uri="{FF2B5EF4-FFF2-40B4-BE49-F238E27FC236}">
              <a16:creationId xmlns="" xmlns:a16="http://schemas.microsoft.com/office/drawing/2014/main"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9" name="Picture 1" descr="clip_image002.jpg">
          <a:extLst>
            <a:ext uri="{FF2B5EF4-FFF2-40B4-BE49-F238E27FC236}">
              <a16:creationId xmlns="" xmlns:a16="http://schemas.microsoft.com/office/drawing/2014/main"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10" name="Picture 1" descr="clip_image002.jpg">
          <a:extLst>
            <a:ext uri="{FF2B5EF4-FFF2-40B4-BE49-F238E27FC236}">
              <a16:creationId xmlns="" xmlns:a16="http://schemas.microsoft.com/office/drawing/2014/main"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36</xdr:row>
      <xdr:rowOff>66675</xdr:rowOff>
    </xdr:from>
    <xdr:to>
      <xdr:col>5</xdr:col>
      <xdr:colOff>176027</xdr:colOff>
      <xdr:row>36</xdr:row>
      <xdr:rowOff>66675</xdr:rowOff>
    </xdr:to>
    <xdr:pic>
      <xdr:nvPicPr>
        <xdr:cNvPr id="11" name="Picture 1" descr="clip_image002.jpg">
          <a:extLst>
            <a:ext uri="{FF2B5EF4-FFF2-40B4-BE49-F238E27FC236}">
              <a16:creationId xmlns="" xmlns:a16="http://schemas.microsoft.com/office/drawing/2014/main"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66675</xdr:colOff>
      <xdr:row>36</xdr:row>
      <xdr:rowOff>85725</xdr:rowOff>
    </xdr:from>
    <xdr:to>
      <xdr:col>1</xdr:col>
      <xdr:colOff>237259</xdr:colOff>
      <xdr:row>36</xdr:row>
      <xdr:rowOff>323850</xdr:rowOff>
    </xdr:to>
    <xdr:pic>
      <xdr:nvPicPr>
        <xdr:cNvPr id="12" name="Picture 1" descr="clip_image002.jpg">
          <a:extLst>
            <a:ext uri="{FF2B5EF4-FFF2-40B4-BE49-F238E27FC236}">
              <a16:creationId xmlns="" xmlns:a16="http://schemas.microsoft.com/office/drawing/2014/main"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66675" y="15325725"/>
          <a:ext cx="381000" cy="23812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 xmlns:a16="http://schemas.microsoft.com/office/drawing/2014/main"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39</xdr:row>
      <xdr:rowOff>0</xdr:rowOff>
    </xdr:from>
    <xdr:to>
      <xdr:col>35</xdr:col>
      <xdr:colOff>571499</xdr:colOff>
      <xdr:row>40</xdr:row>
      <xdr:rowOff>69396</xdr:rowOff>
    </xdr:to>
    <xdr:sp macro="" textlink="">
      <xdr:nvSpPr>
        <xdr:cNvPr id="14" name="Left Arrow 13">
          <a:hlinkClick xmlns:r="http://schemas.openxmlformats.org/officeDocument/2006/relationships" r:id="rId3"/>
          <a:extLst>
            <a:ext uri="{FF2B5EF4-FFF2-40B4-BE49-F238E27FC236}">
              <a16:creationId xmlns="" xmlns:a16="http://schemas.microsoft.com/office/drawing/2014/main"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53</xdr:row>
      <xdr:rowOff>0</xdr:rowOff>
    </xdr:from>
    <xdr:to>
      <xdr:col>37</xdr:col>
      <xdr:colOff>-1</xdr:colOff>
      <xdr:row>53</xdr:row>
      <xdr:rowOff>596364</xdr:rowOff>
    </xdr:to>
    <xdr:sp macro="" textlink="">
      <xdr:nvSpPr>
        <xdr:cNvPr id="15" name="Left Arrow 14">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38</xdr:row>
      <xdr:rowOff>76200</xdr:rowOff>
    </xdr:from>
    <xdr:to>
      <xdr:col>1</xdr:col>
      <xdr:colOff>57150</xdr:colOff>
      <xdr:row>38</xdr:row>
      <xdr:rowOff>314325</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19250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700-000004000000}"/>
            </a:ext>
          </a:extLst>
        </xdr:cNvPr>
        <xdr:cNvSpPr/>
      </xdr:nvSpPr>
      <xdr:spPr>
        <a:xfrm>
          <a:off x="15291955" y="5442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22</xdr:row>
      <xdr:rowOff>0</xdr:rowOff>
    </xdr:from>
    <xdr:to>
      <xdr:col>36</xdr:col>
      <xdr:colOff>692726</xdr:colOff>
      <xdr:row>22</xdr:row>
      <xdr:rowOff>596364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700-000004000000}"/>
            </a:ext>
          </a:extLst>
        </xdr:cNvPr>
        <xdr:cNvSpPr/>
      </xdr:nvSpPr>
      <xdr:spPr>
        <a:xfrm>
          <a:off x="15569045" y="1290204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44</xdr:row>
      <xdr:rowOff>0</xdr:rowOff>
    </xdr:from>
    <xdr:to>
      <xdr:col>36</xdr:col>
      <xdr:colOff>692726</xdr:colOff>
      <xdr:row>44</xdr:row>
      <xdr:rowOff>596364</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5569045" y="2462645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61</xdr:row>
      <xdr:rowOff>0</xdr:rowOff>
    </xdr:from>
    <xdr:to>
      <xdr:col>36</xdr:col>
      <xdr:colOff>692726</xdr:colOff>
      <xdr:row>61</xdr:row>
      <xdr:rowOff>596364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5569045" y="352251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72</xdr:row>
      <xdr:rowOff>0</xdr:rowOff>
    </xdr:from>
    <xdr:to>
      <xdr:col>36</xdr:col>
      <xdr:colOff>692726</xdr:colOff>
      <xdr:row>72</xdr:row>
      <xdr:rowOff>596364</xdr:rowOff>
    </xdr:to>
    <xdr:sp macro="" textlink="">
      <xdr:nvSpPr>
        <xdr:cNvPr id="8" name="Left Arrow 7">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5569045" y="40836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 xmlns:a16="http://schemas.microsoft.com/office/drawing/2014/main" id="{00000000-0008-0000-0700-000004000000}"/>
            </a:ext>
          </a:extLst>
        </xdr:cNvPr>
        <xdr:cNvSpPr/>
      </xdr:nvSpPr>
      <xdr:spPr>
        <a:xfrm>
          <a:off x="15569045" y="68406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 xmlns:a16="http://schemas.microsoft.com/office/drawing/2014/main" id="{00000000-0008-0000-08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36</xdr:row>
      <xdr:rowOff>76200</xdr:rowOff>
    </xdr:from>
    <xdr:to>
      <xdr:col>1</xdr:col>
      <xdr:colOff>57150</xdr:colOff>
      <xdr:row>36</xdr:row>
      <xdr:rowOff>314325</xdr:rowOff>
    </xdr:to>
    <xdr:pic>
      <xdr:nvPicPr>
        <xdr:cNvPr id="3" name="Picture 1" descr="clip_image002.jpg">
          <a:extLst>
            <a:ext uri="{FF2B5EF4-FFF2-40B4-BE49-F238E27FC236}">
              <a16:creationId xmlns="" xmlns:a16="http://schemas.microsoft.com/office/drawing/2014/main" id="{00000000-0008-0000-08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030575"/>
          <a:ext cx="381000" cy="238125"/>
        </a:xfrm>
        <a:prstGeom prst="rect">
          <a:avLst/>
        </a:prstGeom>
        <a:noFill/>
        <a:ln w="9525">
          <a:noFill/>
          <a:miter lim="800000"/>
          <a:headEnd/>
          <a:tailEnd/>
        </a:ln>
      </xdr:spPr>
    </xdr:pic>
    <xdr:clientData/>
  </xdr:twoCellAnchor>
  <xdr:twoCellAnchor>
    <xdr:from>
      <xdr:col>17</xdr:col>
      <xdr:colOff>353786</xdr:colOff>
      <xdr:row>0</xdr:row>
      <xdr:rowOff>54428</xdr:rowOff>
    </xdr:from>
    <xdr:to>
      <xdr:col>20</xdr:col>
      <xdr:colOff>84365</xdr:colOff>
      <xdr:row>1</xdr:row>
      <xdr:rowOff>287110</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459936" y="54428"/>
          <a:ext cx="178797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41</xdr:row>
      <xdr:rowOff>0</xdr:rowOff>
    </xdr:from>
    <xdr:to>
      <xdr:col>19</xdr:col>
      <xdr:colOff>410936</xdr:colOff>
      <xdr:row>42</xdr:row>
      <xdr:rowOff>232682</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800-000005000000}"/>
            </a:ext>
          </a:extLst>
        </xdr:cNvPr>
        <xdr:cNvSpPr/>
      </xdr:nvSpPr>
      <xdr:spPr>
        <a:xfrm>
          <a:off x="11106150" y="18030825"/>
          <a:ext cx="1782536" cy="60415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156482</xdr:colOff>
      <xdr:row>0</xdr:row>
      <xdr:rowOff>247650</xdr:rowOff>
    </xdr:to>
    <xdr:pic>
      <xdr:nvPicPr>
        <xdr:cNvPr id="2" name="Picture 1" descr="clip_image002.jpg">
          <a:extLst>
            <a:ext uri="{FF2B5EF4-FFF2-40B4-BE49-F238E27FC236}">
              <a16:creationId xmlns=""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 xmlns:a16="http://schemas.microsoft.com/office/drawing/2014/main"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 xmlns:a16="http://schemas.microsoft.com/office/drawing/2014/main"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 xmlns:a16="http://schemas.microsoft.com/office/drawing/2014/main"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 xmlns:a16="http://schemas.microsoft.com/office/drawing/2014/main"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 xmlns:a16="http://schemas.microsoft.com/office/drawing/2014/main"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 xmlns:a16="http://schemas.microsoft.com/office/drawing/2014/main"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296223</xdr:colOff>
      <xdr:row>0</xdr:row>
      <xdr:rowOff>66675</xdr:rowOff>
    </xdr:to>
    <xdr:pic>
      <xdr:nvPicPr>
        <xdr:cNvPr id="18"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212271</xdr:colOff>
      <xdr:row>38</xdr:row>
      <xdr:rowOff>0</xdr:rowOff>
    </xdr:to>
    <xdr:pic>
      <xdr:nvPicPr>
        <xdr:cNvPr id="2" name="Picture 5" descr="clip_image002.jpg">
          <a:extLst>
            <a:ext uri="{FF2B5EF4-FFF2-40B4-BE49-F238E27FC236}">
              <a16:creationId xmlns=""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382815</xdr:colOff>
      <xdr:row>0</xdr:row>
      <xdr:rowOff>66675</xdr:rowOff>
    </xdr:to>
    <xdr:pic>
      <xdr:nvPicPr>
        <xdr:cNvPr id="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382815</xdr:colOff>
      <xdr:row>38</xdr:row>
      <xdr:rowOff>66675</xdr:rowOff>
    </xdr:to>
    <xdr:pic>
      <xdr:nvPicPr>
        <xdr:cNvPr id="5" name="Picture 1" descr="clip_image002.jpg">
          <a:extLst>
            <a:ext uri="{FF2B5EF4-FFF2-40B4-BE49-F238E27FC236}">
              <a16:creationId xmlns="" xmlns:a16="http://schemas.microsoft.com/office/drawing/2014/main"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382815</xdr:colOff>
      <xdr:row>75</xdr:row>
      <xdr:rowOff>0</xdr:rowOff>
    </xdr:to>
    <xdr:pic>
      <xdr:nvPicPr>
        <xdr:cNvPr id="6" name="Picture 1" descr="clip_image002.jpg">
          <a:extLst>
            <a:ext uri="{FF2B5EF4-FFF2-40B4-BE49-F238E27FC236}">
              <a16:creationId xmlns="" xmlns:a16="http://schemas.microsoft.com/office/drawing/2014/main"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382815</xdr:colOff>
      <xdr:row>75</xdr:row>
      <xdr:rowOff>0</xdr:rowOff>
    </xdr:to>
    <xdr:pic>
      <xdr:nvPicPr>
        <xdr:cNvPr id="8" name="Picture 1" descr="clip_image002.jpg">
          <a:extLst>
            <a:ext uri="{FF2B5EF4-FFF2-40B4-BE49-F238E27FC236}">
              <a16:creationId xmlns="" xmlns:a16="http://schemas.microsoft.com/office/drawing/2014/main"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382815</xdr:colOff>
      <xdr:row>75</xdr:row>
      <xdr:rowOff>0</xdr:rowOff>
    </xdr:to>
    <xdr:pic>
      <xdr:nvPicPr>
        <xdr:cNvPr id="9" name="Picture 1" descr="clip_image002.jpg">
          <a:extLst>
            <a:ext uri="{FF2B5EF4-FFF2-40B4-BE49-F238E27FC236}">
              <a16:creationId xmlns="" xmlns:a16="http://schemas.microsoft.com/office/drawing/2014/main"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382815</xdr:colOff>
      <xdr:row>75</xdr:row>
      <xdr:rowOff>0</xdr:rowOff>
    </xdr:to>
    <xdr:pic>
      <xdr:nvPicPr>
        <xdr:cNvPr id="10" name="Picture 1" descr="clip_image002.jpg">
          <a:extLst>
            <a:ext uri="{FF2B5EF4-FFF2-40B4-BE49-F238E27FC236}">
              <a16:creationId xmlns="" xmlns:a16="http://schemas.microsoft.com/office/drawing/2014/main"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382815</xdr:colOff>
      <xdr:row>38</xdr:row>
      <xdr:rowOff>66675</xdr:rowOff>
    </xdr:to>
    <xdr:pic>
      <xdr:nvPicPr>
        <xdr:cNvPr id="11" name="Picture 1" descr="clip_image002.jpg">
          <a:extLst>
            <a:ext uri="{FF2B5EF4-FFF2-40B4-BE49-F238E27FC236}">
              <a16:creationId xmlns="" xmlns:a16="http://schemas.microsoft.com/office/drawing/2014/main"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26</xdr:col>
      <xdr:colOff>382815</xdr:colOff>
      <xdr:row>0</xdr:row>
      <xdr:rowOff>66675</xdr:rowOff>
    </xdr:to>
    <xdr:pic>
      <xdr:nvPicPr>
        <xdr:cNvPr id="1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8125"/>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69273</xdr:colOff>
      <xdr:row>25</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23</xdr:col>
      <xdr:colOff>883227</xdr:colOff>
      <xdr:row>25</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18</xdr:col>
      <xdr:colOff>353786</xdr:colOff>
      <xdr:row>0</xdr:row>
      <xdr:rowOff>54428</xdr:rowOff>
    </xdr:from>
    <xdr:to>
      <xdr:col>21</xdr:col>
      <xdr:colOff>84365</xdr:colOff>
      <xdr:row>1</xdr:row>
      <xdr:rowOff>287110</xdr:rowOff>
    </xdr:to>
    <xdr:sp macro="" textlink="">
      <xdr:nvSpPr>
        <xdr:cNvPr id="4" name="Left Arrow 3">
          <a:hlinkClick xmlns:r="http://schemas.openxmlformats.org/officeDocument/2006/relationships" r:id="rId1"/>
          <a:extLst>
            <a:ext uri="{FF2B5EF4-FFF2-40B4-BE49-F238E27FC236}">
              <a16:creationId xmlns="" xmlns:a16="http://schemas.microsoft.com/office/drawing/2014/main" id="{00000000-0008-0000-0D00-000004000000}"/>
            </a:ext>
          </a:extLst>
        </xdr:cNvPr>
        <xdr:cNvSpPr/>
      </xdr:nvSpPr>
      <xdr:spPr>
        <a:xfrm>
          <a:off x="10859861" y="54428"/>
          <a:ext cx="178797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18</xdr:col>
      <xdr:colOff>122463</xdr:colOff>
      <xdr:row>0</xdr:row>
      <xdr:rowOff>0</xdr:rowOff>
    </xdr:from>
    <xdr:to>
      <xdr:col>20</xdr:col>
      <xdr:colOff>118382</xdr:colOff>
      <xdr:row>1</xdr:row>
      <xdr:rowOff>230414</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11511642" y="0"/>
          <a:ext cx="1778454" cy="59780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 xmlns:a16="http://schemas.microsoft.com/office/drawing/2014/main" id="{00000000-0008-0000-0D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34</xdr:row>
      <xdr:rowOff>76200</xdr:rowOff>
    </xdr:from>
    <xdr:to>
      <xdr:col>1</xdr:col>
      <xdr:colOff>57150</xdr:colOff>
      <xdr:row>34</xdr:row>
      <xdr:rowOff>314325</xdr:rowOff>
    </xdr:to>
    <xdr:pic>
      <xdr:nvPicPr>
        <xdr:cNvPr id="3" name="Picture 1" descr="clip_image002.jpg">
          <a:extLst>
            <a:ext uri="{FF2B5EF4-FFF2-40B4-BE49-F238E27FC236}">
              <a16:creationId xmlns="" xmlns:a16="http://schemas.microsoft.com/office/drawing/2014/main" id="{00000000-0008-0000-0D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5382875"/>
          <a:ext cx="381000" cy="238125"/>
        </a:xfrm>
        <a:prstGeom prst="rect">
          <a:avLst/>
        </a:prstGeom>
        <a:noFill/>
        <a:ln w="9525">
          <a:noFill/>
          <a:miter lim="800000"/>
          <a:headEnd/>
          <a:tailEnd/>
        </a:ln>
      </xdr:spPr>
    </xdr:pic>
    <xdr:clientData/>
  </xdr:twoCellAnchor>
  <xdr:twoCellAnchor>
    <xdr:from>
      <xdr:col>17</xdr:col>
      <xdr:colOff>353786</xdr:colOff>
      <xdr:row>0</xdr:row>
      <xdr:rowOff>54428</xdr:rowOff>
    </xdr:from>
    <xdr:to>
      <xdr:col>20</xdr:col>
      <xdr:colOff>84365</xdr:colOff>
      <xdr:row>1</xdr:row>
      <xdr:rowOff>287110</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D00-000004000000}"/>
            </a:ext>
          </a:extLst>
        </xdr:cNvPr>
        <xdr:cNvSpPr/>
      </xdr:nvSpPr>
      <xdr:spPr>
        <a:xfrm>
          <a:off x="10259786" y="54428"/>
          <a:ext cx="178797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39</xdr:row>
      <xdr:rowOff>0</xdr:rowOff>
    </xdr:from>
    <xdr:to>
      <xdr:col>19</xdr:col>
      <xdr:colOff>410936</xdr:colOff>
      <xdr:row>40</xdr:row>
      <xdr:rowOff>232682</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D00-000005000000}"/>
            </a:ext>
          </a:extLst>
        </xdr:cNvPr>
        <xdr:cNvSpPr/>
      </xdr:nvSpPr>
      <xdr:spPr>
        <a:xfrm>
          <a:off x="9906000" y="17383125"/>
          <a:ext cx="1782536" cy="60415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44</xdr:col>
      <xdr:colOff>138546</xdr:colOff>
      <xdr:row>1</xdr:row>
      <xdr:rowOff>363681</xdr:rowOff>
    </xdr:from>
    <xdr:to>
      <xdr:col>45</xdr:col>
      <xdr:colOff>905742</xdr:colOff>
      <xdr:row>2</xdr:row>
      <xdr:rowOff>288347</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F00-000002000000}"/>
            </a:ext>
          </a:extLst>
        </xdr:cNvPr>
        <xdr:cNvSpPr/>
      </xdr:nvSpPr>
      <xdr:spPr>
        <a:xfrm>
          <a:off x="18513137" y="103909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34636</xdr:colOff>
      <xdr:row>88</xdr:row>
      <xdr:rowOff>588817</xdr:rowOff>
    </xdr:from>
    <xdr:to>
      <xdr:col>45</xdr:col>
      <xdr:colOff>801832</xdr:colOff>
      <xdr:row>89</xdr:row>
      <xdr:rowOff>496165</xdr:rowOff>
    </xdr:to>
    <xdr:sp macro="" textlink="">
      <xdr:nvSpPr>
        <xdr:cNvPr id="7" name="Left Arrow 6">
          <a:hlinkClick xmlns:r="http://schemas.openxmlformats.org/officeDocument/2006/relationships" r:id="rId2"/>
          <a:extLst>
            <a:ext uri="{FF2B5EF4-FFF2-40B4-BE49-F238E27FC236}">
              <a16:creationId xmlns="" xmlns:a16="http://schemas.microsoft.com/office/drawing/2014/main" id="{00000000-0008-0000-0F00-000007000000}"/>
            </a:ext>
          </a:extLst>
        </xdr:cNvPr>
        <xdr:cNvSpPr/>
      </xdr:nvSpPr>
      <xdr:spPr>
        <a:xfrm>
          <a:off x="18409227" y="421697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311727</xdr:colOff>
      <xdr:row>29</xdr:row>
      <xdr:rowOff>0</xdr:rowOff>
    </xdr:from>
    <xdr:to>
      <xdr:col>45</xdr:col>
      <xdr:colOff>1078923</xdr:colOff>
      <xdr:row>29</xdr:row>
      <xdr:rowOff>600075</xdr:rowOff>
    </xdr:to>
    <xdr:sp macro="" textlink="">
      <xdr:nvSpPr>
        <xdr:cNvPr id="8" name="Left Arrow 7">
          <a:hlinkClick xmlns:r="http://schemas.openxmlformats.org/officeDocument/2006/relationships" r:id="rId3"/>
          <a:extLst>
            <a:ext uri="{FF2B5EF4-FFF2-40B4-BE49-F238E27FC236}">
              <a16:creationId xmlns="" xmlns:a16="http://schemas.microsoft.com/office/drawing/2014/main" id="{00000000-0008-0000-0F00-000008000000}"/>
            </a:ext>
          </a:extLst>
        </xdr:cNvPr>
        <xdr:cNvSpPr/>
      </xdr:nvSpPr>
      <xdr:spPr>
        <a:xfrm>
          <a:off x="18686318" y="138718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43</xdr:col>
      <xdr:colOff>259773</xdr:colOff>
      <xdr:row>61</xdr:row>
      <xdr:rowOff>415637</xdr:rowOff>
    </xdr:from>
    <xdr:to>
      <xdr:col>45</xdr:col>
      <xdr:colOff>645968</xdr:colOff>
      <xdr:row>62</xdr:row>
      <xdr:rowOff>461530</xdr:rowOff>
    </xdr:to>
    <xdr:sp macro="" textlink="">
      <xdr:nvSpPr>
        <xdr:cNvPr id="9" name="Left Arrow 8">
          <a:hlinkClick xmlns:r="http://schemas.openxmlformats.org/officeDocument/2006/relationships" r:id="rId4"/>
          <a:extLst>
            <a:ext uri="{FF2B5EF4-FFF2-40B4-BE49-F238E27FC236}">
              <a16:creationId xmlns:a16="http://schemas.microsoft.com/office/drawing/2014/main" xmlns="" id="{00000000-0008-0000-0C00-000004000000}"/>
            </a:ext>
          </a:extLst>
        </xdr:cNvPr>
        <xdr:cNvSpPr/>
      </xdr:nvSpPr>
      <xdr:spPr>
        <a:xfrm>
          <a:off x="18461182" y="29891182"/>
          <a:ext cx="1771650" cy="5654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46</xdr:col>
      <xdr:colOff>34638</xdr:colOff>
      <xdr:row>19</xdr:row>
      <xdr:rowOff>536862</xdr:rowOff>
    </xdr:from>
    <xdr:to>
      <xdr:col>46</xdr:col>
      <xdr:colOff>1021774</xdr:colOff>
      <xdr:row>21</xdr:row>
      <xdr:rowOff>398317</xdr:rowOff>
    </xdr:to>
    <xdr:cxnSp macro="">
      <xdr:nvCxnSpPr>
        <xdr:cNvPr id="13" name="Straight Arrow Connector 12"/>
        <xdr:cNvCxnSpPr/>
      </xdr:nvCxnSpPr>
      <xdr:spPr>
        <a:xfrm rot="5400000">
          <a:off x="20980978" y="9689522"/>
          <a:ext cx="1246909"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3</xdr:colOff>
      <xdr:row>26</xdr:row>
      <xdr:rowOff>34637</xdr:rowOff>
    </xdr:from>
    <xdr:to>
      <xdr:col>46</xdr:col>
      <xdr:colOff>831277</xdr:colOff>
      <xdr:row>29</xdr:row>
      <xdr:rowOff>190500</xdr:rowOff>
    </xdr:to>
    <xdr:cxnSp macro="">
      <xdr:nvCxnSpPr>
        <xdr:cNvPr id="16" name="Straight Arrow Connector 15"/>
        <xdr:cNvCxnSpPr/>
      </xdr:nvCxnSpPr>
      <xdr:spPr>
        <a:xfrm rot="16200000" flipV="1">
          <a:off x="20764503" y="12919364"/>
          <a:ext cx="1454727" cy="83127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86592</xdr:colOff>
      <xdr:row>20</xdr:row>
      <xdr:rowOff>519544</xdr:rowOff>
    </xdr:from>
    <xdr:to>
      <xdr:col>47</xdr:col>
      <xdr:colOff>329046</xdr:colOff>
      <xdr:row>22</xdr:row>
      <xdr:rowOff>415635</xdr:rowOff>
    </xdr:to>
    <xdr:cxnSp macro="">
      <xdr:nvCxnSpPr>
        <xdr:cNvPr id="21" name="Straight Arrow Connector 20"/>
        <xdr:cNvCxnSpPr/>
      </xdr:nvCxnSpPr>
      <xdr:spPr>
        <a:xfrm rot="10800000" flipV="1">
          <a:off x="21162819" y="10235044"/>
          <a:ext cx="1627909" cy="102177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34640</xdr:colOff>
      <xdr:row>25</xdr:row>
      <xdr:rowOff>17321</xdr:rowOff>
    </xdr:from>
    <xdr:to>
      <xdr:col>47</xdr:col>
      <xdr:colOff>294410</xdr:colOff>
      <xdr:row>27</xdr:row>
      <xdr:rowOff>103909</xdr:rowOff>
    </xdr:to>
    <xdr:cxnSp macro="">
      <xdr:nvCxnSpPr>
        <xdr:cNvPr id="24" name="Straight Arrow Connector 23"/>
        <xdr:cNvCxnSpPr/>
      </xdr:nvCxnSpPr>
      <xdr:spPr>
        <a:xfrm rot="10800000">
          <a:off x="21110867" y="12157366"/>
          <a:ext cx="1645225" cy="95249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329046</xdr:colOff>
      <xdr:row>23</xdr:row>
      <xdr:rowOff>51955</xdr:rowOff>
    </xdr:from>
    <xdr:to>
      <xdr:col>46</xdr:col>
      <xdr:colOff>450273</xdr:colOff>
      <xdr:row>24</xdr:row>
      <xdr:rowOff>415636</xdr:rowOff>
    </xdr:to>
    <xdr:sp macro="" textlink="">
      <xdr:nvSpPr>
        <xdr:cNvPr id="26" name="Right Brace 25"/>
        <xdr:cNvSpPr/>
      </xdr:nvSpPr>
      <xdr:spPr>
        <a:xfrm>
          <a:off x="21405273" y="11326091"/>
          <a:ext cx="121227" cy="79663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0</xdr:colOff>
      <xdr:row>220</xdr:row>
      <xdr:rowOff>0</xdr:rowOff>
    </xdr:from>
    <xdr:to>
      <xdr:col>11</xdr:col>
      <xdr:colOff>552450</xdr:colOff>
      <xdr:row>222</xdr:row>
      <xdr:rowOff>47625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12</xdr:col>
      <xdr:colOff>571500</xdr:colOff>
      <xdr:row>12</xdr:row>
      <xdr:rowOff>122465</xdr:rowOff>
    </xdr:from>
    <xdr:to>
      <xdr:col>15</xdr:col>
      <xdr:colOff>234043</xdr:colOff>
      <xdr:row>13</xdr:row>
      <xdr:rowOff>355147</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500-000002000000}"/>
            </a:ext>
          </a:extLst>
        </xdr:cNvPr>
        <xdr:cNvSpPr/>
      </xdr:nvSpPr>
      <xdr:spPr>
        <a:xfrm>
          <a:off x="11987893"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44</xdr:col>
      <xdr:colOff>0</xdr:colOff>
      <xdr:row>30</xdr:row>
      <xdr:rowOff>0</xdr:rowOff>
    </xdr:from>
    <xdr:to>
      <xdr:col>46</xdr:col>
      <xdr:colOff>386195</xdr:colOff>
      <xdr:row>31</xdr:row>
      <xdr:rowOff>219075</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1700-000003000000}"/>
            </a:ext>
          </a:extLst>
        </xdr:cNvPr>
        <xdr:cNvSpPr/>
      </xdr:nvSpPr>
      <xdr:spPr>
        <a:xfrm>
          <a:off x="18288000" y="1364672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0</xdr:row>
      <xdr:rowOff>0</xdr:rowOff>
    </xdr:from>
    <xdr:to>
      <xdr:col>46</xdr:col>
      <xdr:colOff>386195</xdr:colOff>
      <xdr:row>0</xdr:row>
      <xdr:rowOff>600075</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1700-000004000000}"/>
            </a:ext>
          </a:extLst>
        </xdr:cNvPr>
        <xdr:cNvSpPr/>
      </xdr:nvSpPr>
      <xdr:spPr>
        <a:xfrm>
          <a:off x="18288000"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28</xdr:col>
      <xdr:colOff>519545</xdr:colOff>
      <xdr:row>53</xdr:row>
      <xdr:rowOff>277091</xdr:rowOff>
    </xdr:from>
    <xdr:to>
      <xdr:col>34</xdr:col>
      <xdr:colOff>386195</xdr:colOff>
      <xdr:row>55</xdr:row>
      <xdr:rowOff>340303</xdr:rowOff>
    </xdr:to>
    <xdr:sp macro="" textlink="">
      <xdr:nvSpPr>
        <xdr:cNvPr id="6" name="Left Arrow 5">
          <a:hlinkClick xmlns:r="http://schemas.openxmlformats.org/officeDocument/2006/relationships" r:id="rId3"/>
          <a:extLst>
            <a:ext uri="{FF2B5EF4-FFF2-40B4-BE49-F238E27FC236}">
              <a16:creationId xmlns="" xmlns:a16="http://schemas.microsoft.com/office/drawing/2014/main" id="{00000000-0008-0000-1700-000006000000}"/>
            </a:ext>
          </a:extLst>
        </xdr:cNvPr>
        <xdr:cNvSpPr/>
      </xdr:nvSpPr>
      <xdr:spPr>
        <a:xfrm>
          <a:off x="13889181" y="23379546"/>
          <a:ext cx="1771650" cy="8252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81</xdr:row>
      <xdr:rowOff>0</xdr:rowOff>
    </xdr:from>
    <xdr:to>
      <xdr:col>46</xdr:col>
      <xdr:colOff>386195</xdr:colOff>
      <xdr:row>82</xdr:row>
      <xdr:rowOff>80530</xdr:rowOff>
    </xdr:to>
    <xdr:sp macro="" textlink="">
      <xdr:nvSpPr>
        <xdr:cNvPr id="7" name="Left Arrow 6">
          <a:hlinkClick xmlns:r="http://schemas.openxmlformats.org/officeDocument/2006/relationships" r:id="rId4"/>
          <a:extLst>
            <a:ext uri="{FF2B5EF4-FFF2-40B4-BE49-F238E27FC236}">
              <a16:creationId xmlns="" xmlns:a16="http://schemas.microsoft.com/office/drawing/2014/main"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85</xdr:row>
      <xdr:rowOff>0</xdr:rowOff>
    </xdr:from>
    <xdr:to>
      <xdr:col>27</xdr:col>
      <xdr:colOff>247650</xdr:colOff>
      <xdr:row>86</xdr:row>
      <xdr:rowOff>305666</xdr:rowOff>
    </xdr:to>
    <xdr:sp macro="" textlink="">
      <xdr:nvSpPr>
        <xdr:cNvPr id="10" name="Left Arrow 9">
          <a:hlinkClick xmlns:r="http://schemas.openxmlformats.org/officeDocument/2006/relationships" r:id="rId5"/>
          <a:extLst>
            <a:ext uri="{FF2B5EF4-FFF2-40B4-BE49-F238E27FC236}">
              <a16:creationId xmlns="" xmlns:a16="http://schemas.microsoft.com/office/drawing/2014/main" id="{00000000-0008-0000-1700-000006000000}"/>
            </a:ext>
          </a:extLst>
        </xdr:cNvPr>
        <xdr:cNvSpPr/>
      </xdr:nvSpPr>
      <xdr:spPr>
        <a:xfrm>
          <a:off x="11533909" y="36316227"/>
          <a:ext cx="1771650" cy="8252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107</xdr:row>
      <xdr:rowOff>0</xdr:rowOff>
    </xdr:from>
    <xdr:to>
      <xdr:col>27</xdr:col>
      <xdr:colOff>247650</xdr:colOff>
      <xdr:row>108</xdr:row>
      <xdr:rowOff>340303</xdr:rowOff>
    </xdr:to>
    <xdr:sp macro="" textlink="">
      <xdr:nvSpPr>
        <xdr:cNvPr id="11" name="Left Arrow 10">
          <a:hlinkClick xmlns:r="http://schemas.openxmlformats.org/officeDocument/2006/relationships" r:id="rId6"/>
          <a:extLst>
            <a:ext uri="{FF2B5EF4-FFF2-40B4-BE49-F238E27FC236}">
              <a16:creationId xmlns="" xmlns:a16="http://schemas.microsoft.com/office/drawing/2014/main" id="{00000000-0008-0000-1700-000006000000}"/>
            </a:ext>
          </a:extLst>
        </xdr:cNvPr>
        <xdr:cNvSpPr/>
      </xdr:nvSpPr>
      <xdr:spPr>
        <a:xfrm>
          <a:off x="11533909" y="46551273"/>
          <a:ext cx="1771650" cy="8252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68</xdr:row>
      <xdr:rowOff>0</xdr:rowOff>
    </xdr:from>
    <xdr:to>
      <xdr:col>27</xdr:col>
      <xdr:colOff>247650</xdr:colOff>
      <xdr:row>69</xdr:row>
      <xdr:rowOff>167120</xdr:rowOff>
    </xdr:to>
    <xdr:sp macro="" textlink="">
      <xdr:nvSpPr>
        <xdr:cNvPr id="12" name="Left Arrow 11">
          <a:hlinkClick xmlns:r="http://schemas.openxmlformats.org/officeDocument/2006/relationships" r:id="rId7"/>
          <a:extLst>
            <a:ext uri="{FF2B5EF4-FFF2-40B4-BE49-F238E27FC236}">
              <a16:creationId xmlns="" xmlns:a16="http://schemas.microsoft.com/office/drawing/2014/main"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18</xdr:col>
      <xdr:colOff>0</xdr:colOff>
      <xdr:row>7</xdr:row>
      <xdr:rowOff>0</xdr:rowOff>
    </xdr:from>
    <xdr:to>
      <xdr:col>20</xdr:col>
      <xdr:colOff>410935</xdr:colOff>
      <xdr:row>8</xdr:row>
      <xdr:rowOff>240104</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500-000005000000}"/>
            </a:ext>
          </a:extLst>
        </xdr:cNvPr>
        <xdr:cNvSpPr/>
      </xdr:nvSpPr>
      <xdr:spPr>
        <a:xfrm>
          <a:off x="11759045" y="3532909"/>
          <a:ext cx="1796390" cy="77696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 xmlns:a16="http://schemas.microsoft.com/office/drawing/2014/main"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 xmlns:a16="http://schemas.microsoft.com/office/drawing/2014/main"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 xmlns:a16="http://schemas.microsoft.com/office/drawing/2014/main"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 xmlns:a16="http://schemas.microsoft.com/office/drawing/2014/main"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 xmlns:a16="http://schemas.microsoft.com/office/drawing/2014/main"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 xmlns:a16="http://schemas.microsoft.com/office/drawing/2014/main"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18</xdr:col>
      <xdr:colOff>0</xdr:colOff>
      <xdr:row>8</xdr:row>
      <xdr:rowOff>0</xdr:rowOff>
    </xdr:from>
    <xdr:to>
      <xdr:col>20</xdr:col>
      <xdr:colOff>410936</xdr:colOff>
      <xdr:row>9</xdr:row>
      <xdr:rowOff>42182</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300-000009000000}"/>
            </a:ext>
          </a:extLst>
        </xdr:cNvPr>
        <xdr:cNvSpPr/>
      </xdr:nvSpPr>
      <xdr:spPr>
        <a:xfrm>
          <a:off x="12083143" y="446314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 xmlns:a16="http://schemas.microsoft.com/office/drawing/2014/main"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 xmlns:a16="http://schemas.microsoft.com/office/drawing/2014/main"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 xmlns:a16="http://schemas.microsoft.com/office/drawing/2014/main"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 xmlns:a16="http://schemas.microsoft.com/office/drawing/2014/main"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 xmlns:a16="http://schemas.microsoft.com/office/drawing/2014/main"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 xmlns:a16="http://schemas.microsoft.com/office/drawing/2014/main"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19</xdr:col>
      <xdr:colOff>536864</xdr:colOff>
      <xdr:row>52</xdr:row>
      <xdr:rowOff>121228</xdr:rowOff>
    </xdr:from>
    <xdr:to>
      <xdr:col>25</xdr:col>
      <xdr:colOff>86591</xdr:colOff>
      <xdr:row>53</xdr:row>
      <xdr:rowOff>346365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200-000002000000}"/>
            </a:ext>
          </a:extLst>
        </xdr:cNvPr>
        <xdr:cNvSpPr/>
      </xdr:nvSpPr>
      <xdr:spPr>
        <a:xfrm>
          <a:off x="11516591" y="22098001"/>
          <a:ext cx="1697182" cy="5368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xdr:col>
      <xdr:colOff>0</xdr:colOff>
      <xdr:row>0</xdr:row>
      <xdr:rowOff>0</xdr:rowOff>
    </xdr:from>
    <xdr:to>
      <xdr:col>1</xdr:col>
      <xdr:colOff>1771650</xdr:colOff>
      <xdr:row>0</xdr:row>
      <xdr:rowOff>600075</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2200-000003000000}"/>
            </a:ext>
          </a:extLst>
        </xdr:cNvPr>
        <xdr:cNvSpPr/>
      </xdr:nvSpPr>
      <xdr:spPr>
        <a:xfrm>
          <a:off x="1316182"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24</xdr:col>
      <xdr:colOff>0</xdr:colOff>
      <xdr:row>80</xdr:row>
      <xdr:rowOff>0</xdr:rowOff>
    </xdr:from>
    <xdr:to>
      <xdr:col>29</xdr:col>
      <xdr:colOff>247650</xdr:colOff>
      <xdr:row>84</xdr:row>
      <xdr:rowOff>45893</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2200-000004000000}"/>
            </a:ext>
          </a:extLst>
        </xdr:cNvPr>
        <xdr:cNvSpPr/>
      </xdr:nvSpPr>
      <xdr:spPr>
        <a:xfrm>
          <a:off x="13265727" y="380826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28</xdr:col>
      <xdr:colOff>0</xdr:colOff>
      <xdr:row>106</xdr:row>
      <xdr:rowOff>0</xdr:rowOff>
    </xdr:from>
    <xdr:to>
      <xdr:col>33</xdr:col>
      <xdr:colOff>39832</xdr:colOff>
      <xdr:row>107</xdr:row>
      <xdr:rowOff>167120</xdr:rowOff>
    </xdr:to>
    <xdr:sp macro="" textlink="">
      <xdr:nvSpPr>
        <xdr:cNvPr id="5" name="Left Arrow 4">
          <a:hlinkClick xmlns:r="http://schemas.openxmlformats.org/officeDocument/2006/relationships" r:id="rId4"/>
          <a:extLst>
            <a:ext uri="{FF2B5EF4-FFF2-40B4-BE49-F238E27FC236}">
              <a16:creationId xmlns="" xmlns:a16="http://schemas.microsoft.com/office/drawing/2014/main" id="{00000000-0008-0000-2200-000005000000}"/>
            </a:ext>
          </a:extLst>
        </xdr:cNvPr>
        <xdr:cNvSpPr/>
      </xdr:nvSpPr>
      <xdr:spPr>
        <a:xfrm>
          <a:off x="14200909" y="483870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35</xdr:row>
      <xdr:rowOff>17318</xdr:rowOff>
    </xdr:from>
    <xdr:to>
      <xdr:col>45</xdr:col>
      <xdr:colOff>34636</xdr:colOff>
      <xdr:row>36</xdr:row>
      <xdr:rowOff>219075</xdr:rowOff>
    </xdr:to>
    <xdr:sp macro="" textlink="">
      <xdr:nvSpPr>
        <xdr:cNvPr id="6" name="Left Arrow 5">
          <a:hlinkClick xmlns:r="http://schemas.openxmlformats.org/officeDocument/2006/relationships" r:id="rId5"/>
          <a:extLst>
            <a:ext uri="{FF2B5EF4-FFF2-40B4-BE49-F238E27FC236}">
              <a16:creationId xmlns="" xmlns:a16="http://schemas.microsoft.com/office/drawing/2014/main" id="{00000000-0008-0000-2200-000002000000}"/>
            </a:ext>
          </a:extLst>
        </xdr:cNvPr>
        <xdr:cNvSpPr/>
      </xdr:nvSpPr>
      <xdr:spPr>
        <a:xfrm>
          <a:off x="19829318" y="14807045"/>
          <a:ext cx="1524000" cy="582757"/>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1</xdr:row>
      <xdr:rowOff>571500</xdr:rowOff>
    </xdr:from>
    <xdr:to>
      <xdr:col>44</xdr:col>
      <xdr:colOff>1402773</xdr:colOff>
      <xdr:row>3</xdr:row>
      <xdr:rowOff>86591</xdr:rowOff>
    </xdr:to>
    <xdr:sp macro="" textlink="">
      <xdr:nvSpPr>
        <xdr:cNvPr id="7" name="Left Arrow 6">
          <a:hlinkClick xmlns:r="http://schemas.openxmlformats.org/officeDocument/2006/relationships" r:id="rId6"/>
          <a:extLst>
            <a:ext uri="{FF2B5EF4-FFF2-40B4-BE49-F238E27FC236}">
              <a16:creationId xmlns="" xmlns:a16="http://schemas.microsoft.com/office/drawing/2014/main" id="{00000000-0008-0000-2200-000002000000}"/>
            </a:ext>
          </a:extLst>
        </xdr:cNvPr>
        <xdr:cNvSpPr/>
      </xdr:nvSpPr>
      <xdr:spPr>
        <a:xfrm>
          <a:off x="20054455" y="1229591"/>
          <a:ext cx="2095500" cy="67540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44</xdr:col>
      <xdr:colOff>0</xdr:colOff>
      <xdr:row>20</xdr:row>
      <xdr:rowOff>0</xdr:rowOff>
    </xdr:from>
    <xdr:to>
      <xdr:col>44</xdr:col>
      <xdr:colOff>1402773</xdr:colOff>
      <xdr:row>21</xdr:row>
      <xdr:rowOff>329046</xdr:rowOff>
    </xdr:to>
    <xdr:sp macro="" textlink="">
      <xdr:nvSpPr>
        <xdr:cNvPr id="9" name="Left Arrow 8">
          <a:hlinkClick xmlns:r="http://schemas.openxmlformats.org/officeDocument/2006/relationships" r:id="rId7"/>
          <a:extLst>
            <a:ext uri="{FF2B5EF4-FFF2-40B4-BE49-F238E27FC236}">
              <a16:creationId xmlns="" xmlns:a16="http://schemas.microsoft.com/office/drawing/2014/main" id="{00000000-0008-0000-2200-000002000000}"/>
            </a:ext>
          </a:extLst>
        </xdr:cNvPr>
        <xdr:cNvSpPr/>
      </xdr:nvSpPr>
      <xdr:spPr>
        <a:xfrm>
          <a:off x="20054455" y="8814955"/>
          <a:ext cx="2095500" cy="67540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 xmlns:a16="http://schemas.microsoft.com/office/drawing/2014/main"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 xmlns:a16="http://schemas.microsoft.com/office/drawing/2014/main"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 xmlns:a16="http://schemas.microsoft.com/office/drawing/2014/main"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7.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7</xdr:col>
      <xdr:colOff>52631</xdr:colOff>
      <xdr:row>54</xdr:row>
      <xdr:rowOff>161683</xdr:rowOff>
    </xdr:from>
    <xdr:to>
      <xdr:col>12</xdr:col>
      <xdr:colOff>52631</xdr:colOff>
      <xdr:row>73</xdr:row>
      <xdr:rowOff>28818</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6762751" y="10834689"/>
          <a:ext cx="3581885" cy="4572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2.%20Data%20hoa%20nghiem\1.%20PP%20H&#211;A%20NGHI&#7878;M%20C&#193;C%20B&#7890;N-XLBM\&#28414;&#38651;%20E%20&#32218;QC&#24037;&#31243;&#34920;.pdf" TargetMode="External"/><Relationship Id="rId7" Type="http://schemas.openxmlformats.org/officeDocument/2006/relationships/printerSettings" Target="../printerSettings/printerSettings2.bin"/><Relationship Id="rId2" Type="http://schemas.openxmlformats.org/officeDocument/2006/relationships/hyperlink" Target="..\..\..\2.%20Data%20hoa%20nghiem\QC\(%20&#37573;&#37811;&#21512;&#37329;)&#28961;&#27696;&#40572;&#21514;&#38651;C%20&#32218;QC&#24037;&#31243;&#34920;2022.08.26-NIKEN.xlsx" TargetMode="External"/><Relationship Id="rId1" Type="http://schemas.openxmlformats.org/officeDocument/2006/relationships/hyperlink" Target="..\..\..\2.%20Data%20hoa%20nghiem\QC\QC-RUA%20LIEU%20F,G.pdf" TargetMode="External"/><Relationship Id="rId6" Type="http://schemas.openxmlformats.org/officeDocument/2006/relationships/hyperlink" Target="..\..\..\2.%20Data%20hoa%20nghiem\1.%20PP%20H&#211;A%20NGHI&#7878;M%20C&#193;C%20B&#7890;N-XLBM\&#28961;&#27696;&#40572;&#21514;&#38651;C%20&#32218;QC&#24037;&#31243;&#34920;Q3-CXVN-PC01-AS57%2020221028.xlsx" TargetMode="External"/><Relationship Id="rId5" Type="http://schemas.openxmlformats.org/officeDocument/2006/relationships/hyperlink" Target="..\..\..\2.%20Data%20hoa%20nghiem\PP%20HOA%20NGHIEM%202021.11.25-moi.doc" TargetMode="External"/><Relationship Id="rId4" Type="http://schemas.openxmlformats.org/officeDocument/2006/relationships/hyperlink" Target="..\..\..\2.%20Data%20hoa%20nghiem\1.%20PP%20H&#211;A%20NGHI&#7878;M%20C&#193;C%20B&#7890;N-XLBM\&#28414;&#38651;%20F%20&#32218;QC&#24037;&#31243;&#34920;%20(&#26356;&#26032;20220912).xlsx"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20&#273;&#7863;c,%20lo&#227;ng-XT.pdf" TargetMode="External"/><Relationship Id="rId13" Type="http://schemas.openxmlformats.org/officeDocument/2006/relationships/hyperlink" Target="..\..\..\2.%20Data%20hoa%20nghiem\1.%20PP%20H&#211;A%20NGHI&#7878;M%20C&#193;C%20B&#7890;N-XLBM\ZN-XM,XT.pdf" TargetMode="External"/><Relationship Id="rId18" Type="http://schemas.openxmlformats.org/officeDocument/2006/relationships/hyperlink" Target="..\..\..\2.%20Data%20hoa%20nghiem\1.%20PP%20H&#211;A%20NGHI&#7878;M%20C&#193;C%20B&#7890;N-XLBM\NaOH.pdf" TargetMode="External"/><Relationship Id="rId3" Type="http://schemas.openxmlformats.org/officeDocument/2006/relationships/hyperlink" Target="../../../2.%20Data%20hoa%20nghiem/1.%20PP%20H&#211;A%20NGHI&#7878;M%20C&#193;C%20B&#7890;N-XLBM/HNO3-XM.pdf" TargetMode="External"/><Relationship Id="rId21" Type="http://schemas.openxmlformats.org/officeDocument/2006/relationships/hyperlink" Target="..\..\..\2.%20Data%20hoa%20nghiem\1.%20PP%20H&#211;A%20NGHI&#7878;M%20C&#193;C%20B&#7890;N-XLBM\CR3+-HALO.pdf" TargetMode="External"/><Relationship Id="rId7" Type="http://schemas.openxmlformats.org/officeDocument/2006/relationships/hyperlink" Target="../../../2.%20Data%20hoa%20nghiem/1.%20PP%20H&#211;A%20NGHI&#7878;M%20C&#193;C%20B&#7890;N-XLBM/HNO3-XT.pdf" TargetMode="External"/><Relationship Id="rId12" Type="http://schemas.openxmlformats.org/officeDocument/2006/relationships/hyperlink" Target="..\..\..\2.%20Data%20hoa%20nghiem\1.%20PP%20H&#211;A%20NGHI&#7878;M%20C&#193;C%20B&#7890;N-XLBM\ZN-XM,XT.pdf" TargetMode="External"/><Relationship Id="rId17" Type="http://schemas.openxmlformats.org/officeDocument/2006/relationships/hyperlink" Target="..\..\..\2.%20Data%20hoa%20nghiem\1.%20PP%20H&#211;A%20NGHI&#7878;M%20C&#193;C%20B&#7890;N-XLBM\NaOH.pdf" TargetMode="External"/><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NaOH.pdf" TargetMode="External"/><Relationship Id="rId20" Type="http://schemas.openxmlformats.org/officeDocument/2006/relationships/hyperlink" Target="..\..\..\2.%20Data%20hoa%20nghiem\1.%20PP%20H&#211;A%20NGHI&#7878;M%20C&#193;C%20B&#7890;N-XLBM\XB,&#272;G-1F,XT.pdf" TargetMode="External"/><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HNO3-XM.pdf" TargetMode="External"/><Relationship Id="rId11" Type="http://schemas.openxmlformats.org/officeDocument/2006/relationships/hyperlink" Target="../../../2.%20Data%20hoa%20nghiem/1.%20PP%20H&#211;A%20NGHI&#7878;M%20C&#193;C%20B&#7890;N-XLBM/ZN-XM,XT.pdf" TargetMode="External"/><Relationship Id="rId24" Type="http://schemas.openxmlformats.org/officeDocument/2006/relationships/drawing" Target="../drawings/drawing25.xml"/><Relationship Id="rId5" Type="http://schemas.openxmlformats.org/officeDocument/2006/relationships/hyperlink" Target="..\..\..\2.%20Data%20hoa%20nghiem\1.%20PP%20H&#211;A%20NGHI&#7878;M%20C&#193;C%20B&#7890;N-XLBM\HCL%20ho&#7841;t%20h&#243;a-xt,xm.pdf" TargetMode="External"/><Relationship Id="rId15" Type="http://schemas.openxmlformats.org/officeDocument/2006/relationships/hyperlink" Target="..\..\..\2.%20Data%20hoa%20nghiem\1.%20PP%20H&#211;A%20NGHI&#7878;M%20C&#193;C%20B&#7890;N-XLBM\NA2CO3-HALO.pdf" TargetMode="External"/><Relationship Id="rId23" Type="http://schemas.openxmlformats.org/officeDocument/2006/relationships/printerSettings" Target="../printerSettings/printerSettings26.bin"/><Relationship Id="rId10" Type="http://schemas.openxmlformats.org/officeDocument/2006/relationships/hyperlink" Target="..\..\..\2.%20Data%20hoa%20nghiem\1.%20PP%20H&#211;A%20NGHI&#7878;M%20C&#193;C%20B&#7890;N-XLBM\JASCO-XB,&#272;G-XL-1E.pdf" TargetMode="External"/><Relationship Id="rId19" Type="http://schemas.openxmlformats.org/officeDocument/2006/relationships/hyperlink" Target="..\..\..\2.%20Data%20hoa%20nghiem\1.%20PP%20H&#211;A%20NGHI&#7878;M%20C&#193;C%20B&#7890;N-XLBM\XB,&#272;G-1F,XT.pdf" TargetMode="External"/><Relationship Id="rId4" Type="http://schemas.openxmlformats.org/officeDocument/2006/relationships/hyperlink" Target="..\..\..\2.%20Data%20hoa%20nghiem\1.%20PP%20H&#211;A%20NGHI&#7878;M%20C&#193;C%20B&#7890;N-XLBM\HCL-&#273;&#7863;c,%20lo&#227;ng-XM.pdf" TargetMode="External"/><Relationship Id="rId9" Type="http://schemas.openxmlformats.org/officeDocument/2006/relationships/hyperlink" Target="..\..\..\2.%20Data%20hoa%20nghiem\1.%20PP%20H&#211;A%20NGHI&#7878;M%20C&#193;C%20B&#7890;N-XLBM\JASCO-CR3+XT,XL-1E.pdf" TargetMode="External"/><Relationship Id="rId14" Type="http://schemas.openxmlformats.org/officeDocument/2006/relationships/hyperlink" Target="..\..\..\2.%20Data%20hoa%20nghiem\1.%20PP%20H&#211;A%20NGHI&#7878;M%20C&#193;C%20B&#7890;N-XLBM\JASCO-Ph&#432;&#417;ng%20ph&#225;p%20ph&#226;n%20t&#237;ch%20ZN-Ni-XT.pdf" TargetMode="External"/><Relationship Id="rId22" Type="http://schemas.openxmlformats.org/officeDocument/2006/relationships/hyperlink" Target="..\..\..\2.%20Data%20hoa%20nghiem\1.%20PP%20H&#211;A%20NGHI&#7878;M%20C&#193;C%20B&#7890;N-XLBM\CR3+-HALO.pdf"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RL.pdf" TargetMode="External"/><Relationship Id="rId13" Type="http://schemas.openxmlformats.org/officeDocument/2006/relationships/hyperlink" Target="../../../2.%20Data%20hoa%20nghiem/1.%20PP%20H&#211;A%20NGHI&#7878;M%20C&#193;C%20B&#7890;N-XLBM/t&#7927;%20l&#7879;%20acid-RL.pdf" TargetMode="External"/><Relationship Id="rId18" Type="http://schemas.openxmlformats.org/officeDocument/2006/relationships/hyperlink" Target="../../../2.%20Data%20hoa%20nghiem/1.%20PP%20H&#211;A%20NGHI&#7878;M%20C&#193;C%20B&#7890;N-XLBM/HALO-PPPT_CT-21A-XB-XT,XM-1F.pdf" TargetMode="External"/><Relationship Id="rId3" Type="http://schemas.openxmlformats.org/officeDocument/2006/relationships/hyperlink" Target="../../../2.%20Data%20hoa%20nghiem/1.%20PP%20H&#211;A%20NGHI&#7878;M%20C&#193;C%20B&#7890;N-XLBM/TA-photphat-RL.pdf" TargetMode="External"/><Relationship Id="rId21" Type="http://schemas.openxmlformats.org/officeDocument/2006/relationships/hyperlink" Target="../../../2.%20Data%20hoa%20nghiem/1.%20PP%20H&#211;A%20NGHI&#7878;M%20C&#193;C%20B&#7890;N-XLBM/&#273;&#243;ng%20l&#7895;-ML.pdf" TargetMode="External"/><Relationship Id="rId7" Type="http://schemas.openxmlformats.org/officeDocument/2006/relationships/hyperlink" Target="../../../2.%20Data%20hoa%20nghiem/1.%20PP%20H&#211;A%20NGHI&#7878;M%20C&#193;C%20B&#7890;N-XLBM/HCL-RL.pdf" TargetMode="External"/><Relationship Id="rId12" Type="http://schemas.openxmlformats.org/officeDocument/2006/relationships/hyperlink" Target="../../../2.%20Data%20hoa%20nghiem/1.%20PP%20H&#211;A%20NGHI&#7878;M%20C&#193;C%20B&#7890;N-XLBM/t&#7927;%20l&#7879;%20acid-RL.pdf" TargetMode="External"/><Relationship Id="rId17" Type="http://schemas.openxmlformats.org/officeDocument/2006/relationships/hyperlink" Target="../../../2.%20Data%20hoa%20nghiem/1.%20PP%20H&#211;A%20NGHI&#7878;M%20C&#193;C%20B&#7890;N-XLBM/Fe%20ph&#226;n%20ly-RL.pdf" TargetMode="External"/><Relationship Id="rId25" Type="http://schemas.openxmlformats.org/officeDocument/2006/relationships/drawing" Target="../drawings/drawing42.xml"/><Relationship Id="rId2" Type="http://schemas.openxmlformats.org/officeDocument/2006/relationships/hyperlink" Target="../../../2.%20Data%20hoa%20nghiem/1.%20PP%20H&#211;A%20NGHI&#7878;M%20C&#193;C%20B&#7890;N-XLBM/TA-photphat-RL.pdf" TargetMode="External"/><Relationship Id="rId16" Type="http://schemas.openxmlformats.org/officeDocument/2006/relationships/hyperlink" Target="../../../2.%20Data%20hoa%20nghiem/1.%20PP%20H&#211;A%20NGHI&#7878;M%20C&#193;C%20B&#7890;N-XLBM/Fe%20ph&#226;n%20ly-RL.pdf" TargetMode="External"/><Relationship Id="rId20" Type="http://schemas.openxmlformats.org/officeDocument/2006/relationships/hyperlink" Target="../../../2.%20Data%20hoa%20nghiem/1.%20PP%20H&#211;A%20NGHI&#7878;M%20C&#193;C%20B&#7890;N-XLBM/AL3+ML.pdf" TargetMode="External"/><Relationship Id="rId1" Type="http://schemas.openxmlformats.org/officeDocument/2006/relationships/hyperlink" Target="../../../2.%20Data%20hoa%20nghiem/1.%20PP%20H&#211;A%20NGHI&#7878;M%20C&#193;C%20B&#7890;N-XLBM/HCL-RL.pdf" TargetMode="External"/><Relationship Id="rId6" Type="http://schemas.openxmlformats.org/officeDocument/2006/relationships/hyperlink" Target="../../../2.%20Data%20hoa%20nghiem/1.%20PP%20H&#211;A%20NGHI&#7878;M%20C&#193;C%20B&#7890;N-XLBM/kh&#7917;%20d&#7847;u-RL.pdf" TargetMode="External"/><Relationship Id="rId11" Type="http://schemas.openxmlformats.org/officeDocument/2006/relationships/hyperlink" Target="../../../2.%20Data%20hoa%20nghiem/1.%20PP%20H&#211;A%20NGHI&#7878;M%20C&#193;C%20B&#7890;N-XLBM/t&#7927;%20l&#7879;%20acid-RL.pdf" TargetMode="External"/><Relationship Id="rId24" Type="http://schemas.openxmlformats.org/officeDocument/2006/relationships/printerSettings" Target="../printerSettings/printerSettings43.bin"/><Relationship Id="rId5" Type="http://schemas.openxmlformats.org/officeDocument/2006/relationships/hyperlink" Target="../../../2.%20Data%20hoa%20nghiem/1.%20PP%20H&#211;A%20NGHI&#7878;M%20C&#193;C%20B&#7890;N-XLBM/kh&#7917;%20d&#7847;u-RL.pdf" TargetMode="External"/><Relationship Id="rId15" Type="http://schemas.openxmlformats.org/officeDocument/2006/relationships/hyperlink" Target="../../../2.%20Data%20hoa%20nghiem/1.%20PP%20H&#211;A%20NGHI&#7878;M%20C&#193;C%20B&#7890;N-XLBM/Fe%20ph&#226;n%20ly-RL.pdf" TargetMode="External"/><Relationship Id="rId23" Type="http://schemas.openxmlformats.org/officeDocument/2006/relationships/hyperlink" Target="../../../2.%20Data%20hoa%20nghiem/1.%20PP%20H&#211;A%20NGHI&#7878;M%20C&#193;C%20B&#7890;N-XLBM/HNO3-ML.pdf" TargetMode="External"/><Relationship Id="rId10" Type="http://schemas.openxmlformats.org/officeDocument/2006/relationships/hyperlink" Target="../../../2.%20Data%20hoa%20nghiem/1.%20PP%20H&#211;A%20NGHI&#7878;M%20C&#193;C%20B&#7890;N-XLBM/t&#7927;%20l&#7879;%20acid-RL.pdf" TargetMode="External"/><Relationship Id="rId19" Type="http://schemas.openxmlformats.org/officeDocument/2006/relationships/hyperlink" Target="../../../2.%20Data%20hoa%20nghiem/1.%20PP%20H&#211;A%20NGHI&#7878;M%20C&#193;C%20B&#7890;N-XLBM/H2SO4-ML.pdf" TargetMode="External"/><Relationship Id="rId4" Type="http://schemas.openxmlformats.org/officeDocument/2006/relationships/hyperlink" Target="../../../2.%20Data%20hoa%20nghiem/1.%20PP%20H&#211;A%20NGHI&#7878;M%20C&#193;C%20B&#7890;N-XLBM/TA-photphat-RL.pdf" TargetMode="External"/><Relationship Id="rId9" Type="http://schemas.openxmlformats.org/officeDocument/2006/relationships/hyperlink" Target="../../../2.%20Data%20hoa%20nghiem/1.%20PP%20H&#211;A%20NGHI&#7878;M%20C&#193;C%20B&#7890;N-XLBM/TA-photphat-RL.pdf" TargetMode="External"/><Relationship Id="rId14" Type="http://schemas.openxmlformats.org/officeDocument/2006/relationships/hyperlink" Target="../../../2.%20Data%20hoa%20nghiem/1.%20PP%20H&#211;A%20NGHI&#7878;M%20C&#193;C%20B&#7890;N-XLBM/Fe%20ph&#226;n%20ly-RL.pdf" TargetMode="External"/><Relationship Id="rId22" Type="http://schemas.openxmlformats.org/officeDocument/2006/relationships/hyperlink" Target="../../../2.%20Data%20hoa%20nghiem/1.%20PP%20H&#211;A%20NGHI&#7878;M%20C&#193;C%20B&#7890;N-XLBM/XB-ML.pdf"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7.bin"/><Relationship Id="rId1" Type="http://schemas.openxmlformats.org/officeDocument/2006/relationships/hyperlink" Target="..\..\..\2.%20Data%20hoa%20nghiem\1.%20PP%20H&#211;A%20NGHI&#7878;M%20C&#193;C%20B&#7890;N-XLBM\HCL-&#272;&#7846;U%20V&#192;O.xlsx"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dimension ref="A1:I73"/>
  <sheetViews>
    <sheetView showGridLines="0" view="pageBreakPreview" zoomScale="85" zoomScaleNormal="70" zoomScaleSheetLayoutView="85" workbookViewId="0">
      <selection activeCell="M58" sqref="M58"/>
    </sheetView>
  </sheetViews>
  <sheetFormatPr defaultRowHeight="15"/>
  <cols>
    <col min="1" max="1" width="10.125" style="990" customWidth="1"/>
    <col min="2" max="2" width="28.75" style="990" customWidth="1"/>
    <col min="3" max="3" width="16.375" style="990" customWidth="1"/>
    <col min="4" max="4" width="11.875" style="1468" customWidth="1"/>
    <col min="5" max="5" width="11.75" style="1468" customWidth="1"/>
    <col min="6" max="6" width="9" style="1459"/>
    <col min="7" max="7" width="12.125" style="990" customWidth="1"/>
    <col min="8" max="8" width="7.5" style="1459" customWidth="1"/>
    <col min="9" max="9" width="6.875" style="1480" customWidth="1"/>
    <col min="10" max="16384" width="9" style="990"/>
  </cols>
  <sheetData>
    <row r="1" spans="1:9" ht="30" customHeight="1">
      <c r="B1" s="1924" t="s">
        <v>1320</v>
      </c>
      <c r="C1" s="1924"/>
      <c r="D1" s="1924"/>
      <c r="E1" s="1924"/>
      <c r="F1" s="1924"/>
      <c r="G1" s="1924"/>
    </row>
    <row r="2" spans="1:9" ht="16.5" customHeight="1">
      <c r="B2" s="1481" t="str">
        <f>MENU!AC9</f>
        <v>2023/03/21</v>
      </c>
      <c r="C2" s="1458"/>
    </row>
    <row r="3" spans="1:9" ht="22.5" customHeight="1">
      <c r="A3" s="994" t="s">
        <v>1341</v>
      </c>
      <c r="B3" s="1593" t="s">
        <v>1296</v>
      </c>
      <c r="C3" s="1594" t="s">
        <v>1385</v>
      </c>
      <c r="D3" s="1925" t="s">
        <v>1329</v>
      </c>
      <c r="E3" s="1926"/>
      <c r="F3" s="1595" t="s">
        <v>1386</v>
      </c>
      <c r="G3" s="1594" t="s">
        <v>1299</v>
      </c>
      <c r="H3" s="1569" t="s">
        <v>1380</v>
      </c>
      <c r="I3" s="1577" t="s">
        <v>1381</v>
      </c>
    </row>
    <row r="4" spans="1:9" ht="24" customHeight="1">
      <c r="A4" s="1480" t="s">
        <v>1344</v>
      </c>
      <c r="B4" s="1922" t="s">
        <v>1356</v>
      </c>
      <c r="C4" s="992" t="s">
        <v>1300</v>
      </c>
      <c r="D4" s="1469" t="str">
        <f>'XM.GUI MAIL'!E11</f>
        <v>7~12</v>
      </c>
      <c r="E4" s="1469" t="str">
        <f>'XM.GUI MAIL'!F11</f>
        <v>(9g±1)</v>
      </c>
      <c r="F4" s="1457" t="s">
        <v>1301</v>
      </c>
      <c r="G4" s="1570">
        <f>'XM.GUI MAIL'!I11</f>
        <v>0</v>
      </c>
      <c r="H4" s="1575"/>
      <c r="I4" s="1576" t="str">
        <f>IF(H4="","",(G4-H4)/G4)</f>
        <v/>
      </c>
    </row>
    <row r="5" spans="1:9" ht="24" customHeight="1">
      <c r="A5" s="1480" t="s">
        <v>1344</v>
      </c>
      <c r="B5" s="1923"/>
      <c r="C5" s="992" t="s">
        <v>1302</v>
      </c>
      <c r="D5" s="1469" t="str">
        <f>'XM.GUI MAIL'!E10</f>
        <v>130 - 150</v>
      </c>
      <c r="E5" s="1469" t="str">
        <f>'XM.GUI MAIL'!F12</f>
        <v>(14±2)</v>
      </c>
      <c r="F5" s="1457" t="s">
        <v>1301</v>
      </c>
      <c r="G5" s="1570">
        <f>'XM.GUI MAIL'!I10</f>
        <v>0</v>
      </c>
      <c r="H5" s="1575"/>
      <c r="I5" s="1576" t="str">
        <f t="shared" ref="I5:I17" si="0">IF(H5="","",(G5-H5)/G5)</f>
        <v/>
      </c>
    </row>
    <row r="6" spans="1:9" ht="23.25" customHeight="1">
      <c r="A6" s="1480" t="s">
        <v>1344</v>
      </c>
      <c r="B6" s="1923"/>
      <c r="C6" s="993" t="s">
        <v>1303</v>
      </c>
      <c r="D6" s="1478" t="s">
        <v>1330</v>
      </c>
      <c r="E6" s="1469" t="str">
        <f>'XM.GUI MAIL'!F13</f>
        <v>(1.8±0.1 )</v>
      </c>
      <c r="F6" s="1479" t="s">
        <v>1301</v>
      </c>
      <c r="G6" s="1571">
        <f>XM.HN!E60</f>
        <v>0</v>
      </c>
      <c r="H6" s="1575"/>
      <c r="I6" s="1576" t="str">
        <f t="shared" si="0"/>
        <v/>
      </c>
    </row>
    <row r="7" spans="1:9" ht="23.25" hidden="1" customHeight="1">
      <c r="A7" s="1480" t="s">
        <v>1344</v>
      </c>
      <c r="B7" s="1923"/>
      <c r="C7" s="1466" t="s">
        <v>1304</v>
      </c>
      <c r="D7" s="1471" t="s">
        <v>1305</v>
      </c>
      <c r="E7" s="1469" t="str">
        <f>'XM.GUI MAIL'!F14</f>
        <v>(45±5)</v>
      </c>
      <c r="F7" s="1467" t="s">
        <v>1306</v>
      </c>
      <c r="G7" s="1572"/>
      <c r="H7" s="1575"/>
      <c r="I7" s="1576" t="str">
        <f t="shared" si="0"/>
        <v/>
      </c>
    </row>
    <row r="8" spans="1:9" ht="23.25" hidden="1" customHeight="1">
      <c r="A8" s="1480" t="s">
        <v>1344</v>
      </c>
      <c r="B8" s="1923"/>
      <c r="C8" s="1466" t="s">
        <v>1307</v>
      </c>
      <c r="D8" s="1471" t="s">
        <v>1305</v>
      </c>
      <c r="E8" s="1469" t="str">
        <f>'XM.GUI MAIL'!F15</f>
        <v>(22±5)</v>
      </c>
      <c r="F8" s="1467" t="s">
        <v>1306</v>
      </c>
      <c r="G8" s="1572"/>
      <c r="H8" s="1575"/>
      <c r="I8" s="1576" t="str">
        <f t="shared" si="0"/>
        <v/>
      </c>
    </row>
    <row r="9" spans="1:9" ht="23.25" hidden="1" customHeight="1">
      <c r="A9" s="1480" t="s">
        <v>1344</v>
      </c>
      <c r="B9" s="1923"/>
      <c r="C9" s="1466" t="s">
        <v>1308</v>
      </c>
      <c r="D9" s="1471" t="s">
        <v>1305</v>
      </c>
      <c r="E9" s="1469" t="str">
        <f>'XM.GUI MAIL'!F16</f>
        <v>(10±3)</v>
      </c>
      <c r="F9" s="1467" t="s">
        <v>1306</v>
      </c>
      <c r="G9" s="1572"/>
      <c r="H9" s="1575"/>
      <c r="I9" s="1576" t="str">
        <f t="shared" si="0"/>
        <v/>
      </c>
    </row>
    <row r="10" spans="1:9" ht="23.25" hidden="1" customHeight="1">
      <c r="A10" s="1480" t="s">
        <v>1344</v>
      </c>
      <c r="B10" s="1923"/>
      <c r="C10" s="1466" t="s">
        <v>1309</v>
      </c>
      <c r="D10" s="1471" t="s">
        <v>1305</v>
      </c>
      <c r="E10" s="1469" t="str">
        <f>'XM.GUI MAIL'!F17</f>
        <v>(1±0.4)</v>
      </c>
      <c r="F10" s="1467" t="s">
        <v>1306</v>
      </c>
      <c r="G10" s="1572"/>
      <c r="H10" s="1575"/>
      <c r="I10" s="1576" t="str">
        <f t="shared" si="0"/>
        <v/>
      </c>
    </row>
    <row r="11" spans="1:9" ht="21" customHeight="1">
      <c r="A11" s="1480" t="s">
        <v>1344</v>
      </c>
      <c r="B11" s="1922" t="s">
        <v>1349</v>
      </c>
      <c r="C11" s="992" t="s">
        <v>1321</v>
      </c>
      <c r="D11" s="1469" t="str">
        <f>'XM.GUI MAIL'!E12</f>
        <v xml:space="preserve">12~18 </v>
      </c>
      <c r="E11" s="1469" t="str">
        <f>'XM.GUI MAIL'!F18</f>
        <v>(7.5±1)</v>
      </c>
      <c r="F11" s="1457" t="s">
        <v>1311</v>
      </c>
      <c r="G11" s="1570">
        <f>'XM.GUI MAIL'!I12</f>
        <v>0</v>
      </c>
      <c r="H11" s="1575"/>
      <c r="I11" s="1576" t="str">
        <f t="shared" si="0"/>
        <v/>
      </c>
    </row>
    <row r="12" spans="1:9" ht="24.75" customHeight="1">
      <c r="A12" s="1480" t="s">
        <v>1344</v>
      </c>
      <c r="B12" s="1923"/>
      <c r="C12" s="992" t="s">
        <v>1312</v>
      </c>
      <c r="D12" s="1472" t="str">
        <f>'XM.GUI MAIL'!E13</f>
        <v>1.6~2.2</v>
      </c>
      <c r="E12" s="1469" t="str">
        <f>'XM.GUI MAIL'!F19</f>
        <v>(1.8±0.1)</v>
      </c>
      <c r="F12" s="1462" t="s">
        <v>1313</v>
      </c>
      <c r="G12" s="1570">
        <f>'XM.GUI MAIL'!I13</f>
        <v>0</v>
      </c>
      <c r="H12" s="1575"/>
      <c r="I12" s="1576" t="str">
        <f t="shared" si="0"/>
        <v/>
      </c>
    </row>
    <row r="13" spans="1:9" ht="23.25" hidden="1" customHeight="1">
      <c r="A13" s="1480" t="s">
        <v>1344</v>
      </c>
      <c r="B13" s="1923"/>
      <c r="C13" s="1466" t="s">
        <v>1304</v>
      </c>
      <c r="D13" s="1473" t="s">
        <v>1322</v>
      </c>
      <c r="E13" s="1469">
        <f>'XM.GUI MAIL'!F20</f>
        <v>0</v>
      </c>
      <c r="F13" s="1467" t="s">
        <v>1306</v>
      </c>
      <c r="G13" s="1572"/>
      <c r="H13" s="1575"/>
      <c r="I13" s="1576" t="str">
        <f t="shared" si="0"/>
        <v/>
      </c>
    </row>
    <row r="14" spans="1:9" ht="23.25" hidden="1" customHeight="1">
      <c r="A14" s="1480" t="s">
        <v>1344</v>
      </c>
      <c r="B14" s="1923"/>
      <c r="C14" s="1466" t="s">
        <v>1307</v>
      </c>
      <c r="D14" s="1473" t="s">
        <v>1323</v>
      </c>
      <c r="E14" s="1469" t="str">
        <f>'XM.GUI MAIL'!F21</f>
        <v>Giới hạn kiểm soát
管控值</v>
      </c>
      <c r="F14" s="1467" t="s">
        <v>1306</v>
      </c>
      <c r="G14" s="1572"/>
      <c r="H14" s="1575"/>
      <c r="I14" s="1576" t="str">
        <f t="shared" si="0"/>
        <v/>
      </c>
    </row>
    <row r="15" spans="1:9" ht="23.25" hidden="1" customHeight="1">
      <c r="A15" s="1480" t="s">
        <v>1344</v>
      </c>
      <c r="B15" s="1923"/>
      <c r="C15" s="1466" t="s">
        <v>1316</v>
      </c>
      <c r="D15" s="1474" t="s">
        <v>1334</v>
      </c>
      <c r="E15" s="1469" t="str">
        <f>'XM.GUI MAIL'!F22</f>
        <v>(70±3)</v>
      </c>
      <c r="F15" s="1467" t="s">
        <v>1306</v>
      </c>
      <c r="G15" s="1572"/>
      <c r="H15" s="1575"/>
      <c r="I15" s="1576" t="str">
        <f t="shared" si="0"/>
        <v/>
      </c>
    </row>
    <row r="16" spans="1:9" ht="20.25" customHeight="1">
      <c r="A16" s="1480" t="s">
        <v>1344</v>
      </c>
      <c r="B16" s="1922" t="s">
        <v>1335</v>
      </c>
      <c r="C16" s="992" t="s">
        <v>1310</v>
      </c>
      <c r="D16" s="1469" t="str">
        <f>'XM.GUI MAIL'!E18</f>
        <v>5~10</v>
      </c>
      <c r="E16" s="1469" t="str">
        <f>'XM.GUI MAIL'!F23</f>
        <v>(70±3)</v>
      </c>
      <c r="F16" s="1457" t="s">
        <v>1311</v>
      </c>
      <c r="G16" s="1570" t="str">
        <f>'XM.GUI MAIL'!I18</f>
        <v/>
      </c>
      <c r="H16" s="1575"/>
      <c r="I16" s="1576" t="str">
        <f t="shared" si="0"/>
        <v/>
      </c>
    </row>
    <row r="17" spans="1:9" ht="23.25" customHeight="1">
      <c r="A17" s="1480" t="s">
        <v>1344</v>
      </c>
      <c r="B17" s="1923"/>
      <c r="C17" s="992" t="s">
        <v>1312</v>
      </c>
      <c r="D17" s="1472" t="str">
        <f>'XM.GUI MAIL'!E19</f>
        <v>1.6~2.0</v>
      </c>
      <c r="E17" s="1469" t="str">
        <f>'XM.GUI MAIL'!F24</f>
        <v>(55±3)</v>
      </c>
      <c r="F17" s="1462" t="s">
        <v>1313</v>
      </c>
      <c r="G17" s="1570">
        <f>'XM.GUI MAIL'!I19</f>
        <v>0</v>
      </c>
      <c r="H17" s="1575"/>
      <c r="I17" s="1576" t="str">
        <f t="shared" si="0"/>
        <v/>
      </c>
    </row>
    <row r="18" spans="1:9" ht="23.25" hidden="1" customHeight="1">
      <c r="A18" s="1480" t="s">
        <v>1344</v>
      </c>
      <c r="B18" s="1923"/>
      <c r="C18" s="1466" t="s">
        <v>1304</v>
      </c>
      <c r="D18" s="1592" t="s">
        <v>1382</v>
      </c>
      <c r="E18" s="1592"/>
      <c r="F18" s="1467" t="s">
        <v>1306</v>
      </c>
      <c r="G18" s="1466"/>
      <c r="I18" s="1574" t="e">
        <f t="shared" ref="I18:I20" si="1">(G18-H18)/G18</f>
        <v>#DIV/0!</v>
      </c>
    </row>
    <row r="19" spans="1:9" ht="23.25" hidden="1" customHeight="1">
      <c r="A19" s="1480" t="s">
        <v>1344</v>
      </c>
      <c r="B19" s="1923"/>
      <c r="C19" s="1466" t="s">
        <v>1307</v>
      </c>
      <c r="D19" s="1474" t="s">
        <v>1315</v>
      </c>
      <c r="E19" s="1474"/>
      <c r="F19" s="1467" t="s">
        <v>1306</v>
      </c>
      <c r="G19" s="1466"/>
      <c r="I19" s="1574" t="e">
        <f t="shared" si="1"/>
        <v>#DIV/0!</v>
      </c>
    </row>
    <row r="20" spans="1:9" ht="23.25" hidden="1" customHeight="1">
      <c r="A20" s="1480" t="s">
        <v>1344</v>
      </c>
      <c r="B20" s="1923"/>
      <c r="C20" s="1466" t="s">
        <v>1316</v>
      </c>
      <c r="D20" s="1592" t="s">
        <v>1383</v>
      </c>
      <c r="E20" s="1592"/>
      <c r="F20" s="1467" t="s">
        <v>1306</v>
      </c>
      <c r="G20" s="1466"/>
      <c r="I20" s="1574" t="e">
        <f t="shared" si="1"/>
        <v>#DIV/0!</v>
      </c>
    </row>
    <row r="21" spans="1:9" ht="15" customHeight="1">
      <c r="B21" s="1463"/>
      <c r="C21" s="1464"/>
      <c r="D21" s="1475"/>
      <c r="E21" s="1475"/>
      <c r="F21" s="1465"/>
      <c r="G21" s="1464"/>
    </row>
    <row r="22" spans="1:9" ht="22.5" customHeight="1">
      <c r="B22" s="1593" t="s">
        <v>1296</v>
      </c>
      <c r="C22" s="1594" t="s">
        <v>1385</v>
      </c>
      <c r="D22" s="1925" t="s">
        <v>1329</v>
      </c>
      <c r="E22" s="1926"/>
      <c r="F22" s="1595" t="s">
        <v>1386</v>
      </c>
      <c r="G22" s="1594" t="s">
        <v>1299</v>
      </c>
      <c r="H22" s="359"/>
    </row>
    <row r="23" spans="1:9" ht="21.75" customHeight="1">
      <c r="A23" s="990" t="s">
        <v>1342</v>
      </c>
      <c r="B23" s="1922" t="s">
        <v>1336</v>
      </c>
      <c r="C23" s="992" t="s">
        <v>1300</v>
      </c>
      <c r="D23" s="1469" t="str">
        <f>'XM.GUI MAIL'!E42</f>
        <v>8~12</v>
      </c>
      <c r="E23" s="1469" t="str">
        <f>'XM.GUI MAIL'!F42</f>
        <v>(10±1)</v>
      </c>
      <c r="F23" s="1457" t="s">
        <v>1301</v>
      </c>
      <c r="G23" s="1570">
        <f>'XM.GUI MAIL'!I42</f>
        <v>0</v>
      </c>
      <c r="H23" s="1575"/>
      <c r="I23" s="1576" t="str">
        <f t="shared" ref="I23:I36" si="2">IF(H23="","",(G23-H23)/G23)</f>
        <v/>
      </c>
    </row>
    <row r="24" spans="1:9" ht="21.75" customHeight="1">
      <c r="A24" s="990" t="s">
        <v>1342</v>
      </c>
      <c r="B24" s="1923"/>
      <c r="C24" s="992" t="s">
        <v>1302</v>
      </c>
      <c r="D24" s="1469" t="str">
        <f>'XM.GUI MAIL'!E41</f>
        <v>130 - 150</v>
      </c>
      <c r="E24" s="1469" t="str">
        <f>'XM.GUI MAIL'!F41</f>
        <v>(140±10)</v>
      </c>
      <c r="F24" s="1457" t="s">
        <v>1301</v>
      </c>
      <c r="G24" s="1570">
        <f>'XM.GUI MAIL'!I41</f>
        <v>0</v>
      </c>
      <c r="H24" s="1575"/>
      <c r="I24" s="1576" t="str">
        <f t="shared" si="2"/>
        <v/>
      </c>
    </row>
    <row r="25" spans="1:9" ht="23.25" hidden="1" customHeight="1">
      <c r="A25" s="990" t="s">
        <v>1342</v>
      </c>
      <c r="B25" s="1923"/>
      <c r="C25" s="993" t="s">
        <v>1303</v>
      </c>
      <c r="D25" s="1478" t="s">
        <v>1330</v>
      </c>
      <c r="E25" s="1478" t="s">
        <v>1330</v>
      </c>
      <c r="F25" s="1479" t="s">
        <v>1301</v>
      </c>
      <c r="G25" s="1571">
        <f>XM.HN!E61</f>
        <v>0</v>
      </c>
      <c r="H25" s="1575"/>
      <c r="I25" s="1576" t="str">
        <f t="shared" si="2"/>
        <v/>
      </c>
    </row>
    <row r="26" spans="1:9" ht="23.25" hidden="1" customHeight="1">
      <c r="A26" s="990" t="s">
        <v>1342</v>
      </c>
      <c r="B26" s="1923"/>
      <c r="C26" s="1466" t="s">
        <v>1304</v>
      </c>
      <c r="D26" s="1471" t="s">
        <v>1305</v>
      </c>
      <c r="E26" s="1471" t="s">
        <v>1305</v>
      </c>
      <c r="F26" s="1467" t="s">
        <v>1306</v>
      </c>
      <c r="G26" s="1572"/>
      <c r="H26" s="1575"/>
      <c r="I26" s="1576" t="str">
        <f t="shared" si="2"/>
        <v/>
      </c>
    </row>
    <row r="27" spans="1:9" ht="23.25" hidden="1" customHeight="1">
      <c r="A27" s="990" t="s">
        <v>1342</v>
      </c>
      <c r="B27" s="1923"/>
      <c r="C27" s="1466" t="s">
        <v>1307</v>
      </c>
      <c r="D27" s="1471" t="s">
        <v>1305</v>
      </c>
      <c r="E27" s="1471" t="s">
        <v>1305</v>
      </c>
      <c r="F27" s="1467" t="s">
        <v>1306</v>
      </c>
      <c r="G27" s="1572"/>
      <c r="H27" s="1575"/>
      <c r="I27" s="1576" t="str">
        <f t="shared" si="2"/>
        <v/>
      </c>
    </row>
    <row r="28" spans="1:9" ht="23.25" hidden="1" customHeight="1">
      <c r="A28" s="990" t="s">
        <v>1342</v>
      </c>
      <c r="B28" s="1923"/>
      <c r="C28" s="1466" t="s">
        <v>1308</v>
      </c>
      <c r="D28" s="1471" t="s">
        <v>1305</v>
      </c>
      <c r="E28" s="1471" t="s">
        <v>1305</v>
      </c>
      <c r="F28" s="1467" t="s">
        <v>1306</v>
      </c>
      <c r="G28" s="1572"/>
      <c r="H28" s="1575"/>
      <c r="I28" s="1576" t="str">
        <f t="shared" si="2"/>
        <v/>
      </c>
    </row>
    <row r="29" spans="1:9" ht="23.25" hidden="1" customHeight="1">
      <c r="A29" s="990" t="s">
        <v>1342</v>
      </c>
      <c r="B29" s="1923"/>
      <c r="C29" s="1466" t="s">
        <v>1309</v>
      </c>
      <c r="D29" s="1471" t="s">
        <v>1305</v>
      </c>
      <c r="E29" s="1471" t="s">
        <v>1305</v>
      </c>
      <c r="F29" s="1467" t="s">
        <v>1306</v>
      </c>
      <c r="G29" s="1572"/>
      <c r="H29" s="1575"/>
      <c r="I29" s="1576" t="str">
        <f t="shared" si="2"/>
        <v/>
      </c>
    </row>
    <row r="30" spans="1:9" ht="21" customHeight="1">
      <c r="A30" s="990" t="s">
        <v>1342</v>
      </c>
      <c r="B30" s="1922" t="s">
        <v>1345</v>
      </c>
      <c r="C30" s="992" t="s">
        <v>1317</v>
      </c>
      <c r="D30" s="1469" t="str">
        <f>'XM.GUI MAIL'!E43</f>
        <v xml:space="preserve">6~10 </v>
      </c>
      <c r="E30" s="1469" t="str">
        <f>'XM.GUI MAIL'!F43</f>
        <v>(8±0.5)</v>
      </c>
      <c r="F30" s="1457" t="s">
        <v>1311</v>
      </c>
      <c r="G30" s="1570">
        <f>'XM.GUI MAIL'!I43</f>
        <v>-1.0461</v>
      </c>
      <c r="H30" s="1575"/>
      <c r="I30" s="1576" t="str">
        <f t="shared" si="2"/>
        <v/>
      </c>
    </row>
    <row r="31" spans="1:9" ht="21" customHeight="1">
      <c r="A31" s="990" t="s">
        <v>1342</v>
      </c>
      <c r="B31" s="1923"/>
      <c r="C31" s="992" t="s">
        <v>1312</v>
      </c>
      <c r="D31" s="1472" t="str">
        <f>'XM.GUI MAIL'!E44</f>
        <v>2~2.5</v>
      </c>
      <c r="E31" s="1472" t="str">
        <f>'XM.GUI MAIL'!F44</f>
        <v>(2.3±0.1 )</v>
      </c>
      <c r="F31" s="1462" t="s">
        <v>1313</v>
      </c>
      <c r="G31" s="1570">
        <f>'XM.GUI MAIL'!I44</f>
        <v>0</v>
      </c>
      <c r="H31" s="1575"/>
      <c r="I31" s="1576" t="str">
        <f t="shared" si="2"/>
        <v/>
      </c>
    </row>
    <row r="32" spans="1:9" ht="23.25" hidden="1" customHeight="1">
      <c r="A32" s="990" t="s">
        <v>1342</v>
      </c>
      <c r="B32" s="1923"/>
      <c r="C32" s="1466" t="s">
        <v>1304</v>
      </c>
      <c r="D32" s="1473" t="s">
        <v>1322</v>
      </c>
      <c r="E32" s="1473" t="s">
        <v>1322</v>
      </c>
      <c r="F32" s="1467" t="s">
        <v>1306</v>
      </c>
      <c r="G32" s="1572"/>
      <c r="H32" s="1575"/>
      <c r="I32" s="1576" t="str">
        <f t="shared" si="2"/>
        <v/>
      </c>
    </row>
    <row r="33" spans="1:9" ht="23.25" hidden="1" customHeight="1">
      <c r="A33" s="990" t="s">
        <v>1342</v>
      </c>
      <c r="B33" s="1923"/>
      <c r="C33" s="1466" t="s">
        <v>1307</v>
      </c>
      <c r="D33" s="1473" t="s">
        <v>1323</v>
      </c>
      <c r="E33" s="1473" t="s">
        <v>1323</v>
      </c>
      <c r="F33" s="1467" t="s">
        <v>1306</v>
      </c>
      <c r="G33" s="1572"/>
      <c r="H33" s="1575"/>
      <c r="I33" s="1576" t="str">
        <f t="shared" si="2"/>
        <v/>
      </c>
    </row>
    <row r="34" spans="1:9" ht="23.25" hidden="1" customHeight="1">
      <c r="A34" s="990" t="s">
        <v>1342</v>
      </c>
      <c r="B34" s="1923"/>
      <c r="C34" s="1466" t="s">
        <v>1316</v>
      </c>
      <c r="D34" s="1474" t="s">
        <v>1334</v>
      </c>
      <c r="E34" s="1474" t="s">
        <v>1334</v>
      </c>
      <c r="F34" s="1467" t="s">
        <v>1306</v>
      </c>
      <c r="G34" s="1572"/>
      <c r="H34" s="1575"/>
      <c r="I34" s="1576" t="str">
        <f t="shared" si="2"/>
        <v/>
      </c>
    </row>
    <row r="35" spans="1:9" ht="18" customHeight="1">
      <c r="A35" s="990" t="s">
        <v>1342</v>
      </c>
      <c r="B35" s="1922" t="s">
        <v>1346</v>
      </c>
      <c r="C35" s="992" t="s">
        <v>1318</v>
      </c>
      <c r="D35" s="1469" t="str">
        <f>'XM.GUI MAIL'!E49</f>
        <v>5~8</v>
      </c>
      <c r="E35" s="1469" t="str">
        <f>'XM.GUI MAIL'!F49</f>
        <v>(6%±0.5)</v>
      </c>
      <c r="F35" s="1457" t="s">
        <v>1311</v>
      </c>
      <c r="G35" s="1570" t="str">
        <f>'XM.GUI MAIL'!I49</f>
        <v/>
      </c>
      <c r="H35" s="1575"/>
      <c r="I35" s="1576" t="str">
        <f t="shared" si="2"/>
        <v/>
      </c>
    </row>
    <row r="36" spans="1:9" ht="18" customHeight="1">
      <c r="A36" s="990" t="s">
        <v>1342</v>
      </c>
      <c r="B36" s="1923"/>
      <c r="C36" s="992" t="s">
        <v>1312</v>
      </c>
      <c r="D36" s="1472" t="str">
        <f>'XM.GUI MAIL'!E50</f>
        <v>1.8~2.4</v>
      </c>
      <c r="E36" s="1472" t="str">
        <f>'XM.GUI MAIL'!F50</f>
        <v>(2.1±0.1 )</v>
      </c>
      <c r="F36" s="1462" t="s">
        <v>1313</v>
      </c>
      <c r="G36" s="1570">
        <f>'XM.GUI MAIL'!I50</f>
        <v>0</v>
      </c>
      <c r="H36" s="1575"/>
      <c r="I36" s="1576" t="str">
        <f t="shared" si="2"/>
        <v/>
      </c>
    </row>
    <row r="37" spans="1:9" ht="23.25" hidden="1" customHeight="1">
      <c r="A37" s="990" t="s">
        <v>1342</v>
      </c>
      <c r="B37" s="1923"/>
      <c r="C37" s="1466" t="s">
        <v>1304</v>
      </c>
      <c r="D37" s="1474" t="s">
        <v>1314</v>
      </c>
      <c r="E37" s="1474"/>
      <c r="F37" s="1467" t="s">
        <v>1306</v>
      </c>
      <c r="G37" s="1466"/>
      <c r="I37" s="1480" t="e">
        <f t="shared" ref="I37:I39" si="3">(G37-H37)/G37</f>
        <v>#DIV/0!</v>
      </c>
    </row>
    <row r="38" spans="1:9" ht="23.25" hidden="1" customHeight="1">
      <c r="A38" s="990" t="s">
        <v>1342</v>
      </c>
      <c r="B38" s="1923"/>
      <c r="C38" s="1466" t="s">
        <v>1307</v>
      </c>
      <c r="D38" s="1474" t="s">
        <v>1315</v>
      </c>
      <c r="E38" s="1474"/>
      <c r="F38" s="1467" t="s">
        <v>1306</v>
      </c>
      <c r="G38" s="1466"/>
      <c r="I38" s="1480" t="e">
        <f t="shared" si="3"/>
        <v>#DIV/0!</v>
      </c>
    </row>
    <row r="39" spans="1:9" ht="23.25" hidden="1" customHeight="1">
      <c r="A39" s="990" t="s">
        <v>1342</v>
      </c>
      <c r="B39" s="1923"/>
      <c r="C39" s="1466" t="s">
        <v>1316</v>
      </c>
      <c r="D39" s="1474" t="s">
        <v>1334</v>
      </c>
      <c r="E39" s="1474"/>
      <c r="F39" s="1467" t="s">
        <v>1306</v>
      </c>
      <c r="G39" s="1466"/>
      <c r="I39" s="1480" t="e">
        <f t="shared" si="3"/>
        <v>#DIV/0!</v>
      </c>
    </row>
    <row r="40" spans="1:9" ht="14.25" customHeight="1"/>
    <row r="41" spans="1:9" ht="21.75" customHeight="1">
      <c r="B41" s="1593" t="s">
        <v>1296</v>
      </c>
      <c r="C41" s="1594" t="s">
        <v>1385</v>
      </c>
      <c r="D41" s="1925" t="s">
        <v>1329</v>
      </c>
      <c r="E41" s="1926"/>
      <c r="F41" s="1595" t="s">
        <v>1386</v>
      </c>
      <c r="G41" s="1594" t="s">
        <v>1299</v>
      </c>
    </row>
    <row r="42" spans="1:9" ht="20.25" customHeight="1">
      <c r="A42" s="990" t="s">
        <v>1342</v>
      </c>
      <c r="B42" s="1922" t="s">
        <v>1337</v>
      </c>
      <c r="C42" s="992" t="s">
        <v>1300</v>
      </c>
      <c r="D42" s="1469" t="str">
        <f>'XM.GUI MAIL'!E73</f>
        <v>6~8</v>
      </c>
      <c r="E42" s="1469" t="str">
        <f>'XM.GUI MAIL'!F73</f>
        <v>(7±0.5)</v>
      </c>
      <c r="F42" s="1457" t="s">
        <v>1301</v>
      </c>
      <c r="G42" s="1570">
        <f>'XM.GUI MAIL'!I73</f>
        <v>5.8500000000000005</v>
      </c>
      <c r="H42" s="1575"/>
      <c r="I42" s="1576" t="str">
        <f t="shared" ref="I42:I68" si="4">IF(H42="","",(G42-H42)/G42)</f>
        <v/>
      </c>
    </row>
    <row r="43" spans="1:9" ht="20.25" customHeight="1">
      <c r="A43" s="990" t="s">
        <v>1342</v>
      </c>
      <c r="B43" s="1923"/>
      <c r="C43" s="992" t="s">
        <v>1302</v>
      </c>
      <c r="D43" s="1469" t="str">
        <f>'XM.GUI MAIL'!E72</f>
        <v>135~ 145</v>
      </c>
      <c r="E43" s="1469" t="str">
        <f>'XM.GUI MAIL'!F72</f>
        <v>(140±5)</v>
      </c>
      <c r="F43" s="1457" t="s">
        <v>1301</v>
      </c>
      <c r="G43" s="1570">
        <f>'XM.GUI MAIL'!I72</f>
        <v>138.4</v>
      </c>
      <c r="H43" s="1575"/>
      <c r="I43" s="1576" t="str">
        <f t="shared" si="4"/>
        <v/>
      </c>
    </row>
    <row r="44" spans="1:9" ht="23.25" customHeight="1">
      <c r="A44" s="990" t="s">
        <v>1342</v>
      </c>
      <c r="B44" s="1923"/>
      <c r="C44" s="993" t="s">
        <v>1303</v>
      </c>
      <c r="D44" s="1478" t="s">
        <v>1330</v>
      </c>
      <c r="E44" s="1478" t="s">
        <v>1330</v>
      </c>
      <c r="F44" s="1479" t="s">
        <v>1301</v>
      </c>
      <c r="G44" s="1571">
        <f>XM.HN!E62</f>
        <v>0</v>
      </c>
      <c r="H44" s="1575"/>
      <c r="I44" s="1576" t="str">
        <f t="shared" si="4"/>
        <v/>
      </c>
    </row>
    <row r="45" spans="1:9" ht="23.25" hidden="1" customHeight="1">
      <c r="A45" s="990" t="s">
        <v>1342</v>
      </c>
      <c r="B45" s="1923"/>
      <c r="C45" s="1466" t="s">
        <v>1304</v>
      </c>
      <c r="D45" s="1471" t="s">
        <v>1305</v>
      </c>
      <c r="E45" s="1471" t="s">
        <v>1305</v>
      </c>
      <c r="F45" s="1467" t="s">
        <v>1306</v>
      </c>
      <c r="G45" s="1572"/>
      <c r="H45" s="1575"/>
      <c r="I45" s="1576" t="str">
        <f t="shared" si="4"/>
        <v/>
      </c>
    </row>
    <row r="46" spans="1:9" ht="23.25" hidden="1" customHeight="1">
      <c r="A46" s="990" t="s">
        <v>1342</v>
      </c>
      <c r="B46" s="1923"/>
      <c r="C46" s="1466" t="s">
        <v>1307</v>
      </c>
      <c r="D46" s="1471" t="s">
        <v>1305</v>
      </c>
      <c r="E46" s="1471" t="s">
        <v>1305</v>
      </c>
      <c r="F46" s="1467" t="s">
        <v>1306</v>
      </c>
      <c r="G46" s="1572"/>
      <c r="H46" s="1575"/>
      <c r="I46" s="1576" t="str">
        <f t="shared" si="4"/>
        <v/>
      </c>
    </row>
    <row r="47" spans="1:9" ht="23.25" hidden="1" customHeight="1">
      <c r="A47" s="990" t="s">
        <v>1342</v>
      </c>
      <c r="B47" s="1923"/>
      <c r="C47" s="1466" t="s">
        <v>1308</v>
      </c>
      <c r="D47" s="1471" t="s">
        <v>1305</v>
      </c>
      <c r="E47" s="1471" t="s">
        <v>1305</v>
      </c>
      <c r="F47" s="1467" t="s">
        <v>1306</v>
      </c>
      <c r="G47" s="1572"/>
      <c r="H47" s="1575"/>
      <c r="I47" s="1576" t="str">
        <f t="shared" si="4"/>
        <v/>
      </c>
    </row>
    <row r="48" spans="1:9" ht="23.25" hidden="1" customHeight="1">
      <c r="A48" s="990" t="s">
        <v>1342</v>
      </c>
      <c r="B48" s="1923"/>
      <c r="C48" s="1466" t="s">
        <v>1309</v>
      </c>
      <c r="D48" s="1471" t="s">
        <v>1305</v>
      </c>
      <c r="E48" s="1471" t="s">
        <v>1305</v>
      </c>
      <c r="F48" s="1467" t="s">
        <v>1306</v>
      </c>
      <c r="G48" s="1572"/>
      <c r="H48" s="1575"/>
      <c r="I48" s="1576" t="str">
        <f t="shared" si="4"/>
        <v/>
      </c>
    </row>
    <row r="49" spans="1:9" ht="18.75" customHeight="1">
      <c r="A49" s="990" t="s">
        <v>1342</v>
      </c>
      <c r="B49" s="1922" t="s">
        <v>1338</v>
      </c>
      <c r="C49" s="992" t="s">
        <v>1300</v>
      </c>
      <c r="D49" s="1469" t="str">
        <f>'XM.GUI MAIL'!E84</f>
        <v>5~6</v>
      </c>
      <c r="E49" s="1469" t="str">
        <f>'XM.GUI MAIL'!F84</f>
        <v>(5.5± 0.5L)</v>
      </c>
      <c r="F49" s="1457" t="s">
        <v>1301</v>
      </c>
      <c r="G49" s="1570" t="str">
        <f>'XM.GUI MAIL'!I84</f>
        <v/>
      </c>
      <c r="H49" s="1575"/>
      <c r="I49" s="1576" t="str">
        <f t="shared" si="4"/>
        <v/>
      </c>
    </row>
    <row r="50" spans="1:9" ht="23.25" hidden="1" customHeight="1">
      <c r="A50" s="990" t="s">
        <v>1342</v>
      </c>
      <c r="B50" s="1923"/>
      <c r="C50" s="1466" t="s">
        <v>1319</v>
      </c>
      <c r="D50" s="1476" t="s">
        <v>1331</v>
      </c>
      <c r="E50" s="1476" t="s">
        <v>1331</v>
      </c>
      <c r="F50" s="1467" t="s">
        <v>1301</v>
      </c>
      <c r="G50" s="1572"/>
      <c r="H50" s="1575"/>
      <c r="I50" s="1576" t="str">
        <f t="shared" si="4"/>
        <v/>
      </c>
    </row>
    <row r="51" spans="1:9" ht="21.75" customHeight="1">
      <c r="A51" s="990" t="s">
        <v>1342</v>
      </c>
      <c r="B51" s="1923"/>
      <c r="C51" s="992" t="s">
        <v>1302</v>
      </c>
      <c r="D51" s="1469" t="str">
        <f>'XM.GUI MAIL'!E86</f>
        <v>120~130</v>
      </c>
      <c r="E51" s="1469" t="str">
        <f>'XM.GUI MAIL'!F86</f>
        <v>(125 ± 5)</v>
      </c>
      <c r="F51" s="1457" t="s">
        <v>1301</v>
      </c>
      <c r="G51" s="1570">
        <f>'XM.GUI MAIL'!I86</f>
        <v>0</v>
      </c>
      <c r="H51" s="1575"/>
      <c r="I51" s="1576" t="str">
        <f t="shared" si="4"/>
        <v/>
      </c>
    </row>
    <row r="52" spans="1:9" ht="23.25" hidden="1" customHeight="1">
      <c r="A52" s="990" t="s">
        <v>1342</v>
      </c>
      <c r="B52" s="1923"/>
      <c r="C52" s="1466" t="s">
        <v>1303</v>
      </c>
      <c r="D52" s="1470" t="s">
        <v>1330</v>
      </c>
      <c r="E52" s="1470" t="s">
        <v>1330</v>
      </c>
      <c r="F52" s="1467" t="s">
        <v>1301</v>
      </c>
      <c r="G52" s="1572"/>
      <c r="H52" s="1575"/>
      <c r="I52" s="1576" t="str">
        <f t="shared" si="4"/>
        <v/>
      </c>
    </row>
    <row r="53" spans="1:9" ht="23.25" hidden="1" customHeight="1">
      <c r="A53" s="990" t="s">
        <v>1342</v>
      </c>
      <c r="B53" s="1923"/>
      <c r="C53" s="1466" t="s">
        <v>1304</v>
      </c>
      <c r="D53" s="1470" t="s">
        <v>1332</v>
      </c>
      <c r="E53" s="1470" t="s">
        <v>1332</v>
      </c>
      <c r="F53" s="1467" t="s">
        <v>1306</v>
      </c>
      <c r="G53" s="1572"/>
      <c r="H53" s="1575"/>
      <c r="I53" s="1576" t="str">
        <f t="shared" si="4"/>
        <v/>
      </c>
    </row>
    <row r="54" spans="1:9" ht="23.25" hidden="1" customHeight="1">
      <c r="A54" s="990" t="s">
        <v>1342</v>
      </c>
      <c r="B54" s="1923"/>
      <c r="C54" s="1466" t="s">
        <v>1307</v>
      </c>
      <c r="D54" s="1470" t="s">
        <v>1333</v>
      </c>
      <c r="E54" s="1470" t="s">
        <v>1333</v>
      </c>
      <c r="F54" s="1467" t="s">
        <v>1306</v>
      </c>
      <c r="G54" s="1572"/>
      <c r="H54" s="1575"/>
      <c r="I54" s="1576" t="str">
        <f t="shared" si="4"/>
        <v/>
      </c>
    </row>
    <row r="55" spans="1:9" ht="23.25" hidden="1" customHeight="1">
      <c r="A55" s="990" t="s">
        <v>1342</v>
      </c>
      <c r="B55" s="1923"/>
      <c r="C55" s="1466" t="s">
        <v>1308</v>
      </c>
      <c r="D55" s="1470" t="s">
        <v>1333</v>
      </c>
      <c r="E55" s="1470" t="s">
        <v>1333</v>
      </c>
      <c r="F55" s="1467" t="s">
        <v>1306</v>
      </c>
      <c r="G55" s="1572"/>
      <c r="H55" s="1575"/>
      <c r="I55" s="1576" t="str">
        <f t="shared" si="4"/>
        <v/>
      </c>
    </row>
    <row r="56" spans="1:9" ht="23.25" hidden="1" customHeight="1">
      <c r="A56" s="990" t="s">
        <v>1342</v>
      </c>
      <c r="B56" s="1923"/>
      <c r="C56" s="1466" t="s">
        <v>1309</v>
      </c>
      <c r="D56" s="1470" t="s">
        <v>1315</v>
      </c>
      <c r="E56" s="1470" t="s">
        <v>1315</v>
      </c>
      <c r="F56" s="1467" t="s">
        <v>1306</v>
      </c>
      <c r="G56" s="1572"/>
      <c r="H56" s="1575"/>
      <c r="I56" s="1576" t="str">
        <f t="shared" si="4"/>
        <v/>
      </c>
    </row>
    <row r="57" spans="1:9" ht="21" customHeight="1">
      <c r="A57" s="990" t="s">
        <v>1342</v>
      </c>
      <c r="B57" s="1922" t="s">
        <v>1348</v>
      </c>
      <c r="C57" s="992" t="s">
        <v>1317</v>
      </c>
      <c r="D57" s="1469" t="str">
        <f>'XM.GUI MAIL'!E74</f>
        <v>5~8</v>
      </c>
      <c r="E57" s="1469" t="str">
        <f>'XM.GUI MAIL'!F74</f>
        <v>(6±0.5)</v>
      </c>
      <c r="F57" s="1457" t="s">
        <v>1311</v>
      </c>
      <c r="G57" s="1570">
        <f>'XM.GUI MAIL'!I74</f>
        <v>-1.0461</v>
      </c>
      <c r="H57" s="1575"/>
      <c r="I57" s="1576" t="str">
        <f t="shared" si="4"/>
        <v/>
      </c>
    </row>
    <row r="58" spans="1:9" ht="22.5" customHeight="1">
      <c r="A58" s="990" t="s">
        <v>1342</v>
      </c>
      <c r="B58" s="1923"/>
      <c r="C58" s="992" t="s">
        <v>1312</v>
      </c>
      <c r="D58" s="1472" t="str">
        <f>'XM.GUI MAIL'!E75</f>
        <v>2.0~2.4</v>
      </c>
      <c r="E58" s="1472" t="str">
        <f>'XM.GUI MAIL'!F75</f>
        <v>(2.2±0.2 )</v>
      </c>
      <c r="F58" s="1462" t="s">
        <v>1313</v>
      </c>
      <c r="G58" s="1570">
        <f>'XM.GUI MAIL'!I75</f>
        <v>0</v>
      </c>
      <c r="H58" s="1575"/>
      <c r="I58" s="1576" t="str">
        <f t="shared" si="4"/>
        <v/>
      </c>
    </row>
    <row r="59" spans="1:9" ht="23.25" hidden="1" customHeight="1">
      <c r="A59" s="990" t="s">
        <v>1342</v>
      </c>
      <c r="B59" s="1923"/>
      <c r="C59" s="1466" t="s">
        <v>1304</v>
      </c>
      <c r="D59" s="1473" t="s">
        <v>1322</v>
      </c>
      <c r="E59" s="1473" t="s">
        <v>1322</v>
      </c>
      <c r="F59" s="1467" t="s">
        <v>1306</v>
      </c>
      <c r="G59" s="1572"/>
      <c r="H59" s="1575"/>
      <c r="I59" s="1576" t="str">
        <f t="shared" si="4"/>
        <v/>
      </c>
    </row>
    <row r="60" spans="1:9" ht="23.25" hidden="1" customHeight="1">
      <c r="A60" s="990" t="s">
        <v>1342</v>
      </c>
      <c r="B60" s="1923"/>
      <c r="C60" s="1466" t="s">
        <v>1307</v>
      </c>
      <c r="D60" s="1473" t="s">
        <v>1323</v>
      </c>
      <c r="E60" s="1473" t="s">
        <v>1323</v>
      </c>
      <c r="F60" s="1467" t="s">
        <v>1306</v>
      </c>
      <c r="G60" s="1572"/>
      <c r="H60" s="1575"/>
      <c r="I60" s="1576" t="str">
        <f t="shared" si="4"/>
        <v/>
      </c>
    </row>
    <row r="61" spans="1:9" ht="23.25" hidden="1" customHeight="1">
      <c r="A61" s="990" t="s">
        <v>1342</v>
      </c>
      <c r="B61" s="1923"/>
      <c r="C61" s="1466" t="s">
        <v>1316</v>
      </c>
      <c r="D61" s="1474" t="s">
        <v>1334</v>
      </c>
      <c r="E61" s="1474" t="s">
        <v>1334</v>
      </c>
      <c r="F61" s="1467" t="s">
        <v>1306</v>
      </c>
      <c r="G61" s="1572"/>
      <c r="H61" s="1575"/>
      <c r="I61" s="1576" t="str">
        <f t="shared" si="4"/>
        <v/>
      </c>
    </row>
    <row r="62" spans="1:9" ht="18.75" customHeight="1">
      <c r="A62" s="1480" t="s">
        <v>1343</v>
      </c>
      <c r="B62" s="1922" t="s">
        <v>1347</v>
      </c>
      <c r="C62" s="992" t="s">
        <v>1321</v>
      </c>
      <c r="D62" s="1469" t="str">
        <f>'XM.GUI MAIL'!E82</f>
        <v>8~16 %</v>
      </c>
      <c r="E62" s="1469" t="str">
        <f>'XM.GUI MAIL'!F82</f>
        <v>(12±2%)</v>
      </c>
      <c r="F62" s="1457" t="s">
        <v>1311</v>
      </c>
      <c r="G62" s="1570" t="str">
        <f>'XM.GUI MAIL'!I82</f>
        <v/>
      </c>
      <c r="H62" s="1575"/>
      <c r="I62" s="1576" t="str">
        <f t="shared" si="4"/>
        <v/>
      </c>
    </row>
    <row r="63" spans="1:9" ht="21" customHeight="1">
      <c r="A63" s="1480" t="s">
        <v>1343</v>
      </c>
      <c r="B63" s="1923"/>
      <c r="C63" s="992" t="s">
        <v>1312</v>
      </c>
      <c r="D63" s="1472" t="str">
        <f>'XM.GUI MAIL'!E83</f>
        <v>1.8~2.4</v>
      </c>
      <c r="E63" s="1472" t="str">
        <f>'XM.GUI MAIL'!F83</f>
        <v>(2.0 ±0.2 )</v>
      </c>
      <c r="F63" s="1462" t="s">
        <v>1313</v>
      </c>
      <c r="G63" s="1570">
        <f>'XM.GUI MAIL'!I83</f>
        <v>0</v>
      </c>
      <c r="H63" s="1575"/>
      <c r="I63" s="1576" t="str">
        <f t="shared" si="4"/>
        <v/>
      </c>
    </row>
    <row r="64" spans="1:9" ht="23.25" hidden="1" customHeight="1">
      <c r="A64" s="1480" t="s">
        <v>1343</v>
      </c>
      <c r="B64" s="1923"/>
      <c r="C64" s="1466" t="s">
        <v>1304</v>
      </c>
      <c r="D64" s="1596" t="s">
        <v>1390</v>
      </c>
      <c r="E64" s="1596" t="s">
        <v>1390</v>
      </c>
      <c r="F64" s="1467" t="s">
        <v>1306</v>
      </c>
      <c r="G64" s="1572"/>
      <c r="H64" s="1575"/>
      <c r="I64" s="1576" t="str">
        <f t="shared" si="4"/>
        <v/>
      </c>
    </row>
    <row r="65" spans="1:9" ht="23.25" hidden="1" customHeight="1">
      <c r="A65" s="1480" t="s">
        <v>1343</v>
      </c>
      <c r="B65" s="1923"/>
      <c r="C65" s="1466" t="s">
        <v>1307</v>
      </c>
      <c r="D65" s="1473" t="s">
        <v>1391</v>
      </c>
      <c r="E65" s="1473" t="s">
        <v>1391</v>
      </c>
      <c r="F65" s="1467" t="s">
        <v>1306</v>
      </c>
      <c r="G65" s="1572"/>
      <c r="H65" s="1575"/>
      <c r="I65" s="1576" t="str">
        <f t="shared" si="4"/>
        <v/>
      </c>
    </row>
    <row r="66" spans="1:9" ht="23.25" hidden="1" customHeight="1">
      <c r="A66" s="1480" t="s">
        <v>1343</v>
      </c>
      <c r="B66" s="1923"/>
      <c r="C66" s="1466" t="s">
        <v>1316</v>
      </c>
      <c r="D66" s="1474" t="s">
        <v>1334</v>
      </c>
      <c r="E66" s="1474" t="s">
        <v>1334</v>
      </c>
      <c r="F66" s="1467" t="s">
        <v>1306</v>
      </c>
      <c r="G66" s="1572"/>
      <c r="H66" s="1575"/>
      <c r="I66" s="1576" t="str">
        <f t="shared" si="4"/>
        <v/>
      </c>
    </row>
    <row r="67" spans="1:9" ht="19.5" customHeight="1">
      <c r="A67" s="1480" t="s">
        <v>1343</v>
      </c>
      <c r="B67" s="1922" t="s">
        <v>1339</v>
      </c>
      <c r="C67" s="992" t="s">
        <v>1310</v>
      </c>
      <c r="D67" s="1469" t="str">
        <f>'XM.GUI MAIL'!E80</f>
        <v>3~9</v>
      </c>
      <c r="E67" s="1469" t="str">
        <f>'XM.GUI MAIL'!F80</f>
        <v>(6±1)</v>
      </c>
      <c r="F67" s="1457" t="s">
        <v>1311</v>
      </c>
      <c r="G67" s="1570">
        <f>'XM.GUI MAIL'!I80</f>
        <v>4.24</v>
      </c>
      <c r="H67" s="1575"/>
      <c r="I67" s="1576" t="str">
        <f t="shared" si="4"/>
        <v/>
      </c>
    </row>
    <row r="68" spans="1:9" ht="19.5" customHeight="1">
      <c r="A68" s="1480" t="s">
        <v>1343</v>
      </c>
      <c r="B68" s="1923"/>
      <c r="C68" s="992" t="s">
        <v>1312</v>
      </c>
      <c r="D68" s="1469" t="str">
        <f>'XM.GUI MAIL'!E81</f>
        <v>1.8~2.4</v>
      </c>
      <c r="E68" s="1469" t="str">
        <f>'XM.GUI MAIL'!F81</f>
        <v>(2.0±0.1)</v>
      </c>
      <c r="F68" s="1462" t="s">
        <v>1313</v>
      </c>
      <c r="G68" s="1570">
        <f>'XM.GUI MAIL'!I81</f>
        <v>1.88</v>
      </c>
      <c r="H68" s="1575"/>
      <c r="I68" s="1576" t="str">
        <f t="shared" si="4"/>
        <v/>
      </c>
    </row>
    <row r="69" spans="1:9" ht="27" hidden="1" customHeight="1">
      <c r="A69" s="1480" t="s">
        <v>1343</v>
      </c>
      <c r="B69" s="1923"/>
      <c r="C69" s="1466" t="s">
        <v>1304</v>
      </c>
      <c r="D69" s="1592" t="s">
        <v>1388</v>
      </c>
      <c r="E69" s="1592"/>
      <c r="F69" s="1467" t="s">
        <v>1306</v>
      </c>
      <c r="G69" s="1466"/>
    </row>
    <row r="70" spans="1:9" ht="27" hidden="1" customHeight="1">
      <c r="A70" s="1480" t="s">
        <v>1343</v>
      </c>
      <c r="B70" s="1923"/>
      <c r="C70" s="1466" t="s">
        <v>1307</v>
      </c>
      <c r="D70" s="1474" t="s">
        <v>1315</v>
      </c>
      <c r="E70" s="1474"/>
      <c r="F70" s="1467" t="s">
        <v>1306</v>
      </c>
      <c r="G70" s="1466"/>
    </row>
    <row r="71" spans="1:9" ht="27" hidden="1" customHeight="1">
      <c r="A71" s="1480" t="s">
        <v>1343</v>
      </c>
      <c r="B71" s="1923"/>
      <c r="C71" s="1466" t="s">
        <v>1316</v>
      </c>
      <c r="D71" s="1474" t="s">
        <v>1387</v>
      </c>
      <c r="E71" s="1474"/>
      <c r="F71" s="1467" t="s">
        <v>1306</v>
      </c>
      <c r="G71" s="1466"/>
    </row>
    <row r="72" spans="1:9" ht="27.75" hidden="1" customHeight="1">
      <c r="A72" s="1480" t="s">
        <v>1343</v>
      </c>
      <c r="B72" s="1920" t="s">
        <v>1340</v>
      </c>
      <c r="C72" s="1466" t="s">
        <v>1324</v>
      </c>
      <c r="D72" s="1477" t="s">
        <v>1327</v>
      </c>
      <c r="E72" s="1477"/>
      <c r="F72" s="1467" t="s">
        <v>1326</v>
      </c>
      <c r="G72" s="1466"/>
    </row>
    <row r="73" spans="1:9" ht="27.75" hidden="1" customHeight="1">
      <c r="A73" s="1480" t="s">
        <v>1343</v>
      </c>
      <c r="B73" s="1921"/>
      <c r="C73" s="1466" t="s">
        <v>1325</v>
      </c>
      <c r="D73" s="1477" t="s">
        <v>1328</v>
      </c>
      <c r="E73" s="1477"/>
      <c r="F73" s="1467" t="s">
        <v>1326</v>
      </c>
      <c r="G73" s="1466"/>
    </row>
  </sheetData>
  <mergeCells count="16">
    <mergeCell ref="B72:B73"/>
    <mergeCell ref="B67:B71"/>
    <mergeCell ref="B62:B66"/>
    <mergeCell ref="B30:B34"/>
    <mergeCell ref="B1:G1"/>
    <mergeCell ref="B4:B10"/>
    <mergeCell ref="B11:B15"/>
    <mergeCell ref="B16:B20"/>
    <mergeCell ref="B23:B29"/>
    <mergeCell ref="D3:E3"/>
    <mergeCell ref="D22:E22"/>
    <mergeCell ref="D41:E41"/>
    <mergeCell ref="B35:B39"/>
    <mergeCell ref="B42:B48"/>
    <mergeCell ref="B49:B56"/>
    <mergeCell ref="B57:B61"/>
  </mergeCells>
  <phoneticPr fontId="6"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codeName="Sheet1">
    <tabColor rgb="FF0000FF"/>
  </sheetPr>
  <dimension ref="B1:AG40"/>
  <sheetViews>
    <sheetView zoomScale="85" zoomScaleNormal="85" workbookViewId="0">
      <selection activeCell="B6" sqref="B6:D7"/>
    </sheetView>
  </sheetViews>
  <sheetFormatPr defaultColWidth="6.25" defaultRowHeight="15.75"/>
  <cols>
    <col min="1" max="1" width="2.375" style="357" customWidth="1"/>
    <col min="2" max="4" width="5.5" style="357" customWidth="1"/>
    <col min="5" max="5" width="2.625" style="357" customWidth="1"/>
    <col min="6" max="8" width="5" style="357" customWidth="1"/>
    <col min="9" max="9" width="2.25" style="357" customWidth="1"/>
    <col min="10" max="12" width="5.125" style="357" customWidth="1"/>
    <col min="13" max="13" width="2.5" style="357" customWidth="1"/>
    <col min="14" max="16" width="4.75" style="357" customWidth="1"/>
    <col min="17" max="17" width="2.625" style="357" customWidth="1"/>
    <col min="18" max="18" width="4.375" style="357" customWidth="1"/>
    <col min="19" max="19" width="3.75" style="357" customWidth="1"/>
    <col min="20" max="20" width="5.375" style="357" customWidth="1"/>
    <col min="21" max="21" width="3.25" style="357" customWidth="1"/>
    <col min="22" max="22" width="4.875" style="357" customWidth="1"/>
    <col min="23" max="23" width="4.125" style="357" customWidth="1"/>
    <col min="24" max="24" width="2.75" style="357" customWidth="1"/>
    <col min="25" max="25" width="14.25" style="357" customWidth="1"/>
    <col min="26" max="26" width="3.375" style="357" customWidth="1"/>
    <col min="27" max="27" width="14.125" style="357" customWidth="1"/>
    <col min="28" max="28" width="2.375" style="357" customWidth="1"/>
    <col min="29" max="16384" width="6.25" style="357"/>
  </cols>
  <sheetData>
    <row r="1" spans="2:33" ht="9.75" customHeight="1"/>
    <row r="2" spans="2:33" ht="9.75" customHeight="1" thickBot="1">
      <c r="U2" s="937"/>
      <c r="V2" s="937"/>
      <c r="W2" s="937"/>
      <c r="X2" s="937"/>
      <c r="Y2" s="937"/>
      <c r="Z2" s="937"/>
      <c r="AA2" s="937"/>
      <c r="AB2" s="937"/>
      <c r="AC2" s="937"/>
      <c r="AD2" s="937"/>
    </row>
    <row r="3" spans="2:33" ht="15" customHeight="1">
      <c r="B3" s="1947" t="s">
        <v>389</v>
      </c>
      <c r="C3" s="1948"/>
      <c r="D3" s="1948"/>
      <c r="E3" s="1948"/>
      <c r="F3" s="1948"/>
      <c r="G3" s="1948"/>
      <c r="H3" s="1949"/>
      <c r="I3" s="358"/>
      <c r="J3" s="1947" t="s">
        <v>390</v>
      </c>
      <c r="K3" s="1948"/>
      <c r="L3" s="1948"/>
      <c r="M3" s="1948"/>
      <c r="N3" s="1948"/>
      <c r="O3" s="1948"/>
      <c r="P3" s="1949"/>
      <c r="Q3" s="358"/>
      <c r="R3" s="1947" t="s">
        <v>391</v>
      </c>
      <c r="S3" s="1948"/>
      <c r="T3" s="1995"/>
      <c r="U3" s="937"/>
      <c r="V3" s="1953" t="s">
        <v>914</v>
      </c>
      <c r="W3" s="1954"/>
      <c r="X3" s="1954"/>
      <c r="Y3" s="1955"/>
      <c r="Z3" s="989"/>
      <c r="AA3" s="1993" t="s">
        <v>938</v>
      </c>
      <c r="AB3" s="937"/>
      <c r="AC3" s="937"/>
      <c r="AD3" s="937"/>
    </row>
    <row r="4" spans="2:33" ht="15" customHeight="1">
      <c r="B4" s="1950"/>
      <c r="C4" s="1951"/>
      <c r="D4" s="1951"/>
      <c r="E4" s="1951"/>
      <c r="F4" s="1951"/>
      <c r="G4" s="1951"/>
      <c r="H4" s="1952"/>
      <c r="I4" s="358"/>
      <c r="J4" s="1950"/>
      <c r="K4" s="1951"/>
      <c r="L4" s="1951"/>
      <c r="M4" s="1951"/>
      <c r="N4" s="1951"/>
      <c r="O4" s="1951"/>
      <c r="P4" s="1952"/>
      <c r="Q4" s="358"/>
      <c r="R4" s="1950"/>
      <c r="S4" s="1951"/>
      <c r="T4" s="1996"/>
      <c r="U4" s="937"/>
      <c r="V4" s="1956"/>
      <c r="W4" s="1957"/>
      <c r="X4" s="1957"/>
      <c r="Y4" s="1958"/>
      <c r="Z4" s="989"/>
      <c r="AA4" s="1946"/>
      <c r="AB4" s="937"/>
      <c r="AC4" s="937"/>
      <c r="AD4" s="937"/>
    </row>
    <row r="5" spans="2:33" ht="15" customHeight="1" thickBot="1">
      <c r="B5" s="832"/>
      <c r="C5" s="832"/>
      <c r="D5" s="832"/>
      <c r="E5" s="832"/>
      <c r="F5" s="832"/>
      <c r="G5" s="832"/>
      <c r="H5" s="832"/>
      <c r="I5" s="832"/>
      <c r="J5" s="832"/>
      <c r="K5" s="832"/>
      <c r="L5" s="832"/>
      <c r="M5" s="832"/>
      <c r="N5" s="832"/>
      <c r="O5" s="832"/>
      <c r="P5" s="832"/>
      <c r="Q5" s="832"/>
      <c r="R5" s="832"/>
      <c r="S5" s="832"/>
      <c r="T5" s="832"/>
      <c r="U5" s="832"/>
      <c r="V5" s="832"/>
      <c r="W5" s="832"/>
      <c r="X5" s="832"/>
      <c r="Y5" s="832"/>
      <c r="Z5" s="986"/>
      <c r="AA5" s="832"/>
      <c r="AB5" s="832"/>
      <c r="AC5" s="832"/>
      <c r="AD5" s="832"/>
      <c r="AE5" s="832"/>
      <c r="AF5" s="832"/>
    </row>
    <row r="6" spans="2:33" ht="15" customHeight="1">
      <c r="B6" s="2003" t="s">
        <v>864</v>
      </c>
      <c r="C6" s="2004"/>
      <c r="D6" s="2005"/>
      <c r="E6" s="832"/>
      <c r="F6" s="2015" t="s">
        <v>868</v>
      </c>
      <c r="G6" s="2016"/>
      <c r="H6" s="2017"/>
      <c r="I6" s="832"/>
      <c r="J6" s="2021" t="s">
        <v>869</v>
      </c>
      <c r="K6" s="2022"/>
      <c r="L6" s="2023"/>
      <c r="M6" s="832"/>
      <c r="N6" s="2027" t="s">
        <v>855</v>
      </c>
      <c r="O6" s="2028"/>
      <c r="P6" s="2029"/>
      <c r="Q6" s="832"/>
      <c r="R6" s="2009" t="s">
        <v>854</v>
      </c>
      <c r="S6" s="2010"/>
      <c r="T6" s="2011"/>
      <c r="U6" s="935"/>
      <c r="V6" s="1959" t="s">
        <v>922</v>
      </c>
      <c r="W6" s="1960"/>
      <c r="X6" s="961"/>
      <c r="Y6" s="1945">
        <f>AC9+TIME(8,45,0)</f>
        <v>45006.364583333336</v>
      </c>
      <c r="Z6" s="986"/>
      <c r="AA6" s="1994" t="s">
        <v>931</v>
      </c>
      <c r="AB6" s="832"/>
      <c r="AC6" s="833" t="s">
        <v>832</v>
      </c>
      <c r="AD6" s="834" t="s">
        <v>1400</v>
      </c>
      <c r="AE6" s="832"/>
      <c r="AF6" s="832"/>
    </row>
    <row r="7" spans="2:33" ht="15" customHeight="1">
      <c r="B7" s="2006"/>
      <c r="C7" s="2007"/>
      <c r="D7" s="2008"/>
      <c r="E7" s="832"/>
      <c r="F7" s="2018"/>
      <c r="G7" s="2019"/>
      <c r="H7" s="2020"/>
      <c r="I7" s="832"/>
      <c r="J7" s="2024"/>
      <c r="K7" s="2025"/>
      <c r="L7" s="2026"/>
      <c r="M7" s="832"/>
      <c r="N7" s="2030"/>
      <c r="O7" s="2031"/>
      <c r="P7" s="2032"/>
      <c r="Q7" s="832"/>
      <c r="R7" s="2012"/>
      <c r="S7" s="2013"/>
      <c r="T7" s="2014"/>
      <c r="U7" s="935"/>
      <c r="V7" s="1961"/>
      <c r="W7" s="1962"/>
      <c r="X7" s="961"/>
      <c r="Y7" s="1946"/>
      <c r="Z7" s="986"/>
      <c r="AA7" s="1946"/>
      <c r="AB7" s="832"/>
      <c r="AC7" s="835" t="s">
        <v>833</v>
      </c>
      <c r="AD7" s="836" t="s">
        <v>141</v>
      </c>
      <c r="AE7" s="832"/>
      <c r="AF7" s="832"/>
    </row>
    <row r="8" spans="2:33" ht="15" customHeight="1" thickBot="1">
      <c r="B8" s="832"/>
      <c r="C8" s="832"/>
      <c r="D8" s="832"/>
      <c r="E8" s="832"/>
      <c r="F8" s="832"/>
      <c r="G8" s="832"/>
      <c r="H8" s="832"/>
      <c r="I8" s="832"/>
      <c r="J8" s="832"/>
      <c r="K8" s="832"/>
      <c r="L8" s="832"/>
      <c r="M8" s="832"/>
      <c r="N8" s="832"/>
      <c r="O8" s="832"/>
      <c r="P8" s="832"/>
      <c r="Q8" s="832"/>
      <c r="R8" s="832"/>
      <c r="S8" s="832"/>
      <c r="T8" s="832"/>
      <c r="U8" s="832"/>
      <c r="V8" s="964"/>
      <c r="W8" s="964"/>
      <c r="X8" s="358"/>
      <c r="Y8" s="358"/>
      <c r="Z8" s="986"/>
      <c r="AA8" s="358"/>
      <c r="AB8" s="832"/>
      <c r="AC8" s="832"/>
      <c r="AD8" s="832"/>
      <c r="AE8" s="832"/>
      <c r="AF8" s="832"/>
    </row>
    <row r="9" spans="2:33" ht="15" customHeight="1">
      <c r="B9" s="1997" t="s">
        <v>874</v>
      </c>
      <c r="C9" s="1998"/>
      <c r="D9" s="1999"/>
      <c r="E9" s="832"/>
      <c r="F9" s="1963" t="s">
        <v>1533</v>
      </c>
      <c r="G9" s="1964"/>
      <c r="H9" s="1965"/>
      <c r="I9" s="832"/>
      <c r="J9" s="2035" t="s">
        <v>861</v>
      </c>
      <c r="K9" s="2022"/>
      <c r="L9" s="2023"/>
      <c r="M9" s="832"/>
      <c r="N9" s="2036" t="s">
        <v>856</v>
      </c>
      <c r="O9" s="2037"/>
      <c r="P9" s="2038"/>
      <c r="Q9" s="832"/>
      <c r="R9" s="2009" t="s">
        <v>852</v>
      </c>
      <c r="S9" s="2010"/>
      <c r="T9" s="2011"/>
      <c r="U9" s="935"/>
      <c r="V9" s="1959" t="s">
        <v>923</v>
      </c>
      <c r="W9" s="1960"/>
      <c r="X9" s="961"/>
      <c r="Y9" s="1945">
        <f>AC9+TIME(10,45,0)</f>
        <v>45006.447916666664</v>
      </c>
      <c r="Z9" s="986"/>
      <c r="AA9" s="1994" t="s">
        <v>932</v>
      </c>
      <c r="AB9" s="832"/>
      <c r="AC9" s="2065" t="s">
        <v>1578</v>
      </c>
      <c r="AD9" s="2066"/>
      <c r="AE9" s="2079" t="s">
        <v>928</v>
      </c>
      <c r="AF9" s="2080"/>
      <c r="AG9" s="2080"/>
    </row>
    <row r="10" spans="2:33" ht="15" customHeight="1">
      <c r="B10" s="2000"/>
      <c r="C10" s="2001"/>
      <c r="D10" s="2002"/>
      <c r="E10" s="832"/>
      <c r="F10" s="1966"/>
      <c r="G10" s="1967"/>
      <c r="H10" s="1968"/>
      <c r="I10" s="832"/>
      <c r="J10" s="2024"/>
      <c r="K10" s="2025"/>
      <c r="L10" s="2026"/>
      <c r="M10" s="832"/>
      <c r="N10" s="2039"/>
      <c r="O10" s="2040"/>
      <c r="P10" s="2041"/>
      <c r="Q10" s="832"/>
      <c r="R10" s="2012"/>
      <c r="S10" s="2013"/>
      <c r="T10" s="2014"/>
      <c r="U10" s="935"/>
      <c r="V10" s="1961"/>
      <c r="W10" s="1962"/>
      <c r="X10" s="961"/>
      <c r="Y10" s="1946"/>
      <c r="Z10" s="986"/>
      <c r="AA10" s="1946"/>
      <c r="AB10" s="832"/>
      <c r="AC10" s="2067"/>
      <c r="AD10" s="2068"/>
      <c r="AE10" s="2079"/>
      <c r="AF10" s="2080"/>
      <c r="AG10" s="2080"/>
    </row>
    <row r="11" spans="2:33" ht="15" customHeight="1" thickBot="1">
      <c r="B11" s="832"/>
      <c r="C11" s="832"/>
      <c r="D11" s="832"/>
      <c r="E11" s="832"/>
      <c r="F11" s="1869"/>
      <c r="G11" s="1869"/>
      <c r="H11" s="1869"/>
      <c r="I11" s="832"/>
      <c r="J11" s="832"/>
      <c r="K11" s="832"/>
      <c r="L11" s="832"/>
      <c r="M11" s="832"/>
      <c r="N11" s="832"/>
      <c r="O11" s="832"/>
      <c r="P11" s="832"/>
      <c r="Q11" s="832"/>
      <c r="R11" s="832"/>
      <c r="S11" s="832"/>
      <c r="T11" s="832"/>
      <c r="U11" s="832"/>
      <c r="V11" s="964"/>
      <c r="W11" s="964"/>
      <c r="X11" s="358"/>
      <c r="Y11" s="358"/>
      <c r="Z11" s="986"/>
      <c r="AA11" s="358"/>
      <c r="AB11" s="832"/>
      <c r="AC11" s="832"/>
      <c r="AD11" s="832"/>
      <c r="AE11" s="832"/>
      <c r="AF11" s="832"/>
    </row>
    <row r="12" spans="2:33" ht="15" customHeight="1">
      <c r="B12" s="1927" t="s">
        <v>867</v>
      </c>
      <c r="C12" s="1928"/>
      <c r="D12" s="1929"/>
      <c r="E12" s="832"/>
      <c r="F12" s="1981" t="s">
        <v>1525</v>
      </c>
      <c r="G12" s="1982"/>
      <c r="H12" s="1983"/>
      <c r="I12" s="832"/>
      <c r="J12" s="2054" t="s">
        <v>870</v>
      </c>
      <c r="K12" s="2055"/>
      <c r="L12" s="2056"/>
      <c r="M12" s="832"/>
      <c r="N12" s="1975" t="s">
        <v>857</v>
      </c>
      <c r="O12" s="1976"/>
      <c r="P12" s="1977"/>
      <c r="Q12" s="832"/>
      <c r="R12" s="2069" t="s">
        <v>853</v>
      </c>
      <c r="S12" s="2070"/>
      <c r="T12" s="2071"/>
      <c r="U12" s="936"/>
      <c r="V12" s="1959" t="s">
        <v>924</v>
      </c>
      <c r="W12" s="1960"/>
      <c r="X12" s="961"/>
      <c r="Y12" s="1945">
        <f>AC9+TIME(15,30,0)</f>
        <v>45006.645833333336</v>
      </c>
      <c r="Z12" s="986"/>
      <c r="AA12" s="1994" t="s">
        <v>936</v>
      </c>
      <c r="AB12" s="832"/>
      <c r="AC12" s="2075"/>
      <c r="AD12" s="2076"/>
      <c r="AE12" s="832"/>
      <c r="AF12" s="832"/>
    </row>
    <row r="13" spans="2:33" ht="15" customHeight="1">
      <c r="B13" s="1930"/>
      <c r="C13" s="1931"/>
      <c r="D13" s="1932"/>
      <c r="E13" s="832"/>
      <c r="F13" s="1984"/>
      <c r="G13" s="1985"/>
      <c r="H13" s="1986"/>
      <c r="I13" s="832"/>
      <c r="J13" s="2057"/>
      <c r="K13" s="2058"/>
      <c r="L13" s="2059"/>
      <c r="M13" s="832"/>
      <c r="N13" s="1978"/>
      <c r="O13" s="1979"/>
      <c r="P13" s="1980"/>
      <c r="Q13" s="832"/>
      <c r="R13" s="2072"/>
      <c r="S13" s="2073"/>
      <c r="T13" s="2074"/>
      <c r="U13" s="936"/>
      <c r="V13" s="1961"/>
      <c r="W13" s="1962"/>
      <c r="X13" s="961"/>
      <c r="Y13" s="1946"/>
      <c r="Z13" s="988"/>
      <c r="AA13" s="1946"/>
      <c r="AB13" s="832"/>
      <c r="AC13" s="2077"/>
      <c r="AD13" s="2078"/>
      <c r="AE13" s="832"/>
      <c r="AF13" s="832"/>
    </row>
    <row r="14" spans="2:33" ht="15" customHeight="1" thickBot="1">
      <c r="B14" s="832"/>
      <c r="C14" s="832"/>
      <c r="D14" s="832"/>
      <c r="E14" s="832"/>
      <c r="F14" s="1869"/>
      <c r="G14" s="1869"/>
      <c r="H14" s="1869"/>
      <c r="I14" s="832"/>
      <c r="J14" s="832"/>
      <c r="K14" s="832"/>
      <c r="L14" s="832"/>
      <c r="M14" s="832"/>
      <c r="N14" s="832"/>
      <c r="O14" s="832"/>
      <c r="P14" s="832"/>
      <c r="Q14" s="832"/>
      <c r="R14" s="832"/>
      <c r="S14" s="832"/>
      <c r="T14" s="832"/>
      <c r="U14" s="832"/>
      <c r="V14" s="964"/>
      <c r="W14" s="964"/>
      <c r="X14" s="358"/>
      <c r="Y14" s="358"/>
      <c r="Z14" s="358"/>
      <c r="AA14" s="358"/>
      <c r="AB14" s="832"/>
      <c r="AC14" s="832"/>
      <c r="AD14" s="832"/>
      <c r="AE14" s="832"/>
      <c r="AF14" s="832"/>
    </row>
    <row r="15" spans="2:33" ht="15" customHeight="1">
      <c r="B15" s="1927" t="s">
        <v>865</v>
      </c>
      <c r="C15" s="1928"/>
      <c r="D15" s="1929"/>
      <c r="E15" s="832"/>
      <c r="F15" s="1933" t="s">
        <v>1534</v>
      </c>
      <c r="G15" s="1934"/>
      <c r="H15" s="1935"/>
      <c r="I15" s="832"/>
      <c r="J15" s="1969" t="s">
        <v>871</v>
      </c>
      <c r="K15" s="1970"/>
      <c r="L15" s="1971"/>
      <c r="M15" s="832"/>
      <c r="N15" s="1975" t="s">
        <v>858</v>
      </c>
      <c r="O15" s="1976"/>
      <c r="P15" s="1977"/>
      <c r="Q15" s="832"/>
      <c r="R15" s="2048" t="s">
        <v>1536</v>
      </c>
      <c r="S15" s="2049"/>
      <c r="T15" s="2050"/>
      <c r="U15" s="936"/>
      <c r="V15" s="1959" t="s">
        <v>925</v>
      </c>
      <c r="W15" s="1960"/>
      <c r="X15" s="961"/>
      <c r="Y15" s="1945">
        <f>AC9+TIME(17,0,0)</f>
        <v>45006.708333333336</v>
      </c>
      <c r="Z15" s="987"/>
      <c r="AA15" s="1994" t="s">
        <v>933</v>
      </c>
      <c r="AB15" s="832"/>
      <c r="AC15" s="2061" t="s">
        <v>895</v>
      </c>
      <c r="AD15" s="2062"/>
      <c r="AE15" s="832"/>
      <c r="AF15" s="832"/>
    </row>
    <row r="16" spans="2:33" ht="15" customHeight="1">
      <c r="B16" s="1930"/>
      <c r="C16" s="1931"/>
      <c r="D16" s="1932"/>
      <c r="E16" s="832"/>
      <c r="F16" s="1936"/>
      <c r="G16" s="1937"/>
      <c r="H16" s="1938"/>
      <c r="I16" s="832"/>
      <c r="J16" s="1972"/>
      <c r="K16" s="1973"/>
      <c r="L16" s="1974"/>
      <c r="M16" s="832"/>
      <c r="N16" s="1978"/>
      <c r="O16" s="1979"/>
      <c r="P16" s="1980"/>
      <c r="Q16" s="832"/>
      <c r="R16" s="2051"/>
      <c r="S16" s="2052"/>
      <c r="T16" s="2053"/>
      <c r="U16" s="936"/>
      <c r="V16" s="1961"/>
      <c r="W16" s="1962"/>
      <c r="X16" s="961"/>
      <c r="Y16" s="1946"/>
      <c r="Z16" s="988"/>
      <c r="AA16" s="1946"/>
      <c r="AB16" s="832"/>
      <c r="AC16" s="2063"/>
      <c r="AD16" s="2064"/>
      <c r="AE16" s="832"/>
      <c r="AF16" s="832"/>
    </row>
    <row r="17" spans="2:32" ht="15" customHeight="1" thickBot="1">
      <c r="B17" s="832"/>
      <c r="C17" s="832"/>
      <c r="D17" s="832"/>
      <c r="E17" s="832"/>
      <c r="F17" s="1869"/>
      <c r="G17" s="1869"/>
      <c r="H17" s="1869"/>
      <c r="I17" s="832"/>
      <c r="J17" s="832"/>
      <c r="K17" s="832"/>
      <c r="L17" s="832"/>
      <c r="M17" s="832"/>
      <c r="N17" s="832"/>
      <c r="O17" s="832"/>
      <c r="P17" s="832"/>
      <c r="Q17" s="832"/>
      <c r="R17" s="832"/>
      <c r="S17" s="832"/>
      <c r="T17" s="832"/>
      <c r="U17" s="832"/>
      <c r="V17" s="964"/>
      <c r="W17" s="964"/>
      <c r="X17" s="358"/>
      <c r="Y17" s="358"/>
      <c r="Z17" s="358"/>
      <c r="AA17" s="358"/>
      <c r="AB17" s="832"/>
      <c r="AC17" s="832"/>
      <c r="AD17" s="832"/>
      <c r="AE17" s="832"/>
      <c r="AF17" s="832"/>
    </row>
    <row r="18" spans="2:32" ht="15" customHeight="1">
      <c r="B18" s="1927" t="s">
        <v>866</v>
      </c>
      <c r="C18" s="1928"/>
      <c r="D18" s="1929"/>
      <c r="E18" s="832"/>
      <c r="F18" s="1981" t="s">
        <v>1524</v>
      </c>
      <c r="G18" s="1982"/>
      <c r="H18" s="1983"/>
      <c r="I18" s="832"/>
      <c r="J18" s="1969" t="s">
        <v>872</v>
      </c>
      <c r="K18" s="1970"/>
      <c r="L18" s="1971"/>
      <c r="M18" s="832"/>
      <c r="N18" s="1975" t="s">
        <v>1569</v>
      </c>
      <c r="O18" s="1976"/>
      <c r="P18" s="1977"/>
      <c r="Q18" s="832"/>
      <c r="R18" s="2042" t="s">
        <v>1570</v>
      </c>
      <c r="S18" s="2043"/>
      <c r="T18" s="2044"/>
      <c r="U18" s="936"/>
      <c r="V18" s="1987" t="s">
        <v>926</v>
      </c>
      <c r="W18" s="1988"/>
      <c r="X18" s="961"/>
      <c r="Y18" s="1991">
        <f>AC9+TIME(20,45,0)</f>
        <v>45006.864583333336</v>
      </c>
      <c r="Z18" s="987"/>
      <c r="AA18" s="2060" t="s">
        <v>934</v>
      </c>
      <c r="AB18" s="832"/>
      <c r="AC18" s="832"/>
      <c r="AD18" s="832"/>
      <c r="AE18" s="832"/>
      <c r="AF18" s="832"/>
    </row>
    <row r="19" spans="2:32" ht="15" customHeight="1">
      <c r="B19" s="1930"/>
      <c r="C19" s="1931"/>
      <c r="D19" s="1932"/>
      <c r="E19" s="832"/>
      <c r="F19" s="1984"/>
      <c r="G19" s="1985"/>
      <c r="H19" s="1986"/>
      <c r="I19" s="832"/>
      <c r="J19" s="1972"/>
      <c r="K19" s="1973"/>
      <c r="L19" s="1974"/>
      <c r="M19" s="832"/>
      <c r="N19" s="1978"/>
      <c r="O19" s="1979"/>
      <c r="P19" s="1980"/>
      <c r="Q19" s="832"/>
      <c r="R19" s="2045"/>
      <c r="S19" s="2046"/>
      <c r="T19" s="2047"/>
      <c r="U19" s="936"/>
      <c r="V19" s="1989"/>
      <c r="W19" s="1990"/>
      <c r="X19" s="961"/>
      <c r="Y19" s="1992"/>
      <c r="Z19" s="988"/>
      <c r="AA19" s="1992"/>
      <c r="AB19" s="832"/>
      <c r="AC19" s="832"/>
      <c r="AD19" s="832"/>
      <c r="AE19" s="832"/>
      <c r="AF19" s="832"/>
    </row>
    <row r="20" spans="2:32" ht="15" customHeight="1" thickBot="1">
      <c r="B20" s="832"/>
      <c r="C20" s="832"/>
      <c r="D20" s="832"/>
      <c r="E20" s="832"/>
      <c r="F20" s="1869"/>
      <c r="G20" s="1869"/>
      <c r="H20" s="1869"/>
      <c r="I20" s="832"/>
      <c r="J20" s="832"/>
      <c r="K20" s="832"/>
      <c r="L20" s="832"/>
      <c r="M20" s="832"/>
      <c r="N20" s="832"/>
      <c r="O20" s="832"/>
      <c r="P20" s="832"/>
      <c r="Q20" s="832"/>
      <c r="R20" s="832"/>
      <c r="S20" s="832"/>
      <c r="T20" s="832"/>
      <c r="U20" s="832"/>
      <c r="V20" s="964"/>
      <c r="W20" s="964"/>
      <c r="X20" s="358"/>
      <c r="Y20" s="358"/>
      <c r="Z20" s="358"/>
      <c r="AA20" s="358"/>
      <c r="AB20" s="832"/>
      <c r="AC20" s="832"/>
      <c r="AD20" s="832"/>
      <c r="AE20" s="832"/>
      <c r="AF20" s="832"/>
    </row>
    <row r="21" spans="2:32" ht="15" customHeight="1">
      <c r="B21" s="1927" t="s">
        <v>1571</v>
      </c>
      <c r="C21" s="1928"/>
      <c r="D21" s="1929"/>
      <c r="E21" s="832"/>
      <c r="F21" s="1933" t="s">
        <v>1535</v>
      </c>
      <c r="G21" s="1934"/>
      <c r="H21" s="1935"/>
      <c r="I21" s="832"/>
      <c r="J21" s="1969" t="s">
        <v>1572</v>
      </c>
      <c r="K21" s="1970"/>
      <c r="L21" s="1971"/>
      <c r="M21" s="832"/>
      <c r="N21" s="1975" t="s">
        <v>1573</v>
      </c>
      <c r="O21" s="1976"/>
      <c r="P21" s="1977"/>
      <c r="Q21" s="832"/>
      <c r="R21" s="2042" t="s">
        <v>1574</v>
      </c>
      <c r="S21" s="2043"/>
      <c r="T21" s="2044"/>
      <c r="U21" s="936"/>
      <c r="V21" s="1987" t="s">
        <v>927</v>
      </c>
      <c r="W21" s="1988"/>
      <c r="X21" s="961"/>
      <c r="Y21" s="1991">
        <f>AC9+TIME(22,45,0)</f>
        <v>45006.947916666664</v>
      </c>
      <c r="Z21" s="987"/>
      <c r="AA21" s="2060" t="s">
        <v>935</v>
      </c>
      <c r="AB21" s="832"/>
      <c r="AC21" s="832"/>
      <c r="AD21" s="832"/>
      <c r="AE21" s="832"/>
      <c r="AF21" s="832"/>
    </row>
    <row r="22" spans="2:32" ht="15" customHeight="1">
      <c r="B22" s="1930"/>
      <c r="C22" s="1931"/>
      <c r="D22" s="1932"/>
      <c r="E22" s="832"/>
      <c r="F22" s="1936"/>
      <c r="G22" s="1937"/>
      <c r="H22" s="1938"/>
      <c r="I22" s="832"/>
      <c r="J22" s="1972"/>
      <c r="K22" s="1973"/>
      <c r="L22" s="1974"/>
      <c r="M22" s="832"/>
      <c r="N22" s="1978"/>
      <c r="O22" s="1979"/>
      <c r="P22" s="1980"/>
      <c r="Q22" s="832"/>
      <c r="R22" s="2045"/>
      <c r="S22" s="2046"/>
      <c r="T22" s="2047"/>
      <c r="U22" s="936"/>
      <c r="V22" s="1989"/>
      <c r="W22" s="1990"/>
      <c r="X22" s="961"/>
      <c r="Y22" s="1992"/>
      <c r="Z22" s="988"/>
      <c r="AA22" s="1992"/>
      <c r="AB22" s="832"/>
      <c r="AC22" s="832"/>
      <c r="AD22" s="832"/>
      <c r="AE22" s="832"/>
      <c r="AF22" s="832"/>
    </row>
    <row r="23" spans="2:32" ht="15" customHeight="1" thickBot="1">
      <c r="B23" s="832"/>
      <c r="C23" s="832"/>
      <c r="D23" s="832"/>
      <c r="E23" s="832"/>
      <c r="F23" s="1869"/>
      <c r="G23" s="1869"/>
      <c r="H23" s="1869"/>
      <c r="I23" s="832"/>
      <c r="J23" s="832"/>
      <c r="K23" s="832"/>
      <c r="L23" s="832"/>
      <c r="M23" s="832"/>
      <c r="N23" s="832"/>
      <c r="O23" s="832"/>
      <c r="P23" s="832"/>
      <c r="Q23" s="832"/>
      <c r="R23" s="832"/>
      <c r="S23" s="832"/>
      <c r="T23" s="832"/>
      <c r="U23" s="832"/>
      <c r="V23" s="358"/>
      <c r="W23" s="358"/>
      <c r="X23" s="358"/>
      <c r="Y23" s="358"/>
      <c r="Z23" s="358"/>
      <c r="AA23" s="358"/>
      <c r="AB23" s="832"/>
      <c r="AC23" s="832"/>
      <c r="AD23" s="832"/>
      <c r="AE23" s="832"/>
      <c r="AF23" s="832"/>
    </row>
    <row r="24" spans="2:32" ht="15" customHeight="1">
      <c r="B24" s="1927"/>
      <c r="C24" s="1928"/>
      <c r="D24" s="1929"/>
      <c r="E24" s="832"/>
      <c r="F24" s="1981" t="s">
        <v>1523</v>
      </c>
      <c r="G24" s="1982"/>
      <c r="H24" s="1983"/>
      <c r="I24" s="832"/>
      <c r="J24" s="1969" t="s">
        <v>1575</v>
      </c>
      <c r="K24" s="1970"/>
      <c r="L24" s="1971"/>
      <c r="M24" s="832"/>
      <c r="N24" s="1975" t="s">
        <v>859</v>
      </c>
      <c r="O24" s="1976"/>
      <c r="P24" s="1977"/>
      <c r="Q24" s="832"/>
      <c r="R24" s="2042" t="s">
        <v>1576</v>
      </c>
      <c r="S24" s="2043"/>
      <c r="T24" s="2044"/>
      <c r="U24" s="936"/>
      <c r="V24" s="1987" t="s">
        <v>929</v>
      </c>
      <c r="W24" s="1988"/>
      <c r="X24" s="961"/>
      <c r="Y24" s="1991">
        <f>AC9+TIME(3,0,0)</f>
        <v>45006.125</v>
      </c>
      <c r="Z24" s="987"/>
      <c r="AA24" s="2060" t="s">
        <v>939</v>
      </c>
      <c r="AB24" s="832"/>
      <c r="AC24" s="832"/>
      <c r="AD24" s="832"/>
      <c r="AE24" s="832"/>
      <c r="AF24" s="832"/>
    </row>
    <row r="25" spans="2:32" ht="15" customHeight="1">
      <c r="B25" s="1930"/>
      <c r="C25" s="1931"/>
      <c r="D25" s="1932"/>
      <c r="E25" s="832"/>
      <c r="F25" s="1984"/>
      <c r="G25" s="1985"/>
      <c r="H25" s="1986"/>
      <c r="I25" s="832"/>
      <c r="J25" s="1972"/>
      <c r="K25" s="1973"/>
      <c r="L25" s="1974"/>
      <c r="M25" s="832"/>
      <c r="N25" s="1978"/>
      <c r="O25" s="1979"/>
      <c r="P25" s="1980"/>
      <c r="Q25" s="832"/>
      <c r="R25" s="2045"/>
      <c r="S25" s="2046"/>
      <c r="T25" s="2047"/>
      <c r="U25" s="936"/>
      <c r="V25" s="1989"/>
      <c r="W25" s="1990"/>
      <c r="X25" s="961"/>
      <c r="Y25" s="1992"/>
      <c r="Z25" s="988"/>
      <c r="AA25" s="1992"/>
      <c r="AB25" s="832"/>
      <c r="AC25" s="832"/>
      <c r="AD25" s="832"/>
      <c r="AE25" s="832"/>
      <c r="AF25" s="832"/>
    </row>
    <row r="26" spans="2:32" ht="15" customHeight="1" thickBot="1">
      <c r="B26" s="832"/>
      <c r="C26" s="832"/>
      <c r="D26" s="832"/>
      <c r="E26" s="832"/>
      <c r="F26" s="1870"/>
      <c r="G26" s="1870"/>
      <c r="H26" s="1870"/>
      <c r="I26" s="832"/>
      <c r="J26" s="832"/>
      <c r="K26" s="832"/>
      <c r="L26" s="832"/>
      <c r="M26" s="832"/>
      <c r="N26" s="832"/>
      <c r="O26" s="832"/>
      <c r="P26" s="832"/>
      <c r="Q26" s="832"/>
      <c r="R26" s="832"/>
      <c r="S26" s="832"/>
      <c r="T26" s="832"/>
      <c r="U26" s="832"/>
      <c r="V26" s="358"/>
      <c r="W26" s="358"/>
      <c r="X26" s="358"/>
      <c r="Y26" s="358"/>
      <c r="Z26" s="358"/>
      <c r="AA26" s="358"/>
      <c r="AB26" s="832"/>
      <c r="AC26" s="832"/>
      <c r="AD26" s="832"/>
      <c r="AE26" s="832"/>
      <c r="AF26" s="832"/>
    </row>
    <row r="27" spans="2:32" ht="15" customHeight="1">
      <c r="B27" s="1927"/>
      <c r="C27" s="1928"/>
      <c r="D27" s="1929"/>
      <c r="E27" s="832"/>
      <c r="F27" s="1963" t="s">
        <v>1532</v>
      </c>
      <c r="G27" s="1964"/>
      <c r="H27" s="1965"/>
      <c r="I27" s="832"/>
      <c r="J27" s="1969" t="s">
        <v>873</v>
      </c>
      <c r="K27" s="1970"/>
      <c r="L27" s="1971"/>
      <c r="M27" s="832"/>
      <c r="N27" s="1975"/>
      <c r="O27" s="1976"/>
      <c r="P27" s="1977"/>
      <c r="Q27" s="832"/>
      <c r="R27" s="2042" t="s">
        <v>878</v>
      </c>
      <c r="S27" s="2043"/>
      <c r="T27" s="2044"/>
      <c r="U27" s="936"/>
      <c r="V27" s="1987" t="s">
        <v>930</v>
      </c>
      <c r="W27" s="1988"/>
      <c r="X27" s="961"/>
      <c r="Y27" s="1991">
        <f>AC9+TIME(5,0,0)</f>
        <v>45006.208333333336</v>
      </c>
      <c r="Z27" s="987"/>
      <c r="AA27" s="2060" t="s">
        <v>937</v>
      </c>
      <c r="AB27" s="832"/>
      <c r="AC27" s="832"/>
      <c r="AD27" s="832"/>
      <c r="AE27" s="832"/>
      <c r="AF27" s="832"/>
    </row>
    <row r="28" spans="2:32" ht="15" customHeight="1">
      <c r="B28" s="1930"/>
      <c r="C28" s="1931"/>
      <c r="D28" s="1932"/>
      <c r="E28" s="832"/>
      <c r="F28" s="1966"/>
      <c r="G28" s="1967"/>
      <c r="H28" s="1968"/>
      <c r="I28" s="832"/>
      <c r="J28" s="1972"/>
      <c r="K28" s="1973"/>
      <c r="L28" s="1974"/>
      <c r="M28" s="832"/>
      <c r="N28" s="1978"/>
      <c r="O28" s="1979"/>
      <c r="P28" s="1980"/>
      <c r="Q28" s="832"/>
      <c r="R28" s="2045"/>
      <c r="S28" s="2046"/>
      <c r="T28" s="2047"/>
      <c r="U28" s="936"/>
      <c r="V28" s="1989"/>
      <c r="W28" s="1990"/>
      <c r="X28" s="961"/>
      <c r="Y28" s="1992"/>
      <c r="Z28" s="988"/>
      <c r="AA28" s="1992"/>
      <c r="AB28" s="832"/>
      <c r="AC28" s="832"/>
      <c r="AD28" s="832"/>
      <c r="AE28" s="832"/>
      <c r="AF28" s="832"/>
    </row>
    <row r="29" spans="2:32" ht="15" customHeight="1" thickBot="1">
      <c r="B29" s="832"/>
      <c r="C29" s="832"/>
      <c r="D29" s="832"/>
      <c r="E29" s="832"/>
      <c r="F29" s="1870"/>
      <c r="G29" s="1870"/>
      <c r="H29" s="1870"/>
      <c r="I29" s="832"/>
      <c r="J29" s="832"/>
      <c r="K29" s="832"/>
      <c r="L29" s="832"/>
      <c r="M29" s="832"/>
      <c r="N29" s="832"/>
      <c r="O29" s="832"/>
      <c r="P29" s="832"/>
      <c r="Q29" s="832"/>
      <c r="R29" s="832"/>
      <c r="S29" s="832"/>
      <c r="T29" s="832"/>
      <c r="U29" s="832"/>
      <c r="V29" s="358"/>
      <c r="W29" s="358"/>
      <c r="X29" s="358"/>
      <c r="Y29" s="358"/>
      <c r="Z29" s="358"/>
      <c r="AA29" s="358"/>
      <c r="AB29" s="832"/>
      <c r="AC29" s="832"/>
      <c r="AD29" s="832"/>
      <c r="AE29" s="832"/>
      <c r="AF29" s="832"/>
    </row>
    <row r="30" spans="2:32" ht="15" customHeight="1">
      <c r="B30" s="1927" t="s">
        <v>863</v>
      </c>
      <c r="C30" s="1928"/>
      <c r="D30" s="1929"/>
      <c r="E30" s="832"/>
      <c r="F30" s="1963" t="s">
        <v>875</v>
      </c>
      <c r="G30" s="1964"/>
      <c r="H30" s="1965"/>
      <c r="I30" s="832"/>
      <c r="J30" s="1969" t="s">
        <v>862</v>
      </c>
      <c r="K30" s="1970"/>
      <c r="L30" s="1971"/>
      <c r="M30" s="832"/>
      <c r="N30" s="1975" t="s">
        <v>860</v>
      </c>
      <c r="O30" s="1976"/>
      <c r="P30" s="1977"/>
      <c r="Q30" s="832"/>
      <c r="R30" s="2042" t="s">
        <v>879</v>
      </c>
      <c r="S30" s="2043"/>
      <c r="T30" s="2044"/>
      <c r="U30" s="936"/>
      <c r="V30" s="2082"/>
      <c r="W30" s="2083"/>
      <c r="X30" s="961"/>
      <c r="Y30" s="1945"/>
      <c r="Z30" s="987"/>
      <c r="AA30" s="2033" t="s">
        <v>964</v>
      </c>
      <c r="AB30" s="832"/>
      <c r="AC30" s="832"/>
      <c r="AD30" s="832"/>
      <c r="AE30" s="832"/>
      <c r="AF30" s="832"/>
    </row>
    <row r="31" spans="2:32" ht="15" customHeight="1">
      <c r="B31" s="1930"/>
      <c r="C31" s="1931"/>
      <c r="D31" s="1932"/>
      <c r="E31" s="832"/>
      <c r="F31" s="1966"/>
      <c r="G31" s="1967"/>
      <c r="H31" s="1968"/>
      <c r="I31" s="832"/>
      <c r="J31" s="1972"/>
      <c r="K31" s="1973"/>
      <c r="L31" s="1974"/>
      <c r="M31" s="832"/>
      <c r="N31" s="1978"/>
      <c r="O31" s="1979"/>
      <c r="P31" s="1980"/>
      <c r="Q31" s="832"/>
      <c r="R31" s="2045"/>
      <c r="S31" s="2046"/>
      <c r="T31" s="2047"/>
      <c r="U31" s="936"/>
      <c r="V31" s="2084"/>
      <c r="W31" s="2085"/>
      <c r="X31" s="961"/>
      <c r="Y31" s="1946"/>
      <c r="Z31" s="988"/>
      <c r="AA31" s="2034"/>
      <c r="AB31" s="832"/>
      <c r="AC31" s="832"/>
      <c r="AD31" s="832"/>
      <c r="AE31" s="832"/>
      <c r="AF31" s="832"/>
    </row>
    <row r="32" spans="2:32" ht="15" customHeight="1">
      <c r="F32" s="1870"/>
      <c r="G32" s="1870"/>
      <c r="H32" s="1870"/>
    </row>
    <row r="33" spans="6:20" ht="15" customHeight="1">
      <c r="F33" s="1933" t="s">
        <v>1530</v>
      </c>
      <c r="G33" s="1934"/>
      <c r="H33" s="1935"/>
      <c r="R33" s="2081" t="s">
        <v>1577</v>
      </c>
      <c r="S33" s="2043"/>
      <c r="T33" s="2044"/>
    </row>
    <row r="34" spans="6:20" ht="15" customHeight="1">
      <c r="F34" s="1936"/>
      <c r="G34" s="1937"/>
      <c r="H34" s="1938"/>
      <c r="R34" s="2045"/>
      <c r="S34" s="2046"/>
      <c r="T34" s="2047"/>
    </row>
    <row r="35" spans="6:20" ht="15" customHeight="1">
      <c r="F35" s="1869"/>
      <c r="G35" s="1869"/>
      <c r="H35" s="1869"/>
    </row>
    <row r="36" spans="6:20" ht="15" customHeight="1">
      <c r="F36" s="1981" t="s">
        <v>1531</v>
      </c>
      <c r="G36" s="1982"/>
      <c r="H36" s="1983"/>
    </row>
    <row r="37" spans="6:20" ht="15" customHeight="1">
      <c r="F37" s="1984"/>
      <c r="G37" s="1985"/>
      <c r="H37" s="1986"/>
    </row>
    <row r="38" spans="6:20" ht="15" customHeight="1">
      <c r="F38" s="1870"/>
      <c r="G38" s="1870"/>
      <c r="H38" s="1870"/>
    </row>
    <row r="39" spans="6:20" ht="15" customHeight="1">
      <c r="F39" s="1939" t="s">
        <v>1562</v>
      </c>
      <c r="G39" s="1940"/>
      <c r="H39" s="1941"/>
    </row>
    <row r="40" spans="6:20" ht="15" customHeight="1">
      <c r="F40" s="1942"/>
      <c r="G40" s="1943"/>
      <c r="H40" s="1944"/>
    </row>
  </sheetData>
  <dataConsolidate/>
  <mergeCells count="85">
    <mergeCell ref="F36:H37"/>
    <mergeCell ref="R33:T34"/>
    <mergeCell ref="V30:W31"/>
    <mergeCell ref="Y30:Y31"/>
    <mergeCell ref="R30:T31"/>
    <mergeCell ref="F30:H31"/>
    <mergeCell ref="AE9:AG10"/>
    <mergeCell ref="Y27:Y28"/>
    <mergeCell ref="V9:W10"/>
    <mergeCell ref="Y9:Y10"/>
    <mergeCell ref="V21:W22"/>
    <mergeCell ref="Y21:Y22"/>
    <mergeCell ref="V12:W13"/>
    <mergeCell ref="Y12:Y13"/>
    <mergeCell ref="V15:W16"/>
    <mergeCell ref="V27:W28"/>
    <mergeCell ref="AA18:AA19"/>
    <mergeCell ref="AA21:AA22"/>
    <mergeCell ref="AA24:AA25"/>
    <mergeCell ref="Y15:Y16"/>
    <mergeCell ref="V18:W19"/>
    <mergeCell ref="Y18:Y19"/>
    <mergeCell ref="AC15:AD16"/>
    <mergeCell ref="AC9:AD10"/>
    <mergeCell ref="F9:H10"/>
    <mergeCell ref="R12:T13"/>
    <mergeCell ref="F12:H13"/>
    <mergeCell ref="J15:L16"/>
    <mergeCell ref="N15:P16"/>
    <mergeCell ref="AC12:AD13"/>
    <mergeCell ref="B30:D31"/>
    <mergeCell ref="J30:L31"/>
    <mergeCell ref="B21:D22"/>
    <mergeCell ref="B24:D25"/>
    <mergeCell ref="B27:D28"/>
    <mergeCell ref="F24:H25"/>
    <mergeCell ref="J27:L28"/>
    <mergeCell ref="J24:L25"/>
    <mergeCell ref="AA30:AA31"/>
    <mergeCell ref="J9:L10"/>
    <mergeCell ref="N9:P10"/>
    <mergeCell ref="R9:T10"/>
    <mergeCell ref="R27:T28"/>
    <mergeCell ref="N30:P31"/>
    <mergeCell ref="R15:T16"/>
    <mergeCell ref="J12:L13"/>
    <mergeCell ref="N12:P13"/>
    <mergeCell ref="AA9:AA10"/>
    <mergeCell ref="AA12:AA13"/>
    <mergeCell ref="AA15:AA16"/>
    <mergeCell ref="AA27:AA28"/>
    <mergeCell ref="R18:T19"/>
    <mergeCell ref="R24:T25"/>
    <mergeCell ref="R21:T22"/>
    <mergeCell ref="AA3:AA4"/>
    <mergeCell ref="AA6:AA7"/>
    <mergeCell ref="R3:T4"/>
    <mergeCell ref="B9:D10"/>
    <mergeCell ref="B6:D7"/>
    <mergeCell ref="R6:T7"/>
    <mergeCell ref="F6:H7"/>
    <mergeCell ref="J6:L7"/>
    <mergeCell ref="N6:P7"/>
    <mergeCell ref="B3:H4"/>
    <mergeCell ref="F39:H40"/>
    <mergeCell ref="Y6:Y7"/>
    <mergeCell ref="J3:P4"/>
    <mergeCell ref="V3:Y4"/>
    <mergeCell ref="V6:W7"/>
    <mergeCell ref="F27:H28"/>
    <mergeCell ref="J18:L19"/>
    <mergeCell ref="N18:P19"/>
    <mergeCell ref="N27:P28"/>
    <mergeCell ref="N24:P25"/>
    <mergeCell ref="J21:L22"/>
    <mergeCell ref="N21:P22"/>
    <mergeCell ref="F18:H19"/>
    <mergeCell ref="V24:W25"/>
    <mergeCell ref="Y24:Y25"/>
    <mergeCell ref="F33:H34"/>
    <mergeCell ref="B12:D13"/>
    <mergeCell ref="B15:D16"/>
    <mergeCell ref="F15:H16"/>
    <mergeCell ref="B18:D19"/>
    <mergeCell ref="F21:H22"/>
  </mergeCells>
  <phoneticPr fontId="6"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B21:D22" location="'4.ZN-NI kh'!A1" display="4.Zn Ni.kh (2)"/>
    <hyperlink ref="F27:H28" location="'4.ZN-NI tt'!A1" display="4.Zn Ni TT (2)"/>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C'!A1" display="'3.RL C'!A1"/>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C tt'!A1" display="'3.RL C tt'!A1"/>
    <hyperlink ref="N21:P22" location="'4.RL F tt'!Print_Area" display="4.RL D tt"/>
    <hyperlink ref="N24:P25" location="'5.ML tt'!A1" display="'5.ML tt'!A1"/>
    <hyperlink ref="N30:P31" location="RL.chart1!A1" display="RL.chart1!A1"/>
    <hyperlink ref="F30:H31" location="'XM.chart 1'!A1" display="'XM.chart 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B18:D19" location="'3.XT-C kh'!A1" display="'3.XT-C kh'!A1"/>
    <hyperlink ref="R27:T28" r:id="rId1" display="QC-RL"/>
    <hyperlink ref="R30:T31" r:id="rId2" display="QC-NI"/>
    <hyperlink ref="AC15:AD16" location="'ACID Đ.VAO'!Print_Area" display="'ACID Đ.VAO'!Print_Area"/>
    <hyperlink ref="B30:D31" location="XM.chart!A1" display="XM.chart!A1"/>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AA30:AA31" location="'tg import'!A1" display="'tg import'!A1"/>
    <hyperlink ref="R18:T19" r:id="rId3" display="QC- E"/>
    <hyperlink ref="R21:T22" r:id="rId4" display="QC-1F"/>
    <hyperlink ref="R15:T16" r:id="rId5" display="PP HÓA NGHIỆM"/>
    <hyperlink ref="R33:T34" location="'PT TAP CHAT'!A1" display="'PT TAP CHAT'!A1"/>
    <hyperlink ref="R24:T25" r:id="rId6" display="QC- XT"/>
    <hyperlink ref="F12:H13" location="'1. XL-1E TT(CA2)'!A1" display="1. XL-1E TT(CA2)"/>
    <hyperlink ref="F18:H19" location="'2. XL-1F TT(CA2)'!A1" display="2. XL-1F TT(CA2)"/>
    <hyperlink ref="F24:H25" location="'3.XT-C TT(CA2)'!A1" display="3.XT-C TT(CA2)"/>
    <hyperlink ref="F33:H34" location="'4.ZN-NI tt(CA1)'!Print_Area" display="'4.ZN-NI tt(CA1)'!Print_Area"/>
    <hyperlink ref="F36:H37" location="'4.ZN-NI tt(CA2)'!Print_Area" display="'4.ZN-NI tt(CA2)'!Print_Area"/>
    <hyperlink ref="F39:H40" location="'BS-XT'!A1" display="'BS-XT'!A1"/>
  </hyperlinks>
  <pageMargins left="0.7" right="0.7" top="0.75" bottom="0.75" header="0.3" footer="0.3"/>
  <pageSetup paperSize="9" orientation="portrait" verticalDpi="0" r:id="rId7"/>
  <legacyDrawing r:id="rId8"/>
</worksheet>
</file>

<file path=xl/worksheets/sheet3.xml><?xml version="1.0" encoding="utf-8"?>
<worksheet xmlns="http://schemas.openxmlformats.org/spreadsheetml/2006/main" xmlns:r="http://schemas.openxmlformats.org/officeDocument/2006/relationships">
  <sheetPr>
    <tabColor theme="8" tint="0.39997558519241921"/>
  </sheetPr>
  <dimension ref="A1:Q96"/>
  <sheetViews>
    <sheetView zoomScale="70" zoomScaleNormal="70" workbookViewId="0">
      <selection activeCell="C4" sqref="C4:C45"/>
    </sheetView>
  </sheetViews>
  <sheetFormatPr defaultRowHeight="27.75" customHeight="1"/>
  <cols>
    <col min="1" max="1" width="25.5" style="974" customWidth="1"/>
    <col min="2" max="2" width="26.375" style="957" customWidth="1"/>
    <col min="3" max="3" width="26.375" style="958" customWidth="1"/>
    <col min="4" max="4" width="9" style="943"/>
    <col min="5" max="16" width="9" style="943" hidden="1" customWidth="1"/>
    <col min="17" max="16384" width="9" style="943"/>
  </cols>
  <sheetData>
    <row r="1" spans="1:17" ht="60.75" customHeight="1">
      <c r="A1" s="962" t="s">
        <v>351</v>
      </c>
      <c r="B1" s="941"/>
      <c r="C1" s="942"/>
    </row>
    <row r="2" spans="1:17" s="946" customFormat="1" ht="27.75" customHeight="1">
      <c r="A2" s="973" t="s">
        <v>352</v>
      </c>
      <c r="B2" s="944" t="s">
        <v>353</v>
      </c>
      <c r="C2" s="945" t="s">
        <v>358</v>
      </c>
      <c r="E2" s="947">
        <v>1</v>
      </c>
      <c r="F2" s="947" t="s">
        <v>876</v>
      </c>
      <c r="G2" s="947">
        <v>2</v>
      </c>
      <c r="H2" s="947" t="s">
        <v>876</v>
      </c>
      <c r="I2" s="947">
        <v>3</v>
      </c>
      <c r="J2" s="947" t="s">
        <v>876</v>
      </c>
      <c r="K2" s="947">
        <v>4</v>
      </c>
      <c r="L2" s="947" t="s">
        <v>876</v>
      </c>
      <c r="M2" s="947">
        <v>5</v>
      </c>
      <c r="N2" s="947" t="s">
        <v>876</v>
      </c>
      <c r="O2" s="947">
        <v>6</v>
      </c>
      <c r="P2" s="947" t="s">
        <v>876</v>
      </c>
      <c r="Q2" s="948">
        <v>1</v>
      </c>
    </row>
    <row r="3" spans="1:17" s="946" customFormat="1" ht="27.75" customHeight="1">
      <c r="A3" s="973" t="s">
        <v>376</v>
      </c>
      <c r="B3" s="944" t="s">
        <v>377</v>
      </c>
      <c r="C3" s="945" t="s">
        <v>382</v>
      </c>
    </row>
    <row r="4" spans="1:17" ht="27.75" customHeight="1">
      <c r="A4" s="965">
        <f>MENU!Y6</f>
        <v>45006.364583333336</v>
      </c>
      <c r="B4" s="949" t="s">
        <v>268</v>
      </c>
      <c r="C4" s="950">
        <f t="shared" ref="C4:C45" si="0">IFERROR(VLOOKUP($B4,_XM_XT_THUCTE,9,0),"")</f>
        <v>0</v>
      </c>
      <c r="E4" s="943" t="b">
        <f t="shared" ref="E4:E35" si="1">ISNUMBER(C4)</f>
        <v>1</v>
      </c>
      <c r="F4" s="943" t="b">
        <f>ISNUMBER(#REF!)</f>
        <v>0</v>
      </c>
      <c r="G4" s="943" t="b">
        <f>ISNUMBER(#REF!)</f>
        <v>0</v>
      </c>
      <c r="H4" s="943" t="b">
        <f>ISNUMBER(#REF!)</f>
        <v>0</v>
      </c>
      <c r="I4" s="943" t="b">
        <f>ISNUMBER(#REF!)</f>
        <v>0</v>
      </c>
      <c r="J4" s="943" t="b">
        <f>ISNUMBER(#REF!)</f>
        <v>0</v>
      </c>
      <c r="K4" s="943" t="b">
        <f>ISNUMBER(#REF!)</f>
        <v>0</v>
      </c>
      <c r="L4" s="943" t="b">
        <f>ISNUMBER(#REF!)</f>
        <v>0</v>
      </c>
      <c r="M4" s="943" t="b">
        <f>ISNUMBER(#REF!)</f>
        <v>0</v>
      </c>
      <c r="N4" s="943" t="b">
        <f>ISNUMBER(#REF!)</f>
        <v>0</v>
      </c>
      <c r="O4" s="943" t="b">
        <f>ISNUMBER(#REF!)</f>
        <v>0</v>
      </c>
      <c r="P4" s="943" t="b">
        <f>ISNUMBER(#REF!)</f>
        <v>0</v>
      </c>
      <c r="Q4" s="951" t="str">
        <f t="shared" ref="Q4:Q19" si="2">IF(E4=TRUE,"",1)</f>
        <v/>
      </c>
    </row>
    <row r="5" spans="1:17" ht="27.75" customHeight="1">
      <c r="A5" s="968">
        <f>$A$4</f>
        <v>45006.364583333336</v>
      </c>
      <c r="B5" s="949" t="s">
        <v>269</v>
      </c>
      <c r="C5" s="950">
        <f t="shared" si="0"/>
        <v>0</v>
      </c>
      <c r="E5" s="943" t="b">
        <f t="shared" si="1"/>
        <v>1</v>
      </c>
      <c r="F5" s="943" t="b">
        <f>ISNUMBER(#REF!)</f>
        <v>0</v>
      </c>
      <c r="G5" s="943" t="b">
        <f>ISNUMBER(#REF!)</f>
        <v>0</v>
      </c>
      <c r="H5" s="943" t="b">
        <f>ISNUMBER(#REF!)</f>
        <v>0</v>
      </c>
      <c r="I5" s="943" t="b">
        <f>ISNUMBER(#REF!)</f>
        <v>0</v>
      </c>
      <c r="J5" s="943" t="b">
        <f>ISNUMBER(#REF!)</f>
        <v>0</v>
      </c>
      <c r="K5" s="943" t="b">
        <f>ISNUMBER(#REF!)</f>
        <v>0</v>
      </c>
      <c r="L5" s="943" t="b">
        <f>ISNUMBER(#REF!)</f>
        <v>0</v>
      </c>
      <c r="M5" s="943" t="b">
        <f>ISNUMBER(#REF!)</f>
        <v>0</v>
      </c>
      <c r="N5" s="943" t="b">
        <f>ISNUMBER(#REF!)</f>
        <v>0</v>
      </c>
      <c r="O5" s="943" t="b">
        <f>ISNUMBER(#REF!)</f>
        <v>0</v>
      </c>
      <c r="P5" s="943" t="b">
        <f>ISNUMBER(#REF!)</f>
        <v>0</v>
      </c>
      <c r="Q5" s="951" t="str">
        <f t="shared" si="2"/>
        <v/>
      </c>
    </row>
    <row r="6" spans="1:17" ht="27.75" customHeight="1">
      <c r="A6" s="968">
        <f t="shared" ref="A6:A69" si="3">$A$4</f>
        <v>45006.364583333336</v>
      </c>
      <c r="B6" s="949" t="s">
        <v>270</v>
      </c>
      <c r="C6" s="950">
        <f t="shared" si="0"/>
        <v>0</v>
      </c>
      <c r="E6" s="943" t="b">
        <f t="shared" si="1"/>
        <v>1</v>
      </c>
      <c r="F6" s="943" t="b">
        <f>ISNUMBER(#REF!)</f>
        <v>0</v>
      </c>
      <c r="G6" s="943" t="b">
        <f>ISNUMBER(#REF!)</f>
        <v>0</v>
      </c>
      <c r="H6" s="943" t="b">
        <f>ISNUMBER(#REF!)</f>
        <v>0</v>
      </c>
      <c r="I6" s="943" t="b">
        <f>ISNUMBER(#REF!)</f>
        <v>0</v>
      </c>
      <c r="J6" s="943" t="b">
        <f>ISNUMBER(#REF!)</f>
        <v>0</v>
      </c>
      <c r="K6" s="943" t="b">
        <f>ISNUMBER(#REF!)</f>
        <v>0</v>
      </c>
      <c r="L6" s="943" t="b">
        <f>ISNUMBER(#REF!)</f>
        <v>0</v>
      </c>
      <c r="M6" s="943" t="b">
        <f>ISNUMBER(#REF!)</f>
        <v>0</v>
      </c>
      <c r="N6" s="943" t="b">
        <f>ISNUMBER(#REF!)</f>
        <v>0</v>
      </c>
      <c r="O6" s="943" t="b">
        <f>ISNUMBER(#REF!)</f>
        <v>0</v>
      </c>
      <c r="P6" s="943" t="b">
        <f>ISNUMBER(#REF!)</f>
        <v>0</v>
      </c>
      <c r="Q6" s="951" t="str">
        <f t="shared" si="2"/>
        <v/>
      </c>
    </row>
    <row r="7" spans="1:17" ht="27.75" customHeight="1">
      <c r="A7" s="968">
        <f t="shared" si="3"/>
        <v>45006.364583333336</v>
      </c>
      <c r="B7" s="949" t="s">
        <v>271</v>
      </c>
      <c r="C7" s="950">
        <f t="shared" si="0"/>
        <v>0</v>
      </c>
      <c r="E7" s="943" t="b">
        <f t="shared" si="1"/>
        <v>1</v>
      </c>
      <c r="F7" s="943" t="b">
        <f>ISNUMBER(#REF!)</f>
        <v>0</v>
      </c>
      <c r="G7" s="943" t="b">
        <f>ISNUMBER(#REF!)</f>
        <v>0</v>
      </c>
      <c r="H7" s="943" t="b">
        <f>ISNUMBER(#REF!)</f>
        <v>0</v>
      </c>
      <c r="I7" s="943" t="b">
        <f>ISNUMBER(#REF!)</f>
        <v>0</v>
      </c>
      <c r="J7" s="943" t="b">
        <f>ISNUMBER(#REF!)</f>
        <v>0</v>
      </c>
      <c r="K7" s="943" t="b">
        <f>ISNUMBER(#REF!)</f>
        <v>0</v>
      </c>
      <c r="L7" s="943" t="b">
        <f>ISNUMBER(#REF!)</f>
        <v>0</v>
      </c>
      <c r="M7" s="943" t="b">
        <f>ISNUMBER(#REF!)</f>
        <v>0</v>
      </c>
      <c r="N7" s="943" t="b">
        <f>ISNUMBER(#REF!)</f>
        <v>0</v>
      </c>
      <c r="O7" s="943" t="b">
        <f>ISNUMBER(#REF!)</f>
        <v>0</v>
      </c>
      <c r="P7" s="943" t="b">
        <f>ISNUMBER(#REF!)</f>
        <v>0</v>
      </c>
      <c r="Q7" s="951" t="str">
        <f t="shared" si="2"/>
        <v/>
      </c>
    </row>
    <row r="8" spans="1:17" ht="27.75" customHeight="1">
      <c r="A8" s="968">
        <f t="shared" si="3"/>
        <v>45006.364583333336</v>
      </c>
      <c r="B8" s="949" t="s">
        <v>272</v>
      </c>
      <c r="C8" s="950">
        <f t="shared" si="0"/>
        <v>0</v>
      </c>
      <c r="E8" s="943" t="b">
        <f t="shared" si="1"/>
        <v>1</v>
      </c>
      <c r="F8" s="943" t="b">
        <f>ISNUMBER(#REF!)</f>
        <v>0</v>
      </c>
      <c r="G8" s="943" t="b">
        <f>ISNUMBER(#REF!)</f>
        <v>0</v>
      </c>
      <c r="H8" s="943" t="b">
        <f>ISNUMBER(#REF!)</f>
        <v>0</v>
      </c>
      <c r="I8" s="943" t="b">
        <f>ISNUMBER(#REF!)</f>
        <v>0</v>
      </c>
      <c r="J8" s="943" t="b">
        <f>ISNUMBER(#REF!)</f>
        <v>0</v>
      </c>
      <c r="K8" s="943" t="b">
        <f>ISNUMBER(#REF!)</f>
        <v>0</v>
      </c>
      <c r="L8" s="943" t="b">
        <f>ISNUMBER(#REF!)</f>
        <v>0</v>
      </c>
      <c r="M8" s="943" t="b">
        <f>ISNUMBER(#REF!)</f>
        <v>0</v>
      </c>
      <c r="N8" s="943" t="b">
        <f>ISNUMBER(#REF!)</f>
        <v>0</v>
      </c>
      <c r="O8" s="943" t="b">
        <f>ISNUMBER(#REF!)</f>
        <v>0</v>
      </c>
      <c r="P8" s="943" t="b">
        <f>ISNUMBER(#REF!)</f>
        <v>0</v>
      </c>
      <c r="Q8" s="951" t="str">
        <f t="shared" si="2"/>
        <v/>
      </c>
    </row>
    <row r="9" spans="1:17" ht="27.75" customHeight="1">
      <c r="A9" s="968">
        <f t="shared" si="3"/>
        <v>45006.364583333336</v>
      </c>
      <c r="B9" s="949" t="s">
        <v>273</v>
      </c>
      <c r="C9" s="950">
        <f t="shared" si="0"/>
        <v>0</v>
      </c>
      <c r="E9" s="943" t="b">
        <f t="shared" si="1"/>
        <v>1</v>
      </c>
      <c r="F9" s="943" t="b">
        <f>ISNUMBER(#REF!)</f>
        <v>0</v>
      </c>
      <c r="G9" s="943" t="b">
        <f>ISNUMBER(#REF!)</f>
        <v>0</v>
      </c>
      <c r="H9" s="943" t="b">
        <f>ISNUMBER(#REF!)</f>
        <v>0</v>
      </c>
      <c r="I9" s="943" t="b">
        <f>ISNUMBER(#REF!)</f>
        <v>0</v>
      </c>
      <c r="J9" s="943" t="b">
        <f>ISNUMBER(#REF!)</f>
        <v>0</v>
      </c>
      <c r="K9" s="943" t="b">
        <f>ISNUMBER(#REF!)</f>
        <v>0</v>
      </c>
      <c r="L9" s="943" t="b">
        <f>ISNUMBER(#REF!)</f>
        <v>0</v>
      </c>
      <c r="M9" s="943" t="b">
        <f>ISNUMBER(#REF!)</f>
        <v>0</v>
      </c>
      <c r="N9" s="943" t="b">
        <f>ISNUMBER(#REF!)</f>
        <v>0</v>
      </c>
      <c r="O9" s="943" t="b">
        <f>ISNUMBER(#REF!)</f>
        <v>0</v>
      </c>
      <c r="P9" s="943" t="b">
        <f>ISNUMBER(#REF!)</f>
        <v>0</v>
      </c>
      <c r="Q9" s="951" t="str">
        <f t="shared" si="2"/>
        <v/>
      </c>
    </row>
    <row r="10" spans="1:17" ht="27.75" customHeight="1">
      <c r="A10" s="968">
        <f t="shared" si="3"/>
        <v>45006.364583333336</v>
      </c>
      <c r="B10" s="949" t="s">
        <v>279</v>
      </c>
      <c r="C10" s="950">
        <f t="shared" si="0"/>
        <v>0</v>
      </c>
      <c r="E10" s="943" t="b">
        <f t="shared" si="1"/>
        <v>1</v>
      </c>
      <c r="F10" s="943" t="b">
        <f>ISNUMBER(#REF!)</f>
        <v>0</v>
      </c>
      <c r="G10" s="943" t="b">
        <f>ISNUMBER(#REF!)</f>
        <v>0</v>
      </c>
      <c r="H10" s="943" t="b">
        <f>ISNUMBER(#REF!)</f>
        <v>0</v>
      </c>
      <c r="I10" s="943" t="b">
        <f>ISNUMBER(#REF!)</f>
        <v>0</v>
      </c>
      <c r="J10" s="943" t="b">
        <f>ISNUMBER(#REF!)</f>
        <v>0</v>
      </c>
      <c r="K10" s="943" t="b">
        <f>ISNUMBER(#REF!)</f>
        <v>0</v>
      </c>
      <c r="L10" s="943" t="b">
        <f>ISNUMBER(#REF!)</f>
        <v>0</v>
      </c>
      <c r="M10" s="943" t="b">
        <f>ISNUMBER(#REF!)</f>
        <v>0</v>
      </c>
      <c r="N10" s="943" t="b">
        <f>ISNUMBER(#REF!)</f>
        <v>0</v>
      </c>
      <c r="O10" s="943" t="b">
        <f>ISNUMBER(#REF!)</f>
        <v>0</v>
      </c>
      <c r="P10" s="943" t="b">
        <f>ISNUMBER(#REF!)</f>
        <v>0</v>
      </c>
      <c r="Q10" s="951" t="str">
        <f t="shared" si="2"/>
        <v/>
      </c>
    </row>
    <row r="11" spans="1:17" ht="27.75" customHeight="1">
      <c r="A11" s="968">
        <f t="shared" si="3"/>
        <v>45006.364583333336</v>
      </c>
      <c r="B11" s="949" t="s">
        <v>281</v>
      </c>
      <c r="C11" s="950">
        <f t="shared" si="0"/>
        <v>0</v>
      </c>
      <c r="E11" s="943" t="b">
        <f t="shared" si="1"/>
        <v>1</v>
      </c>
      <c r="F11" s="943" t="b">
        <f>ISNUMBER(#REF!)</f>
        <v>0</v>
      </c>
      <c r="G11" s="943" t="b">
        <f>ISNUMBER(#REF!)</f>
        <v>0</v>
      </c>
      <c r="H11" s="943" t="b">
        <f>ISNUMBER(#REF!)</f>
        <v>0</v>
      </c>
      <c r="I11" s="943" t="b">
        <f>ISNUMBER(#REF!)</f>
        <v>0</v>
      </c>
      <c r="J11" s="943" t="b">
        <f>ISNUMBER(#REF!)</f>
        <v>0</v>
      </c>
      <c r="K11" s="943" t="b">
        <f>ISNUMBER(#REF!)</f>
        <v>0</v>
      </c>
      <c r="L11" s="943" t="b">
        <f>ISNUMBER(#REF!)</f>
        <v>0</v>
      </c>
      <c r="M11" s="943" t="b">
        <f>ISNUMBER(#REF!)</f>
        <v>0</v>
      </c>
      <c r="N11" s="943" t="b">
        <f>ISNUMBER(#REF!)</f>
        <v>0</v>
      </c>
      <c r="O11" s="943" t="b">
        <f>ISNUMBER(#REF!)</f>
        <v>0</v>
      </c>
      <c r="P11" s="943" t="b">
        <f>ISNUMBER(#REF!)</f>
        <v>0</v>
      </c>
      <c r="Q11" s="951" t="str">
        <f t="shared" si="2"/>
        <v/>
      </c>
    </row>
    <row r="12" spans="1:17" ht="27.75" customHeight="1">
      <c r="A12" s="968">
        <f t="shared" si="3"/>
        <v>45006.364583333336</v>
      </c>
      <c r="B12" s="949" t="s">
        <v>274</v>
      </c>
      <c r="C12" s="950">
        <f t="shared" si="0"/>
        <v>0</v>
      </c>
      <c r="E12" s="943" t="b">
        <f t="shared" si="1"/>
        <v>1</v>
      </c>
      <c r="F12" s="943" t="b">
        <f>ISNUMBER(#REF!)</f>
        <v>0</v>
      </c>
      <c r="G12" s="943" t="b">
        <f>ISNUMBER(#REF!)</f>
        <v>0</v>
      </c>
      <c r="H12" s="943" t="b">
        <f>ISNUMBER(#REF!)</f>
        <v>0</v>
      </c>
      <c r="I12" s="943" t="b">
        <f>ISNUMBER(#REF!)</f>
        <v>0</v>
      </c>
      <c r="J12" s="943" t="b">
        <f>ISNUMBER(#REF!)</f>
        <v>0</v>
      </c>
      <c r="K12" s="943" t="b">
        <f>ISNUMBER(#REF!)</f>
        <v>0</v>
      </c>
      <c r="L12" s="943" t="b">
        <f>ISNUMBER(#REF!)</f>
        <v>0</v>
      </c>
      <c r="M12" s="943" t="b">
        <f>ISNUMBER(#REF!)</f>
        <v>0</v>
      </c>
      <c r="N12" s="943" t="b">
        <f>ISNUMBER(#REF!)</f>
        <v>0</v>
      </c>
      <c r="O12" s="943" t="b">
        <f>ISNUMBER(#REF!)</f>
        <v>0</v>
      </c>
      <c r="P12" s="943" t="b">
        <f>ISNUMBER(#REF!)</f>
        <v>0</v>
      </c>
      <c r="Q12" s="951" t="str">
        <f t="shared" si="2"/>
        <v/>
      </c>
    </row>
    <row r="13" spans="1:17" ht="27.75" customHeight="1">
      <c r="A13" s="968">
        <f t="shared" si="3"/>
        <v>45006.364583333336</v>
      </c>
      <c r="B13" s="949" t="s">
        <v>275</v>
      </c>
      <c r="C13" s="950">
        <f t="shared" si="0"/>
        <v>0</v>
      </c>
      <c r="E13" s="943" t="b">
        <f t="shared" si="1"/>
        <v>1</v>
      </c>
      <c r="F13" s="943" t="b">
        <f>ISNUMBER(#REF!)</f>
        <v>0</v>
      </c>
      <c r="G13" s="943" t="b">
        <f>ISNUMBER(#REF!)</f>
        <v>0</v>
      </c>
      <c r="H13" s="943" t="b">
        <f>ISNUMBER(#REF!)</f>
        <v>0</v>
      </c>
      <c r="I13" s="943" t="b">
        <f>ISNUMBER(#REF!)</f>
        <v>0</v>
      </c>
      <c r="J13" s="943" t="b">
        <f>ISNUMBER(#REF!)</f>
        <v>0</v>
      </c>
      <c r="K13" s="943" t="b">
        <f>ISNUMBER(#REF!)</f>
        <v>0</v>
      </c>
      <c r="L13" s="943" t="b">
        <f>ISNUMBER(#REF!)</f>
        <v>0</v>
      </c>
      <c r="M13" s="943" t="b">
        <f>ISNUMBER(#REF!)</f>
        <v>0</v>
      </c>
      <c r="N13" s="943" t="b">
        <f>ISNUMBER(#REF!)</f>
        <v>0</v>
      </c>
      <c r="O13" s="943" t="b">
        <f>ISNUMBER(#REF!)</f>
        <v>0</v>
      </c>
      <c r="P13" s="943" t="b">
        <f>ISNUMBER(#REF!)</f>
        <v>0</v>
      </c>
      <c r="Q13" s="951" t="str">
        <f t="shared" si="2"/>
        <v/>
      </c>
    </row>
    <row r="14" spans="1:17" ht="27.75" customHeight="1">
      <c r="A14" s="968">
        <f t="shared" si="3"/>
        <v>45006.364583333336</v>
      </c>
      <c r="B14" s="949" t="s">
        <v>276</v>
      </c>
      <c r="C14" s="950">
        <f t="shared" si="0"/>
        <v>0</v>
      </c>
      <c r="E14" s="943" t="b">
        <f t="shared" si="1"/>
        <v>1</v>
      </c>
      <c r="F14" s="943" t="b">
        <f>ISNUMBER(#REF!)</f>
        <v>0</v>
      </c>
      <c r="G14" s="943" t="b">
        <f>ISNUMBER(#REF!)</f>
        <v>0</v>
      </c>
      <c r="H14" s="943" t="b">
        <f>ISNUMBER(#REF!)</f>
        <v>0</v>
      </c>
      <c r="I14" s="943" t="b">
        <f>ISNUMBER(#REF!)</f>
        <v>0</v>
      </c>
      <c r="J14" s="943" t="b">
        <f>ISNUMBER(#REF!)</f>
        <v>0</v>
      </c>
      <c r="K14" s="943" t="b">
        <f>ISNUMBER(#REF!)</f>
        <v>0</v>
      </c>
      <c r="L14" s="943" t="b">
        <f>ISNUMBER(#REF!)</f>
        <v>0</v>
      </c>
      <c r="M14" s="943" t="b">
        <f>ISNUMBER(#REF!)</f>
        <v>0</v>
      </c>
      <c r="N14" s="943" t="b">
        <f>ISNUMBER(#REF!)</f>
        <v>0</v>
      </c>
      <c r="O14" s="943" t="b">
        <f>ISNUMBER(#REF!)</f>
        <v>0</v>
      </c>
      <c r="P14" s="943" t="b">
        <f>ISNUMBER(#REF!)</f>
        <v>0</v>
      </c>
      <c r="Q14" s="951" t="str">
        <f t="shared" si="2"/>
        <v/>
      </c>
    </row>
    <row r="15" spans="1:17" ht="27.75" customHeight="1">
      <c r="A15" s="968">
        <f t="shared" si="3"/>
        <v>45006.364583333336</v>
      </c>
      <c r="B15" s="949" t="s">
        <v>277</v>
      </c>
      <c r="C15" s="950">
        <f t="shared" si="0"/>
        <v>0</v>
      </c>
      <c r="E15" s="943" t="b">
        <f t="shared" si="1"/>
        <v>1</v>
      </c>
      <c r="F15" s="943" t="b">
        <f>ISNUMBER(#REF!)</f>
        <v>0</v>
      </c>
      <c r="G15" s="943" t="b">
        <f>ISNUMBER(#REF!)</f>
        <v>0</v>
      </c>
      <c r="H15" s="943" t="b">
        <f>ISNUMBER(#REF!)</f>
        <v>0</v>
      </c>
      <c r="I15" s="943" t="b">
        <f>ISNUMBER(#REF!)</f>
        <v>0</v>
      </c>
      <c r="J15" s="943" t="b">
        <f>ISNUMBER(#REF!)</f>
        <v>0</v>
      </c>
      <c r="K15" s="943" t="b">
        <f>ISNUMBER(#REF!)</f>
        <v>0</v>
      </c>
      <c r="L15" s="943" t="b">
        <f>ISNUMBER(#REF!)</f>
        <v>0</v>
      </c>
      <c r="M15" s="943" t="b">
        <f>ISNUMBER(#REF!)</f>
        <v>0</v>
      </c>
      <c r="N15" s="943" t="b">
        <f>ISNUMBER(#REF!)</f>
        <v>0</v>
      </c>
      <c r="O15" s="943" t="b">
        <f>ISNUMBER(#REF!)</f>
        <v>0</v>
      </c>
      <c r="P15" s="943" t="b">
        <f>ISNUMBER(#REF!)</f>
        <v>0</v>
      </c>
      <c r="Q15" s="951" t="str">
        <f t="shared" si="2"/>
        <v/>
      </c>
    </row>
    <row r="16" spans="1:17" ht="27.75" customHeight="1">
      <c r="A16" s="968">
        <f t="shared" si="3"/>
        <v>45006.364583333336</v>
      </c>
      <c r="B16" s="949" t="s">
        <v>289</v>
      </c>
      <c r="C16" s="950">
        <f t="shared" si="0"/>
        <v>0</v>
      </c>
      <c r="E16" s="943" t="b">
        <f t="shared" si="1"/>
        <v>1</v>
      </c>
      <c r="F16" s="943" t="b">
        <f>ISNUMBER(#REF!)</f>
        <v>0</v>
      </c>
      <c r="G16" s="943" t="b">
        <f>ISNUMBER(#REF!)</f>
        <v>0</v>
      </c>
      <c r="H16" s="943" t="b">
        <f>ISNUMBER(#REF!)</f>
        <v>0</v>
      </c>
      <c r="I16" s="943" t="b">
        <f>ISNUMBER(#REF!)</f>
        <v>0</v>
      </c>
      <c r="J16" s="943" t="b">
        <f>ISNUMBER(#REF!)</f>
        <v>0</v>
      </c>
      <c r="K16" s="943" t="b">
        <f>ISNUMBER(#REF!)</f>
        <v>0</v>
      </c>
      <c r="L16" s="943" t="b">
        <f>ISNUMBER(#REF!)</f>
        <v>0</v>
      </c>
      <c r="M16" s="943" t="b">
        <f>ISNUMBER(#REF!)</f>
        <v>0</v>
      </c>
      <c r="N16" s="943" t="b">
        <f>ISNUMBER(#REF!)</f>
        <v>0</v>
      </c>
      <c r="O16" s="943" t="b">
        <f>ISNUMBER(#REF!)</f>
        <v>0</v>
      </c>
      <c r="P16" s="943" t="b">
        <f>ISNUMBER(#REF!)</f>
        <v>0</v>
      </c>
      <c r="Q16" s="951" t="str">
        <f t="shared" si="2"/>
        <v/>
      </c>
    </row>
    <row r="17" spans="1:17" ht="27.75" customHeight="1">
      <c r="A17" s="968">
        <f t="shared" si="3"/>
        <v>45006.364583333336</v>
      </c>
      <c r="B17" s="949" t="s">
        <v>290</v>
      </c>
      <c r="C17" s="950">
        <f t="shared" si="0"/>
        <v>0</v>
      </c>
      <c r="E17" s="943" t="b">
        <f t="shared" si="1"/>
        <v>1</v>
      </c>
      <c r="F17" s="943" t="b">
        <f>ISNUMBER(#REF!)</f>
        <v>0</v>
      </c>
      <c r="G17" s="943" t="b">
        <f>ISNUMBER(#REF!)</f>
        <v>0</v>
      </c>
      <c r="H17" s="943" t="b">
        <f>ISNUMBER(#REF!)</f>
        <v>0</v>
      </c>
      <c r="I17" s="943" t="b">
        <f>ISNUMBER(#REF!)</f>
        <v>0</v>
      </c>
      <c r="J17" s="943" t="b">
        <f>ISNUMBER(#REF!)</f>
        <v>0</v>
      </c>
      <c r="K17" s="943" t="b">
        <f>ISNUMBER(#REF!)</f>
        <v>0</v>
      </c>
      <c r="L17" s="943" t="b">
        <f>ISNUMBER(#REF!)</f>
        <v>0</v>
      </c>
      <c r="M17" s="943" t="b">
        <f>ISNUMBER(#REF!)</f>
        <v>0</v>
      </c>
      <c r="N17" s="943" t="b">
        <f>ISNUMBER(#REF!)</f>
        <v>0</v>
      </c>
      <c r="O17" s="943" t="b">
        <f>ISNUMBER(#REF!)</f>
        <v>0</v>
      </c>
      <c r="P17" s="943" t="b">
        <f>ISNUMBER(#REF!)</f>
        <v>0</v>
      </c>
      <c r="Q17" s="951" t="str">
        <f t="shared" si="2"/>
        <v/>
      </c>
    </row>
    <row r="18" spans="1:17" ht="27.75" customHeight="1">
      <c r="A18" s="968">
        <f t="shared" si="3"/>
        <v>45006.364583333336</v>
      </c>
      <c r="B18" s="949" t="s">
        <v>291</v>
      </c>
      <c r="C18" s="950">
        <f t="shared" si="0"/>
        <v>0</v>
      </c>
      <c r="E18" s="943" t="b">
        <f t="shared" si="1"/>
        <v>1</v>
      </c>
      <c r="F18" s="943" t="b">
        <f>ISNUMBER(#REF!)</f>
        <v>0</v>
      </c>
      <c r="G18" s="943" t="b">
        <f>ISNUMBER(#REF!)</f>
        <v>0</v>
      </c>
      <c r="H18" s="943" t="b">
        <f>ISNUMBER(#REF!)</f>
        <v>0</v>
      </c>
      <c r="I18" s="943" t="b">
        <f>ISNUMBER(#REF!)</f>
        <v>0</v>
      </c>
      <c r="J18" s="943" t="b">
        <f>ISNUMBER(#REF!)</f>
        <v>0</v>
      </c>
      <c r="K18" s="943" t="b">
        <f>ISNUMBER(#REF!)</f>
        <v>0</v>
      </c>
      <c r="L18" s="943" t="b">
        <f>ISNUMBER(#REF!)</f>
        <v>0</v>
      </c>
      <c r="M18" s="943" t="b">
        <f>ISNUMBER(#REF!)</f>
        <v>0</v>
      </c>
      <c r="N18" s="943" t="b">
        <f>ISNUMBER(#REF!)</f>
        <v>0</v>
      </c>
      <c r="O18" s="943" t="b">
        <f>ISNUMBER(#REF!)</f>
        <v>0</v>
      </c>
      <c r="P18" s="943" t="b">
        <f>ISNUMBER(#REF!)</f>
        <v>0</v>
      </c>
      <c r="Q18" s="951" t="str">
        <f t="shared" si="2"/>
        <v/>
      </c>
    </row>
    <row r="19" spans="1:17" ht="27.75" customHeight="1">
      <c r="A19" s="968">
        <f t="shared" si="3"/>
        <v>45006.364583333336</v>
      </c>
      <c r="B19" s="949" t="s">
        <v>292</v>
      </c>
      <c r="C19" s="950">
        <f t="shared" si="0"/>
        <v>0</v>
      </c>
      <c r="E19" s="943" t="b">
        <f t="shared" si="1"/>
        <v>1</v>
      </c>
      <c r="F19" s="943" t="b">
        <f>ISNUMBER(#REF!)</f>
        <v>0</v>
      </c>
      <c r="G19" s="943" t="b">
        <f>ISNUMBER(#REF!)</f>
        <v>0</v>
      </c>
      <c r="H19" s="943" t="b">
        <f>ISNUMBER(#REF!)</f>
        <v>0</v>
      </c>
      <c r="I19" s="943" t="b">
        <f>ISNUMBER(#REF!)</f>
        <v>0</v>
      </c>
      <c r="J19" s="943" t="b">
        <f>ISNUMBER(#REF!)</f>
        <v>0</v>
      </c>
      <c r="K19" s="943" t="b">
        <f>ISNUMBER(#REF!)</f>
        <v>0</v>
      </c>
      <c r="L19" s="943" t="b">
        <f>ISNUMBER(#REF!)</f>
        <v>0</v>
      </c>
      <c r="M19" s="943" t="b">
        <f>ISNUMBER(#REF!)</f>
        <v>0</v>
      </c>
      <c r="N19" s="943" t="b">
        <f>ISNUMBER(#REF!)</f>
        <v>0</v>
      </c>
      <c r="O19" s="943" t="b">
        <f>ISNUMBER(#REF!)</f>
        <v>0</v>
      </c>
      <c r="P19" s="943" t="b">
        <f>ISNUMBER(#REF!)</f>
        <v>0</v>
      </c>
      <c r="Q19" s="951" t="str">
        <f t="shared" si="2"/>
        <v/>
      </c>
    </row>
    <row r="20" spans="1:17" ht="27.75" customHeight="1">
      <c r="A20" s="968">
        <f t="shared" si="3"/>
        <v>45006.364583333336</v>
      </c>
      <c r="B20" s="949" t="s">
        <v>293</v>
      </c>
      <c r="C20" s="950">
        <f t="shared" si="0"/>
        <v>0</v>
      </c>
      <c r="E20" s="943" t="b">
        <f t="shared" si="1"/>
        <v>1</v>
      </c>
      <c r="F20" s="943" t="b">
        <f>ISNUMBER(#REF!)</f>
        <v>0</v>
      </c>
      <c r="G20" s="943" t="b">
        <f>ISNUMBER(#REF!)</f>
        <v>0</v>
      </c>
      <c r="H20" s="943" t="b">
        <f>ISNUMBER(#REF!)</f>
        <v>0</v>
      </c>
      <c r="I20" s="943" t="b">
        <f>ISNUMBER(#REF!)</f>
        <v>0</v>
      </c>
      <c r="J20" s="943" t="b">
        <f>ISNUMBER(#REF!)</f>
        <v>0</v>
      </c>
      <c r="K20" s="943" t="b">
        <f>ISNUMBER(#REF!)</f>
        <v>0</v>
      </c>
      <c r="L20" s="943" t="b">
        <f>ISNUMBER(#REF!)</f>
        <v>0</v>
      </c>
      <c r="M20" s="943" t="b">
        <f>ISNUMBER(#REF!)</f>
        <v>0</v>
      </c>
      <c r="N20" s="943" t="b">
        <f>ISNUMBER(#REF!)</f>
        <v>0</v>
      </c>
      <c r="O20" s="943" t="b">
        <f>ISNUMBER(#REF!)</f>
        <v>0</v>
      </c>
      <c r="P20" s="943" t="b">
        <f>ISNUMBER(#REF!)</f>
        <v>0</v>
      </c>
      <c r="Q20" s="951" t="str">
        <f t="shared" ref="Q20:Q44" si="4">IF(E20=TRUE,"",1)</f>
        <v/>
      </c>
    </row>
    <row r="21" spans="1:17" ht="27.75" customHeight="1">
      <c r="A21" s="968">
        <f t="shared" si="3"/>
        <v>45006.364583333336</v>
      </c>
      <c r="B21" s="949" t="s">
        <v>294</v>
      </c>
      <c r="C21" s="950">
        <f t="shared" si="0"/>
        <v>0</v>
      </c>
      <c r="E21" s="943" t="b">
        <f t="shared" si="1"/>
        <v>1</v>
      </c>
      <c r="F21" s="943" t="b">
        <f>ISNUMBER(#REF!)</f>
        <v>0</v>
      </c>
      <c r="G21" s="943" t="b">
        <f>ISNUMBER(#REF!)</f>
        <v>0</v>
      </c>
      <c r="H21" s="943" t="b">
        <f>ISNUMBER(#REF!)</f>
        <v>0</v>
      </c>
      <c r="I21" s="943" t="b">
        <f>ISNUMBER(#REF!)</f>
        <v>0</v>
      </c>
      <c r="J21" s="943" t="b">
        <f>ISNUMBER(#REF!)</f>
        <v>0</v>
      </c>
      <c r="K21" s="943" t="b">
        <f>ISNUMBER(#REF!)</f>
        <v>0</v>
      </c>
      <c r="L21" s="943" t="b">
        <f>ISNUMBER(#REF!)</f>
        <v>0</v>
      </c>
      <c r="M21" s="943" t="b">
        <f>ISNUMBER(#REF!)</f>
        <v>0</v>
      </c>
      <c r="N21" s="943" t="b">
        <f>ISNUMBER(#REF!)</f>
        <v>0</v>
      </c>
      <c r="O21" s="943" t="b">
        <f>ISNUMBER(#REF!)</f>
        <v>0</v>
      </c>
      <c r="P21" s="943" t="b">
        <f>ISNUMBER(#REF!)</f>
        <v>0</v>
      </c>
      <c r="Q21" s="951" t="str">
        <f t="shared" si="4"/>
        <v/>
      </c>
    </row>
    <row r="22" spans="1:17" ht="27.75" customHeight="1">
      <c r="A22" s="968">
        <f t="shared" si="3"/>
        <v>45006.364583333336</v>
      </c>
      <c r="B22" s="949" t="s">
        <v>295</v>
      </c>
      <c r="C22" s="950">
        <f t="shared" si="0"/>
        <v>0</v>
      </c>
      <c r="E22" s="943" t="b">
        <f t="shared" si="1"/>
        <v>1</v>
      </c>
      <c r="F22" s="943" t="b">
        <f>ISNUMBER(#REF!)</f>
        <v>0</v>
      </c>
      <c r="G22" s="943" t="b">
        <f>ISNUMBER(#REF!)</f>
        <v>0</v>
      </c>
      <c r="H22" s="943" t="b">
        <f>ISNUMBER(#REF!)</f>
        <v>0</v>
      </c>
      <c r="I22" s="943" t="b">
        <f>ISNUMBER(#REF!)</f>
        <v>0</v>
      </c>
      <c r="J22" s="943" t="b">
        <f>ISNUMBER(#REF!)</f>
        <v>0</v>
      </c>
      <c r="K22" s="943" t="b">
        <f>ISNUMBER(#REF!)</f>
        <v>0</v>
      </c>
      <c r="L22" s="943" t="b">
        <f>ISNUMBER(#REF!)</f>
        <v>0</v>
      </c>
      <c r="M22" s="943" t="b">
        <f>ISNUMBER(#REF!)</f>
        <v>0</v>
      </c>
      <c r="N22" s="943" t="b">
        <f>ISNUMBER(#REF!)</f>
        <v>0</v>
      </c>
      <c r="O22" s="943" t="b">
        <f>ISNUMBER(#REF!)</f>
        <v>0</v>
      </c>
      <c r="P22" s="943" t="b">
        <f>ISNUMBER(#REF!)</f>
        <v>0</v>
      </c>
      <c r="Q22" s="951" t="str">
        <f t="shared" si="4"/>
        <v/>
      </c>
    </row>
    <row r="23" spans="1:17" ht="27.75" customHeight="1">
      <c r="A23" s="968">
        <f t="shared" si="3"/>
        <v>45006.364583333336</v>
      </c>
      <c r="B23" s="949" t="s">
        <v>296</v>
      </c>
      <c r="C23" s="950">
        <f t="shared" si="0"/>
        <v>0</v>
      </c>
      <c r="E23" s="943" t="b">
        <f t="shared" si="1"/>
        <v>1</v>
      </c>
      <c r="F23" s="943" t="b">
        <f>ISNUMBER(#REF!)</f>
        <v>0</v>
      </c>
      <c r="G23" s="943" t="b">
        <f>ISNUMBER(#REF!)</f>
        <v>0</v>
      </c>
      <c r="H23" s="943" t="b">
        <f>ISNUMBER(#REF!)</f>
        <v>0</v>
      </c>
      <c r="I23" s="943" t="b">
        <f>ISNUMBER(#REF!)</f>
        <v>0</v>
      </c>
      <c r="J23" s="943" t="b">
        <f>ISNUMBER(#REF!)</f>
        <v>0</v>
      </c>
      <c r="K23" s="943" t="b">
        <f>ISNUMBER(#REF!)</f>
        <v>0</v>
      </c>
      <c r="L23" s="943" t="b">
        <f>ISNUMBER(#REF!)</f>
        <v>0</v>
      </c>
      <c r="M23" s="943" t="b">
        <f>ISNUMBER(#REF!)</f>
        <v>0</v>
      </c>
      <c r="N23" s="943" t="b">
        <f>ISNUMBER(#REF!)</f>
        <v>0</v>
      </c>
      <c r="O23" s="943" t="b">
        <f>ISNUMBER(#REF!)</f>
        <v>0</v>
      </c>
      <c r="P23" s="943" t="b">
        <f>ISNUMBER(#REF!)</f>
        <v>0</v>
      </c>
      <c r="Q23" s="951" t="str">
        <f t="shared" si="4"/>
        <v/>
      </c>
    </row>
    <row r="24" spans="1:17" ht="27.75" customHeight="1">
      <c r="A24" s="968">
        <f t="shared" si="3"/>
        <v>45006.364583333336</v>
      </c>
      <c r="B24" s="949" t="s">
        <v>297</v>
      </c>
      <c r="C24" s="950">
        <f t="shared" si="0"/>
        <v>-1.0461</v>
      </c>
      <c r="E24" s="943" t="b">
        <f t="shared" si="1"/>
        <v>1</v>
      </c>
      <c r="F24" s="943" t="b">
        <f>ISNUMBER(#REF!)</f>
        <v>0</v>
      </c>
      <c r="G24" s="943" t="b">
        <f>ISNUMBER(#REF!)</f>
        <v>0</v>
      </c>
      <c r="H24" s="943" t="b">
        <f>ISNUMBER(#REF!)</f>
        <v>0</v>
      </c>
      <c r="I24" s="943" t="b">
        <f>ISNUMBER(#REF!)</f>
        <v>0</v>
      </c>
      <c r="J24" s="943" t="b">
        <f>ISNUMBER(#REF!)</f>
        <v>0</v>
      </c>
      <c r="K24" s="943" t="b">
        <f>ISNUMBER(#REF!)</f>
        <v>0</v>
      </c>
      <c r="L24" s="943" t="b">
        <f>ISNUMBER(#REF!)</f>
        <v>0</v>
      </c>
      <c r="M24" s="943" t="b">
        <f>ISNUMBER(#REF!)</f>
        <v>0</v>
      </c>
      <c r="N24" s="943" t="b">
        <f>ISNUMBER(#REF!)</f>
        <v>0</v>
      </c>
      <c r="O24" s="943" t="b">
        <f>ISNUMBER(#REF!)</f>
        <v>0</v>
      </c>
      <c r="P24" s="943" t="b">
        <f>ISNUMBER(#REF!)</f>
        <v>0</v>
      </c>
      <c r="Q24" s="951" t="str">
        <f t="shared" si="4"/>
        <v/>
      </c>
    </row>
    <row r="25" spans="1:17" ht="27.75" customHeight="1">
      <c r="A25" s="968">
        <f t="shared" si="3"/>
        <v>45006.364583333336</v>
      </c>
      <c r="B25" s="949" t="s">
        <v>298</v>
      </c>
      <c r="C25" s="950">
        <f t="shared" si="0"/>
        <v>0</v>
      </c>
      <c r="E25" s="943" t="b">
        <f t="shared" si="1"/>
        <v>1</v>
      </c>
      <c r="F25" s="943" t="b">
        <f>ISNUMBER(#REF!)</f>
        <v>0</v>
      </c>
      <c r="G25" s="943" t="b">
        <f>ISNUMBER(#REF!)</f>
        <v>0</v>
      </c>
      <c r="H25" s="943" t="b">
        <f>ISNUMBER(#REF!)</f>
        <v>0</v>
      </c>
      <c r="I25" s="943" t="b">
        <f>ISNUMBER(#REF!)</f>
        <v>0</v>
      </c>
      <c r="J25" s="943" t="b">
        <f>ISNUMBER(#REF!)</f>
        <v>0</v>
      </c>
      <c r="K25" s="943" t="b">
        <f>ISNUMBER(#REF!)</f>
        <v>0</v>
      </c>
      <c r="L25" s="943" t="b">
        <f>ISNUMBER(#REF!)</f>
        <v>0</v>
      </c>
      <c r="M25" s="943" t="b">
        <f>ISNUMBER(#REF!)</f>
        <v>0</v>
      </c>
      <c r="N25" s="943" t="b">
        <f>ISNUMBER(#REF!)</f>
        <v>0</v>
      </c>
      <c r="O25" s="943" t="b">
        <f>ISNUMBER(#REF!)</f>
        <v>0</v>
      </c>
      <c r="P25" s="943" t="b">
        <f>ISNUMBER(#REF!)</f>
        <v>0</v>
      </c>
      <c r="Q25" s="951" t="str">
        <f t="shared" si="4"/>
        <v/>
      </c>
    </row>
    <row r="26" spans="1:17" ht="27.75" customHeight="1">
      <c r="A26" s="968">
        <f t="shared" si="3"/>
        <v>45006.364583333336</v>
      </c>
      <c r="B26" s="949" t="s">
        <v>299</v>
      </c>
      <c r="C26" s="950">
        <f t="shared" si="0"/>
        <v>0</v>
      </c>
      <c r="E26" s="943" t="b">
        <f t="shared" si="1"/>
        <v>1</v>
      </c>
      <c r="F26" s="943" t="b">
        <f>ISNUMBER(#REF!)</f>
        <v>0</v>
      </c>
      <c r="G26" s="943" t="b">
        <f>ISNUMBER(#REF!)</f>
        <v>0</v>
      </c>
      <c r="H26" s="943" t="b">
        <f>ISNUMBER(#REF!)</f>
        <v>0</v>
      </c>
      <c r="I26" s="943" t="b">
        <f>ISNUMBER(#REF!)</f>
        <v>0</v>
      </c>
      <c r="J26" s="943" t="b">
        <f>ISNUMBER(#REF!)</f>
        <v>0</v>
      </c>
      <c r="K26" s="943" t="b">
        <f>ISNUMBER(#REF!)</f>
        <v>0</v>
      </c>
      <c r="L26" s="943" t="b">
        <f>ISNUMBER(#REF!)</f>
        <v>0</v>
      </c>
      <c r="M26" s="943" t="b">
        <f>ISNUMBER(#REF!)</f>
        <v>0</v>
      </c>
      <c r="N26" s="943" t="b">
        <f>ISNUMBER(#REF!)</f>
        <v>0</v>
      </c>
      <c r="O26" s="943" t="b">
        <f>ISNUMBER(#REF!)</f>
        <v>0</v>
      </c>
      <c r="P26" s="943" t="b">
        <f>ISNUMBER(#REF!)</f>
        <v>0</v>
      </c>
      <c r="Q26" s="951" t="str">
        <f t="shared" si="4"/>
        <v/>
      </c>
    </row>
    <row r="27" spans="1:17" ht="27.75" customHeight="1">
      <c r="A27" s="968">
        <f t="shared" si="3"/>
        <v>45006.364583333336</v>
      </c>
      <c r="B27" s="949" t="s">
        <v>300</v>
      </c>
      <c r="C27" s="950">
        <f t="shared" si="0"/>
        <v>0</v>
      </c>
      <c r="E27" s="943" t="b">
        <f t="shared" si="1"/>
        <v>1</v>
      </c>
      <c r="F27" s="943" t="b">
        <f>ISNUMBER(#REF!)</f>
        <v>0</v>
      </c>
      <c r="G27" s="943" t="b">
        <f>ISNUMBER(#REF!)</f>
        <v>0</v>
      </c>
      <c r="H27" s="943" t="b">
        <f>ISNUMBER(#REF!)</f>
        <v>0</v>
      </c>
      <c r="I27" s="943" t="b">
        <f>ISNUMBER(#REF!)</f>
        <v>0</v>
      </c>
      <c r="J27" s="943" t="b">
        <f>ISNUMBER(#REF!)</f>
        <v>0</v>
      </c>
      <c r="K27" s="943" t="b">
        <f>ISNUMBER(#REF!)</f>
        <v>0</v>
      </c>
      <c r="L27" s="943" t="b">
        <f>ISNUMBER(#REF!)</f>
        <v>0</v>
      </c>
      <c r="M27" s="943" t="b">
        <f>ISNUMBER(#REF!)</f>
        <v>0</v>
      </c>
      <c r="N27" s="943" t="b">
        <f>ISNUMBER(#REF!)</f>
        <v>0</v>
      </c>
      <c r="O27" s="943" t="b">
        <f>ISNUMBER(#REF!)</f>
        <v>0</v>
      </c>
      <c r="P27" s="943" t="b">
        <f>ISNUMBER(#REF!)</f>
        <v>0</v>
      </c>
      <c r="Q27" s="951" t="str">
        <f t="shared" si="4"/>
        <v/>
      </c>
    </row>
    <row r="28" spans="1:17" ht="27.75" customHeight="1">
      <c r="A28" s="968">
        <f t="shared" si="3"/>
        <v>45006.364583333336</v>
      </c>
      <c r="B28" s="949" t="s">
        <v>301</v>
      </c>
      <c r="C28" s="950">
        <f t="shared" si="0"/>
        <v>0</v>
      </c>
      <c r="E28" s="943" t="b">
        <f t="shared" si="1"/>
        <v>1</v>
      </c>
      <c r="F28" s="943" t="b">
        <f>ISNUMBER(#REF!)</f>
        <v>0</v>
      </c>
      <c r="G28" s="943" t="b">
        <f>ISNUMBER(#REF!)</f>
        <v>0</v>
      </c>
      <c r="H28" s="943" t="b">
        <f>ISNUMBER(#REF!)</f>
        <v>0</v>
      </c>
      <c r="I28" s="943" t="b">
        <f>ISNUMBER(#REF!)</f>
        <v>0</v>
      </c>
      <c r="J28" s="943" t="b">
        <f>ISNUMBER(#REF!)</f>
        <v>0</v>
      </c>
      <c r="K28" s="943" t="b">
        <f>ISNUMBER(#REF!)</f>
        <v>0</v>
      </c>
      <c r="L28" s="943" t="b">
        <f>ISNUMBER(#REF!)</f>
        <v>0</v>
      </c>
      <c r="M28" s="943" t="b">
        <f>ISNUMBER(#REF!)</f>
        <v>0</v>
      </c>
      <c r="N28" s="943" t="b">
        <f>ISNUMBER(#REF!)</f>
        <v>0</v>
      </c>
      <c r="O28" s="943" t="b">
        <f>ISNUMBER(#REF!)</f>
        <v>0</v>
      </c>
      <c r="P28" s="943" t="b">
        <f>ISNUMBER(#REF!)</f>
        <v>0</v>
      </c>
      <c r="Q28" s="951" t="str">
        <f t="shared" si="4"/>
        <v/>
      </c>
    </row>
    <row r="29" spans="1:17" ht="27.75" customHeight="1">
      <c r="A29" s="968">
        <f t="shared" si="3"/>
        <v>45006.364583333336</v>
      </c>
      <c r="B29" s="949" t="s">
        <v>302</v>
      </c>
      <c r="C29" s="950">
        <f t="shared" si="0"/>
        <v>0</v>
      </c>
      <c r="E29" s="943" t="b">
        <f t="shared" si="1"/>
        <v>1</v>
      </c>
      <c r="F29" s="943" t="b">
        <f>ISNUMBER(#REF!)</f>
        <v>0</v>
      </c>
      <c r="G29" s="943" t="b">
        <f>ISNUMBER(#REF!)</f>
        <v>0</v>
      </c>
      <c r="H29" s="943" t="b">
        <f>ISNUMBER(#REF!)</f>
        <v>0</v>
      </c>
      <c r="I29" s="943" t="b">
        <f>ISNUMBER(#REF!)</f>
        <v>0</v>
      </c>
      <c r="J29" s="943" t="b">
        <f>ISNUMBER(#REF!)</f>
        <v>0</v>
      </c>
      <c r="K29" s="943" t="b">
        <f>ISNUMBER(#REF!)</f>
        <v>0</v>
      </c>
      <c r="L29" s="943" t="b">
        <f>ISNUMBER(#REF!)</f>
        <v>0</v>
      </c>
      <c r="M29" s="943" t="b">
        <f>ISNUMBER(#REF!)</f>
        <v>0</v>
      </c>
      <c r="N29" s="943" t="b">
        <f>ISNUMBER(#REF!)</f>
        <v>0</v>
      </c>
      <c r="O29" s="943" t="b">
        <f>ISNUMBER(#REF!)</f>
        <v>0</v>
      </c>
      <c r="P29" s="943" t="b">
        <f>ISNUMBER(#REF!)</f>
        <v>0</v>
      </c>
      <c r="Q29" s="951" t="str">
        <f t="shared" si="4"/>
        <v/>
      </c>
    </row>
    <row r="30" spans="1:17" ht="27.75" customHeight="1">
      <c r="A30" s="968">
        <f t="shared" si="3"/>
        <v>45006.364583333336</v>
      </c>
      <c r="B30" s="949" t="s">
        <v>312</v>
      </c>
      <c r="C30" s="950">
        <f t="shared" si="0"/>
        <v>0</v>
      </c>
      <c r="E30" s="943" t="b">
        <f t="shared" si="1"/>
        <v>1</v>
      </c>
      <c r="F30" s="943" t="b">
        <f>ISNUMBER(#REF!)</f>
        <v>0</v>
      </c>
      <c r="G30" s="943" t="b">
        <f>ISNUMBER(#REF!)</f>
        <v>0</v>
      </c>
      <c r="H30" s="943" t="b">
        <f>ISNUMBER(#REF!)</f>
        <v>0</v>
      </c>
      <c r="I30" s="943" t="b">
        <f>ISNUMBER(#REF!)</f>
        <v>0</v>
      </c>
      <c r="J30" s="943" t="b">
        <f>ISNUMBER(#REF!)</f>
        <v>0</v>
      </c>
      <c r="K30" s="943" t="b">
        <f>ISNUMBER(#REF!)</f>
        <v>0</v>
      </c>
      <c r="L30" s="943" t="b">
        <f>ISNUMBER(#REF!)</f>
        <v>0</v>
      </c>
      <c r="M30" s="943" t="b">
        <f>ISNUMBER(#REF!)</f>
        <v>0</v>
      </c>
      <c r="N30" s="943" t="b">
        <f>ISNUMBER(#REF!)</f>
        <v>0</v>
      </c>
      <c r="O30" s="943" t="b">
        <f>ISNUMBER(#REF!)</f>
        <v>0</v>
      </c>
      <c r="P30" s="943" t="b">
        <f>ISNUMBER(#REF!)</f>
        <v>0</v>
      </c>
      <c r="Q30" s="951" t="str">
        <f t="shared" si="4"/>
        <v/>
      </c>
    </row>
    <row r="31" spans="1:17" ht="27.75" customHeight="1">
      <c r="A31" s="968">
        <f t="shared" si="3"/>
        <v>45006.364583333336</v>
      </c>
      <c r="B31" s="949" t="s">
        <v>313</v>
      </c>
      <c r="C31" s="950">
        <f t="shared" si="0"/>
        <v>0</v>
      </c>
      <c r="E31" s="943" t="b">
        <f t="shared" si="1"/>
        <v>1</v>
      </c>
      <c r="F31" s="943" t="b">
        <f>ISNUMBER(#REF!)</f>
        <v>0</v>
      </c>
      <c r="G31" s="943" t="b">
        <f>ISNUMBER(#REF!)</f>
        <v>0</v>
      </c>
      <c r="H31" s="943" t="b">
        <f>ISNUMBER(#REF!)</f>
        <v>0</v>
      </c>
      <c r="I31" s="943" t="b">
        <f>ISNUMBER(#REF!)</f>
        <v>0</v>
      </c>
      <c r="J31" s="943" t="b">
        <f>ISNUMBER(#REF!)</f>
        <v>0</v>
      </c>
      <c r="K31" s="943" t="b">
        <f>ISNUMBER(#REF!)</f>
        <v>0</v>
      </c>
      <c r="L31" s="943" t="b">
        <f>ISNUMBER(#REF!)</f>
        <v>0</v>
      </c>
      <c r="M31" s="943" t="b">
        <f>ISNUMBER(#REF!)</f>
        <v>0</v>
      </c>
      <c r="N31" s="943" t="b">
        <f>ISNUMBER(#REF!)</f>
        <v>0</v>
      </c>
      <c r="O31" s="943" t="b">
        <f>ISNUMBER(#REF!)</f>
        <v>0</v>
      </c>
      <c r="P31" s="943" t="b">
        <f>ISNUMBER(#REF!)</f>
        <v>0</v>
      </c>
      <c r="Q31" s="951" t="str">
        <f t="shared" si="4"/>
        <v/>
      </c>
    </row>
    <row r="32" spans="1:17" ht="27.75" customHeight="1">
      <c r="A32" s="968">
        <f t="shared" si="3"/>
        <v>45006.364583333336</v>
      </c>
      <c r="B32" s="949" t="s">
        <v>314</v>
      </c>
      <c r="C32" s="950">
        <f t="shared" si="0"/>
        <v>87.290499999999994</v>
      </c>
      <c r="E32" s="943" t="b">
        <f t="shared" si="1"/>
        <v>1</v>
      </c>
      <c r="F32" s="943" t="b">
        <f>ISNUMBER(#REF!)</f>
        <v>0</v>
      </c>
      <c r="G32" s="943" t="b">
        <f>ISNUMBER(#REF!)</f>
        <v>0</v>
      </c>
      <c r="H32" s="943" t="b">
        <f>ISNUMBER(#REF!)</f>
        <v>0</v>
      </c>
      <c r="I32" s="943" t="b">
        <f>ISNUMBER(#REF!)</f>
        <v>0</v>
      </c>
      <c r="J32" s="943" t="b">
        <f>ISNUMBER(#REF!)</f>
        <v>0</v>
      </c>
      <c r="K32" s="943" t="b">
        <f>ISNUMBER(#REF!)</f>
        <v>0</v>
      </c>
      <c r="L32" s="943" t="b">
        <f>ISNUMBER(#REF!)</f>
        <v>0</v>
      </c>
      <c r="M32" s="943" t="b">
        <f>ISNUMBER(#REF!)</f>
        <v>0</v>
      </c>
      <c r="N32" s="943" t="b">
        <f>ISNUMBER(#REF!)</f>
        <v>0</v>
      </c>
      <c r="O32" s="943" t="b">
        <f>ISNUMBER(#REF!)</f>
        <v>0</v>
      </c>
      <c r="P32" s="943" t="b">
        <f>ISNUMBER(#REF!)</f>
        <v>0</v>
      </c>
      <c r="Q32" s="951" t="str">
        <f t="shared" si="4"/>
        <v/>
      </c>
    </row>
    <row r="33" spans="1:17" ht="27.75" customHeight="1">
      <c r="A33" s="968">
        <f t="shared" si="3"/>
        <v>45006.364583333336</v>
      </c>
      <c r="B33" s="949" t="s">
        <v>315</v>
      </c>
      <c r="C33" s="950">
        <f t="shared" si="0"/>
        <v>0</v>
      </c>
      <c r="E33" s="943" t="b">
        <f t="shared" si="1"/>
        <v>1</v>
      </c>
      <c r="F33" s="943" t="b">
        <f>ISNUMBER(#REF!)</f>
        <v>0</v>
      </c>
      <c r="G33" s="943" t="b">
        <f>ISNUMBER(#REF!)</f>
        <v>0</v>
      </c>
      <c r="H33" s="943" t="b">
        <f>ISNUMBER(#REF!)</f>
        <v>0</v>
      </c>
      <c r="I33" s="943" t="b">
        <f>ISNUMBER(#REF!)</f>
        <v>0</v>
      </c>
      <c r="J33" s="943" t="b">
        <f>ISNUMBER(#REF!)</f>
        <v>0</v>
      </c>
      <c r="K33" s="943" t="b">
        <f>ISNUMBER(#REF!)</f>
        <v>0</v>
      </c>
      <c r="L33" s="943" t="b">
        <f>ISNUMBER(#REF!)</f>
        <v>0</v>
      </c>
      <c r="M33" s="943" t="b">
        <f>ISNUMBER(#REF!)</f>
        <v>0</v>
      </c>
      <c r="N33" s="943" t="b">
        <f>ISNUMBER(#REF!)</f>
        <v>0</v>
      </c>
      <c r="O33" s="943" t="b">
        <f>ISNUMBER(#REF!)</f>
        <v>0</v>
      </c>
      <c r="P33" s="943" t="b">
        <f>ISNUMBER(#REF!)</f>
        <v>0</v>
      </c>
      <c r="Q33" s="951" t="str">
        <f t="shared" si="4"/>
        <v/>
      </c>
    </row>
    <row r="34" spans="1:17" ht="27.75" customHeight="1">
      <c r="A34" s="968">
        <f t="shared" si="3"/>
        <v>45006.364583333336</v>
      </c>
      <c r="B34" s="949" t="s">
        <v>316</v>
      </c>
      <c r="C34" s="950">
        <f t="shared" si="0"/>
        <v>57.75</v>
      </c>
      <c r="E34" s="943" t="b">
        <f t="shared" si="1"/>
        <v>1</v>
      </c>
      <c r="F34" s="943" t="b">
        <f>ISNUMBER(#REF!)</f>
        <v>0</v>
      </c>
      <c r="G34" s="943" t="b">
        <f>ISNUMBER(#REF!)</f>
        <v>0</v>
      </c>
      <c r="H34" s="943" t="b">
        <f>ISNUMBER(#REF!)</f>
        <v>0</v>
      </c>
      <c r="I34" s="943" t="b">
        <f>ISNUMBER(#REF!)</f>
        <v>0</v>
      </c>
      <c r="J34" s="943" t="b">
        <f>ISNUMBER(#REF!)</f>
        <v>0</v>
      </c>
      <c r="K34" s="943" t="b">
        <f>ISNUMBER(#REF!)</f>
        <v>0</v>
      </c>
      <c r="L34" s="943" t="b">
        <f>ISNUMBER(#REF!)</f>
        <v>0</v>
      </c>
      <c r="M34" s="943" t="b">
        <f>ISNUMBER(#REF!)</f>
        <v>0</v>
      </c>
      <c r="N34" s="943" t="b">
        <f>ISNUMBER(#REF!)</f>
        <v>0</v>
      </c>
      <c r="O34" s="943" t="b">
        <f>ISNUMBER(#REF!)</f>
        <v>0</v>
      </c>
      <c r="P34" s="943" t="b">
        <f>ISNUMBER(#REF!)</f>
        <v>0</v>
      </c>
      <c r="Q34" s="951" t="str">
        <f t="shared" si="4"/>
        <v/>
      </c>
    </row>
    <row r="35" spans="1:17" ht="27.75" customHeight="1">
      <c r="A35" s="968">
        <f t="shared" si="3"/>
        <v>45006.364583333336</v>
      </c>
      <c r="B35" s="949" t="s">
        <v>317</v>
      </c>
      <c r="C35" s="950">
        <f t="shared" si="0"/>
        <v>0</v>
      </c>
      <c r="E35" s="943" t="b">
        <f t="shared" si="1"/>
        <v>1</v>
      </c>
      <c r="F35" s="943" t="b">
        <f>ISNUMBER(#REF!)</f>
        <v>0</v>
      </c>
      <c r="G35" s="943" t="b">
        <f>ISNUMBER(#REF!)</f>
        <v>0</v>
      </c>
      <c r="H35" s="943" t="b">
        <f>ISNUMBER(#REF!)</f>
        <v>0</v>
      </c>
      <c r="I35" s="943" t="b">
        <f>ISNUMBER(#REF!)</f>
        <v>0</v>
      </c>
      <c r="J35" s="943" t="b">
        <f>ISNUMBER(#REF!)</f>
        <v>0</v>
      </c>
      <c r="K35" s="943" t="b">
        <f>ISNUMBER(#REF!)</f>
        <v>0</v>
      </c>
      <c r="L35" s="943" t="b">
        <f>ISNUMBER(#REF!)</f>
        <v>0</v>
      </c>
      <c r="M35" s="943" t="b">
        <f>ISNUMBER(#REF!)</f>
        <v>0</v>
      </c>
      <c r="N35" s="943" t="b">
        <f>ISNUMBER(#REF!)</f>
        <v>0</v>
      </c>
      <c r="O35" s="943" t="b">
        <f>ISNUMBER(#REF!)</f>
        <v>0</v>
      </c>
      <c r="P35" s="943" t="b">
        <f>ISNUMBER(#REF!)</f>
        <v>0</v>
      </c>
      <c r="Q35" s="951" t="str">
        <f t="shared" si="4"/>
        <v/>
      </c>
    </row>
    <row r="36" spans="1:17" ht="27.75" customHeight="1">
      <c r="A36" s="968">
        <f t="shared" si="3"/>
        <v>45006.364583333336</v>
      </c>
      <c r="B36" s="949" t="s">
        <v>318</v>
      </c>
      <c r="C36" s="950">
        <f t="shared" si="0"/>
        <v>138.4</v>
      </c>
      <c r="E36" s="943" t="b">
        <f t="shared" ref="E36:E67" si="5">ISNUMBER(C36)</f>
        <v>1</v>
      </c>
      <c r="F36" s="943" t="b">
        <f>ISNUMBER(#REF!)</f>
        <v>0</v>
      </c>
      <c r="G36" s="943" t="b">
        <f>ISNUMBER(#REF!)</f>
        <v>0</v>
      </c>
      <c r="H36" s="943" t="b">
        <f>ISNUMBER(#REF!)</f>
        <v>0</v>
      </c>
      <c r="I36" s="943" t="b">
        <f>ISNUMBER(#REF!)</f>
        <v>0</v>
      </c>
      <c r="J36" s="943" t="b">
        <f>ISNUMBER(#REF!)</f>
        <v>0</v>
      </c>
      <c r="K36" s="943" t="b">
        <f>ISNUMBER(#REF!)</f>
        <v>0</v>
      </c>
      <c r="L36" s="943" t="b">
        <f>ISNUMBER(#REF!)</f>
        <v>0</v>
      </c>
      <c r="M36" s="943" t="b">
        <f>ISNUMBER(#REF!)</f>
        <v>0</v>
      </c>
      <c r="N36" s="943" t="b">
        <f>ISNUMBER(#REF!)</f>
        <v>0</v>
      </c>
      <c r="O36" s="943" t="b">
        <f>ISNUMBER(#REF!)</f>
        <v>0</v>
      </c>
      <c r="P36" s="943" t="b">
        <f>ISNUMBER(#REF!)</f>
        <v>0</v>
      </c>
      <c r="Q36" s="951" t="str">
        <f t="shared" si="4"/>
        <v/>
      </c>
    </row>
    <row r="37" spans="1:17" ht="27.75" customHeight="1">
      <c r="A37" s="968">
        <f t="shared" si="3"/>
        <v>45006.364583333336</v>
      </c>
      <c r="B37" s="949" t="s">
        <v>319</v>
      </c>
      <c r="C37" s="950">
        <f t="shared" si="0"/>
        <v>5.8500000000000005</v>
      </c>
      <c r="E37" s="943" t="b">
        <f t="shared" si="5"/>
        <v>1</v>
      </c>
      <c r="F37" s="943" t="b">
        <f>ISNUMBER(#REF!)</f>
        <v>0</v>
      </c>
      <c r="G37" s="943" t="b">
        <f>ISNUMBER(#REF!)</f>
        <v>0</v>
      </c>
      <c r="H37" s="943" t="b">
        <f>ISNUMBER(#REF!)</f>
        <v>0</v>
      </c>
      <c r="I37" s="943" t="b">
        <f>ISNUMBER(#REF!)</f>
        <v>0</v>
      </c>
      <c r="J37" s="943" t="b">
        <f>ISNUMBER(#REF!)</f>
        <v>0</v>
      </c>
      <c r="K37" s="943" t="b">
        <f>ISNUMBER(#REF!)</f>
        <v>0</v>
      </c>
      <c r="L37" s="943" t="b">
        <f>ISNUMBER(#REF!)</f>
        <v>0</v>
      </c>
      <c r="M37" s="943" t="b">
        <f>ISNUMBER(#REF!)</f>
        <v>0</v>
      </c>
      <c r="N37" s="943" t="b">
        <f>ISNUMBER(#REF!)</f>
        <v>0</v>
      </c>
      <c r="O37" s="943" t="b">
        <f>ISNUMBER(#REF!)</f>
        <v>0</v>
      </c>
      <c r="P37" s="943" t="b">
        <f>ISNUMBER(#REF!)</f>
        <v>0</v>
      </c>
      <c r="Q37" s="951" t="str">
        <f t="shared" si="4"/>
        <v/>
      </c>
    </row>
    <row r="38" spans="1:17" ht="27.75" customHeight="1">
      <c r="A38" s="968">
        <f t="shared" si="3"/>
        <v>45006.364583333336</v>
      </c>
      <c r="B38" s="949" t="s">
        <v>320</v>
      </c>
      <c r="C38" s="950">
        <f t="shared" si="0"/>
        <v>-1.0461</v>
      </c>
      <c r="E38" s="943" t="b">
        <f t="shared" si="5"/>
        <v>1</v>
      </c>
      <c r="F38" s="943" t="b">
        <f>ISNUMBER(#REF!)</f>
        <v>0</v>
      </c>
      <c r="G38" s="943" t="b">
        <f>ISNUMBER(#REF!)</f>
        <v>0</v>
      </c>
      <c r="H38" s="943" t="b">
        <f>ISNUMBER(#REF!)</f>
        <v>0</v>
      </c>
      <c r="I38" s="943" t="b">
        <f>ISNUMBER(#REF!)</f>
        <v>0</v>
      </c>
      <c r="J38" s="943" t="b">
        <f>ISNUMBER(#REF!)</f>
        <v>0</v>
      </c>
      <c r="K38" s="943" t="b">
        <f>ISNUMBER(#REF!)</f>
        <v>0</v>
      </c>
      <c r="L38" s="943" t="b">
        <f>ISNUMBER(#REF!)</f>
        <v>0</v>
      </c>
      <c r="M38" s="943" t="b">
        <f>ISNUMBER(#REF!)</f>
        <v>0</v>
      </c>
      <c r="N38" s="943" t="b">
        <f>ISNUMBER(#REF!)</f>
        <v>0</v>
      </c>
      <c r="O38" s="943" t="b">
        <f>ISNUMBER(#REF!)</f>
        <v>0</v>
      </c>
      <c r="P38" s="943" t="b">
        <f>ISNUMBER(#REF!)</f>
        <v>0</v>
      </c>
      <c r="Q38" s="951" t="str">
        <f t="shared" si="4"/>
        <v/>
      </c>
    </row>
    <row r="39" spans="1:17" ht="27.75" customHeight="1">
      <c r="A39" s="968">
        <f t="shared" si="3"/>
        <v>45006.364583333336</v>
      </c>
      <c r="B39" s="949" t="s">
        <v>321</v>
      </c>
      <c r="C39" s="950">
        <f t="shared" si="0"/>
        <v>0</v>
      </c>
      <c r="E39" s="943" t="b">
        <f t="shared" ref="E39:E41" si="6">ISNUMBER(C39)</f>
        <v>1</v>
      </c>
      <c r="F39" s="943" t="b">
        <f>ISNUMBER(#REF!)</f>
        <v>0</v>
      </c>
      <c r="G39" s="943" t="b">
        <f>ISNUMBER(#REF!)</f>
        <v>0</v>
      </c>
      <c r="H39" s="943" t="b">
        <f>ISNUMBER(#REF!)</f>
        <v>0</v>
      </c>
      <c r="I39" s="943" t="b">
        <f>ISNUMBER(#REF!)</f>
        <v>0</v>
      </c>
      <c r="J39" s="943" t="b">
        <f>ISNUMBER(#REF!)</f>
        <v>0</v>
      </c>
      <c r="K39" s="943" t="b">
        <f>ISNUMBER(#REF!)</f>
        <v>0</v>
      </c>
      <c r="L39" s="943" t="b">
        <f>ISNUMBER(#REF!)</f>
        <v>0</v>
      </c>
      <c r="M39" s="943" t="b">
        <f>ISNUMBER(#REF!)</f>
        <v>0</v>
      </c>
      <c r="N39" s="943" t="b">
        <f>ISNUMBER(#REF!)</f>
        <v>0</v>
      </c>
      <c r="O39" s="943" t="b">
        <f>ISNUMBER(#REF!)</f>
        <v>0</v>
      </c>
      <c r="P39" s="943" t="b">
        <f>ISNUMBER(#REF!)</f>
        <v>0</v>
      </c>
      <c r="Q39" s="951" t="str">
        <f t="shared" si="4"/>
        <v/>
      </c>
    </row>
    <row r="40" spans="1:17" ht="27.75" customHeight="1">
      <c r="A40" s="968">
        <f t="shared" si="3"/>
        <v>45006.364583333336</v>
      </c>
      <c r="B40" s="949" t="s">
        <v>322</v>
      </c>
      <c r="C40" s="950">
        <f t="shared" si="0"/>
        <v>0.3969375</v>
      </c>
      <c r="E40" s="943" t="b">
        <f t="shared" si="6"/>
        <v>1</v>
      </c>
      <c r="F40" s="943" t="b">
        <f>ISNUMBER(#REF!)</f>
        <v>0</v>
      </c>
      <c r="G40" s="943" t="b">
        <f>ISNUMBER(#REF!)</f>
        <v>0</v>
      </c>
      <c r="H40" s="943" t="b">
        <f>ISNUMBER(#REF!)</f>
        <v>0</v>
      </c>
      <c r="I40" s="943" t="b">
        <f>ISNUMBER(#REF!)</f>
        <v>0</v>
      </c>
      <c r="J40" s="943" t="b">
        <f>ISNUMBER(#REF!)</f>
        <v>0</v>
      </c>
      <c r="K40" s="943" t="b">
        <f>ISNUMBER(#REF!)</f>
        <v>0</v>
      </c>
      <c r="L40" s="943" t="b">
        <f>ISNUMBER(#REF!)</f>
        <v>0</v>
      </c>
      <c r="M40" s="943" t="b">
        <f>ISNUMBER(#REF!)</f>
        <v>0</v>
      </c>
      <c r="N40" s="943" t="b">
        <f>ISNUMBER(#REF!)</f>
        <v>0</v>
      </c>
      <c r="O40" s="943" t="b">
        <f>ISNUMBER(#REF!)</f>
        <v>0</v>
      </c>
      <c r="P40" s="943" t="b">
        <f>ISNUMBER(#REF!)</f>
        <v>0</v>
      </c>
      <c r="Q40" s="951" t="str">
        <f t="shared" si="4"/>
        <v/>
      </c>
    </row>
    <row r="41" spans="1:17" ht="27.75" customHeight="1">
      <c r="A41" s="968">
        <f t="shared" si="3"/>
        <v>45006.364583333336</v>
      </c>
      <c r="B41" s="949" t="s">
        <v>323</v>
      </c>
      <c r="C41" s="950">
        <f t="shared" si="0"/>
        <v>0</v>
      </c>
      <c r="E41" s="943" t="b">
        <f t="shared" si="6"/>
        <v>1</v>
      </c>
      <c r="F41" s="943" t="b">
        <f>ISNUMBER(#REF!)</f>
        <v>0</v>
      </c>
      <c r="G41" s="943" t="b">
        <f>ISNUMBER(#REF!)</f>
        <v>0</v>
      </c>
      <c r="H41" s="943" t="b">
        <f>ISNUMBER(#REF!)</f>
        <v>0</v>
      </c>
      <c r="I41" s="943" t="b">
        <f>ISNUMBER(#REF!)</f>
        <v>0</v>
      </c>
      <c r="J41" s="943" t="b">
        <f>ISNUMBER(#REF!)</f>
        <v>0</v>
      </c>
      <c r="K41" s="943" t="b">
        <f>ISNUMBER(#REF!)</f>
        <v>0</v>
      </c>
      <c r="L41" s="943" t="b">
        <f>ISNUMBER(#REF!)</f>
        <v>0</v>
      </c>
      <c r="M41" s="943" t="b">
        <f>ISNUMBER(#REF!)</f>
        <v>0</v>
      </c>
      <c r="N41" s="943" t="b">
        <f>ISNUMBER(#REF!)</f>
        <v>0</v>
      </c>
      <c r="O41" s="943" t="b">
        <f>ISNUMBER(#REF!)</f>
        <v>0</v>
      </c>
      <c r="P41" s="943" t="b">
        <f>ISNUMBER(#REF!)</f>
        <v>0</v>
      </c>
      <c r="Q41" s="951" t="str">
        <f t="shared" si="4"/>
        <v/>
      </c>
    </row>
    <row r="42" spans="1:17" ht="27.75" customHeight="1">
      <c r="A42" s="968">
        <f t="shared" si="3"/>
        <v>45006.364583333336</v>
      </c>
      <c r="B42" s="949" t="s">
        <v>324</v>
      </c>
      <c r="C42" s="950">
        <f t="shared" si="0"/>
        <v>8.212499999999999E-2</v>
      </c>
      <c r="E42" s="943" t="b">
        <f t="shared" si="5"/>
        <v>1</v>
      </c>
      <c r="F42" s="943" t="b">
        <f>ISNUMBER(#REF!)</f>
        <v>0</v>
      </c>
      <c r="G42" s="943" t="b">
        <f>ISNUMBER(#REF!)</f>
        <v>0</v>
      </c>
      <c r="H42" s="943" t="b">
        <f>ISNUMBER(#REF!)</f>
        <v>0</v>
      </c>
      <c r="I42" s="943" t="b">
        <f>ISNUMBER(#REF!)</f>
        <v>0</v>
      </c>
      <c r="J42" s="943" t="b">
        <f>ISNUMBER(#REF!)</f>
        <v>0</v>
      </c>
      <c r="K42" s="943" t="b">
        <f>ISNUMBER(#REF!)</f>
        <v>0</v>
      </c>
      <c r="L42" s="943" t="b">
        <f>ISNUMBER(#REF!)</f>
        <v>0</v>
      </c>
      <c r="M42" s="943" t="b">
        <f>ISNUMBER(#REF!)</f>
        <v>0</v>
      </c>
      <c r="N42" s="943" t="b">
        <f>ISNUMBER(#REF!)</f>
        <v>0</v>
      </c>
      <c r="O42" s="943" t="b">
        <f>ISNUMBER(#REF!)</f>
        <v>0</v>
      </c>
      <c r="P42" s="943" t="b">
        <f>ISNUMBER(#REF!)</f>
        <v>0</v>
      </c>
      <c r="Q42" s="951" t="str">
        <f t="shared" si="4"/>
        <v/>
      </c>
    </row>
    <row r="43" spans="1:17" ht="27.75" customHeight="1">
      <c r="A43" s="968">
        <f t="shared" si="3"/>
        <v>45006.364583333336</v>
      </c>
      <c r="B43" s="949" t="s">
        <v>325</v>
      </c>
      <c r="C43" s="950">
        <f t="shared" si="0"/>
        <v>0</v>
      </c>
      <c r="E43" s="943" t="b">
        <f t="shared" si="5"/>
        <v>1</v>
      </c>
      <c r="F43" s="943" t="b">
        <f>ISNUMBER(#REF!)</f>
        <v>0</v>
      </c>
      <c r="G43" s="943" t="b">
        <f>ISNUMBER(#REF!)</f>
        <v>0</v>
      </c>
      <c r="H43" s="943" t="b">
        <f>ISNUMBER(#REF!)</f>
        <v>0</v>
      </c>
      <c r="I43" s="943" t="b">
        <f>ISNUMBER(#REF!)</f>
        <v>0</v>
      </c>
      <c r="J43" s="943" t="b">
        <f>ISNUMBER(#REF!)</f>
        <v>0</v>
      </c>
      <c r="K43" s="943" t="b">
        <f>ISNUMBER(#REF!)</f>
        <v>0</v>
      </c>
      <c r="L43" s="943" t="b">
        <f>ISNUMBER(#REF!)</f>
        <v>0</v>
      </c>
      <c r="M43" s="943" t="b">
        <f>ISNUMBER(#REF!)</f>
        <v>0</v>
      </c>
      <c r="N43" s="943" t="b">
        <f>ISNUMBER(#REF!)</f>
        <v>0</v>
      </c>
      <c r="O43" s="943" t="b">
        <f>ISNUMBER(#REF!)</f>
        <v>0</v>
      </c>
      <c r="P43" s="943" t="b">
        <f>ISNUMBER(#REF!)</f>
        <v>0</v>
      </c>
      <c r="Q43" s="951" t="str">
        <f t="shared" si="4"/>
        <v/>
      </c>
    </row>
    <row r="44" spans="1:17" ht="27.75" customHeight="1">
      <c r="A44" s="968">
        <f t="shared" si="3"/>
        <v>45006.364583333336</v>
      </c>
      <c r="B44" s="949" t="s">
        <v>335</v>
      </c>
      <c r="C44" s="950">
        <f t="shared" si="0"/>
        <v>0</v>
      </c>
      <c r="E44" s="943" t="b">
        <f t="shared" si="5"/>
        <v>1</v>
      </c>
      <c r="F44" s="943" t="b">
        <f>ISNUMBER(#REF!)</f>
        <v>0</v>
      </c>
      <c r="G44" s="943" t="b">
        <f>ISNUMBER(#REF!)</f>
        <v>0</v>
      </c>
      <c r="H44" s="943" t="b">
        <f>ISNUMBER(#REF!)</f>
        <v>0</v>
      </c>
      <c r="I44" s="943" t="b">
        <f>ISNUMBER(#REF!)</f>
        <v>0</v>
      </c>
      <c r="J44" s="943" t="b">
        <f>ISNUMBER(#REF!)</f>
        <v>0</v>
      </c>
      <c r="K44" s="943" t="b">
        <f>ISNUMBER(#REF!)</f>
        <v>0</v>
      </c>
      <c r="L44" s="943" t="b">
        <f>ISNUMBER(#REF!)</f>
        <v>0</v>
      </c>
      <c r="M44" s="943" t="b">
        <f>ISNUMBER(#REF!)</f>
        <v>0</v>
      </c>
      <c r="N44" s="943" t="b">
        <f>ISNUMBER(#REF!)</f>
        <v>0</v>
      </c>
      <c r="O44" s="943" t="b">
        <f>ISNUMBER(#REF!)</f>
        <v>0</v>
      </c>
      <c r="P44" s="943" t="b">
        <f>ISNUMBER(#REF!)</f>
        <v>0</v>
      </c>
      <c r="Q44" s="951" t="str">
        <f t="shared" si="4"/>
        <v/>
      </c>
    </row>
    <row r="45" spans="1:17" ht="27.75" customHeight="1">
      <c r="A45" s="968">
        <f t="shared" si="3"/>
        <v>45006.364583333336</v>
      </c>
      <c r="B45" s="949" t="s">
        <v>336</v>
      </c>
      <c r="C45" s="950">
        <f t="shared" si="0"/>
        <v>0</v>
      </c>
      <c r="E45" s="943" t="b">
        <f t="shared" si="5"/>
        <v>1</v>
      </c>
      <c r="F45" s="943" t="b">
        <f>ISNUMBER(#REF!)</f>
        <v>0</v>
      </c>
      <c r="G45" s="943" t="b">
        <f>ISNUMBER(#REF!)</f>
        <v>0</v>
      </c>
      <c r="H45" s="943" t="b">
        <f>ISNUMBER(#REF!)</f>
        <v>0</v>
      </c>
      <c r="I45" s="943" t="b">
        <f>ISNUMBER(#REF!)</f>
        <v>0</v>
      </c>
      <c r="J45" s="943" t="b">
        <f>ISNUMBER(#REF!)</f>
        <v>0</v>
      </c>
      <c r="K45" s="943" t="b">
        <f>ISNUMBER(#REF!)</f>
        <v>0</v>
      </c>
      <c r="L45" s="943" t="b">
        <f>ISNUMBER(#REF!)</f>
        <v>0</v>
      </c>
      <c r="M45" s="943" t="b">
        <f>ISNUMBER(#REF!)</f>
        <v>0</v>
      </c>
      <c r="N45" s="943" t="b">
        <f>ISNUMBER(#REF!)</f>
        <v>0</v>
      </c>
      <c r="O45" s="943" t="b">
        <f>ISNUMBER(#REF!)</f>
        <v>0</v>
      </c>
      <c r="P45" s="943" t="b">
        <f>ISNUMBER(#REF!)</f>
        <v>0</v>
      </c>
      <c r="Q45" s="951" t="str">
        <f t="shared" ref="Q45:Q95" si="7">IF(E45=TRUE,"",1)</f>
        <v/>
      </c>
    </row>
    <row r="46" spans="1:17" s="954" customFormat="1" ht="27.75" customHeight="1">
      <c r="A46" s="968">
        <f t="shared" si="3"/>
        <v>45006.364583333336</v>
      </c>
      <c r="B46" s="952" t="s">
        <v>459</v>
      </c>
      <c r="C46" s="953">
        <f t="shared" ref="C46:C96" si="8">IFERROR(VLOOKUP($B46,RLMLXD,8,0),"")</f>
        <v>0</v>
      </c>
      <c r="E46" s="954" t="b">
        <f t="shared" si="5"/>
        <v>1</v>
      </c>
      <c r="F46" s="954" t="b">
        <f>ISNUMBER(#REF!)</f>
        <v>0</v>
      </c>
      <c r="G46" s="954" t="b">
        <f>ISNUMBER(#REF!)</f>
        <v>0</v>
      </c>
      <c r="H46" s="954" t="b">
        <f>ISNUMBER(#REF!)</f>
        <v>0</v>
      </c>
      <c r="I46" s="954" t="b">
        <f>ISNUMBER(#REF!)</f>
        <v>0</v>
      </c>
      <c r="J46" s="954" t="b">
        <f>ISNUMBER(#REF!)</f>
        <v>0</v>
      </c>
      <c r="K46" s="954" t="b">
        <f>ISNUMBER(#REF!)</f>
        <v>0</v>
      </c>
      <c r="L46" s="954" t="b">
        <f>ISNUMBER(#REF!)</f>
        <v>0</v>
      </c>
      <c r="M46" s="954" t="b">
        <f>ISNUMBER(#REF!)</f>
        <v>0</v>
      </c>
      <c r="N46" s="954" t="b">
        <f>ISNUMBER(#REF!)</f>
        <v>0</v>
      </c>
      <c r="O46" s="954" t="b">
        <f>ISNUMBER(#REF!)</f>
        <v>0</v>
      </c>
      <c r="P46" s="954" t="b">
        <f>ISNUMBER(#REF!)</f>
        <v>0</v>
      </c>
      <c r="Q46" s="952" t="str">
        <f t="shared" si="7"/>
        <v/>
      </c>
    </row>
    <row r="47" spans="1:17" ht="27.75" customHeight="1">
      <c r="A47" s="968">
        <f t="shared" si="3"/>
        <v>45006.364583333336</v>
      </c>
      <c r="B47" s="949" t="s">
        <v>463</v>
      </c>
      <c r="C47" s="950">
        <f t="shared" si="8"/>
        <v>0</v>
      </c>
      <c r="E47" s="943" t="b">
        <f t="shared" si="5"/>
        <v>1</v>
      </c>
      <c r="F47" s="943" t="b">
        <f>ISNUMBER(#REF!)</f>
        <v>0</v>
      </c>
      <c r="G47" s="943" t="b">
        <f>ISNUMBER(#REF!)</f>
        <v>0</v>
      </c>
      <c r="H47" s="943" t="b">
        <f>ISNUMBER(#REF!)</f>
        <v>0</v>
      </c>
      <c r="I47" s="943" t="b">
        <f>ISNUMBER(#REF!)</f>
        <v>0</v>
      </c>
      <c r="J47" s="943" t="b">
        <f>ISNUMBER(#REF!)</f>
        <v>0</v>
      </c>
      <c r="K47" s="943" t="b">
        <f>ISNUMBER(#REF!)</f>
        <v>0</v>
      </c>
      <c r="L47" s="943" t="b">
        <f>ISNUMBER(#REF!)</f>
        <v>0</v>
      </c>
      <c r="M47" s="943" t="b">
        <f>ISNUMBER(#REF!)</f>
        <v>0</v>
      </c>
      <c r="N47" s="943" t="b">
        <f>ISNUMBER(#REF!)</f>
        <v>0</v>
      </c>
      <c r="O47" s="943" t="b">
        <f>ISNUMBER(#REF!)</f>
        <v>0</v>
      </c>
      <c r="P47" s="943" t="b">
        <f>ISNUMBER(#REF!)</f>
        <v>0</v>
      </c>
      <c r="Q47" s="951" t="str">
        <f t="shared" si="7"/>
        <v/>
      </c>
    </row>
    <row r="48" spans="1:17" ht="27.75" customHeight="1">
      <c r="A48" s="968">
        <f t="shared" si="3"/>
        <v>45006.364583333336</v>
      </c>
      <c r="B48" s="949" t="s">
        <v>464</v>
      </c>
      <c r="C48" s="950">
        <f t="shared" si="8"/>
        <v>0</v>
      </c>
      <c r="E48" s="943" t="b">
        <f t="shared" si="5"/>
        <v>1</v>
      </c>
      <c r="F48" s="943" t="b">
        <f>ISNUMBER(#REF!)</f>
        <v>0</v>
      </c>
      <c r="G48" s="943" t="b">
        <f>ISNUMBER(#REF!)</f>
        <v>0</v>
      </c>
      <c r="H48" s="943" t="b">
        <f>ISNUMBER(#REF!)</f>
        <v>0</v>
      </c>
      <c r="I48" s="943" t="b">
        <f>ISNUMBER(#REF!)</f>
        <v>0</v>
      </c>
      <c r="J48" s="943" t="b">
        <f>ISNUMBER(#REF!)</f>
        <v>0</v>
      </c>
      <c r="K48" s="943" t="b">
        <f>ISNUMBER(#REF!)</f>
        <v>0</v>
      </c>
      <c r="L48" s="943" t="b">
        <f>ISNUMBER(#REF!)</f>
        <v>0</v>
      </c>
      <c r="M48" s="943" t="b">
        <f>ISNUMBER(#REF!)</f>
        <v>0</v>
      </c>
      <c r="N48" s="943" t="b">
        <f>ISNUMBER(#REF!)</f>
        <v>0</v>
      </c>
      <c r="O48" s="943" t="b">
        <f>ISNUMBER(#REF!)</f>
        <v>0</v>
      </c>
      <c r="P48" s="943" t="b">
        <f>ISNUMBER(#REF!)</f>
        <v>0</v>
      </c>
      <c r="Q48" s="951" t="str">
        <f t="shared" si="7"/>
        <v/>
      </c>
    </row>
    <row r="49" spans="1:17" ht="27.75" customHeight="1">
      <c r="A49" s="968">
        <f t="shared" si="3"/>
        <v>45006.364583333336</v>
      </c>
      <c r="B49" s="949" t="s">
        <v>467</v>
      </c>
      <c r="C49" s="950">
        <f t="shared" si="8"/>
        <v>0</v>
      </c>
      <c r="E49" s="943" t="b">
        <f t="shared" si="5"/>
        <v>1</v>
      </c>
      <c r="F49" s="943" t="b">
        <f>ISNUMBER(#REF!)</f>
        <v>0</v>
      </c>
      <c r="G49" s="943" t="b">
        <f>ISNUMBER(#REF!)</f>
        <v>0</v>
      </c>
      <c r="H49" s="943" t="b">
        <f>ISNUMBER(#REF!)</f>
        <v>0</v>
      </c>
      <c r="I49" s="943" t="b">
        <f>ISNUMBER(#REF!)</f>
        <v>0</v>
      </c>
      <c r="J49" s="943" t="b">
        <f>ISNUMBER(#REF!)</f>
        <v>0</v>
      </c>
      <c r="K49" s="943" t="b">
        <f>ISNUMBER(#REF!)</f>
        <v>0</v>
      </c>
      <c r="L49" s="943" t="b">
        <f>ISNUMBER(#REF!)</f>
        <v>0</v>
      </c>
      <c r="M49" s="943" t="b">
        <f>ISNUMBER(#REF!)</f>
        <v>0</v>
      </c>
      <c r="N49" s="943" t="b">
        <f>ISNUMBER(#REF!)</f>
        <v>0</v>
      </c>
      <c r="O49" s="943" t="b">
        <f>ISNUMBER(#REF!)</f>
        <v>0</v>
      </c>
      <c r="P49" s="943" t="b">
        <f>ISNUMBER(#REF!)</f>
        <v>0</v>
      </c>
      <c r="Q49" s="951" t="str">
        <f t="shared" si="7"/>
        <v/>
      </c>
    </row>
    <row r="50" spans="1:17" ht="27.75" customHeight="1">
      <c r="A50" s="968">
        <f t="shared" si="3"/>
        <v>45006.364583333336</v>
      </c>
      <c r="B50" s="949" t="s">
        <v>468</v>
      </c>
      <c r="C50" s="950">
        <f t="shared" si="8"/>
        <v>0</v>
      </c>
      <c r="E50" s="943" t="b">
        <f t="shared" si="5"/>
        <v>1</v>
      </c>
      <c r="F50" s="943" t="b">
        <f>ISNUMBER(#REF!)</f>
        <v>0</v>
      </c>
      <c r="G50" s="943" t="b">
        <f>ISNUMBER(#REF!)</f>
        <v>0</v>
      </c>
      <c r="H50" s="943" t="b">
        <f>ISNUMBER(#REF!)</f>
        <v>0</v>
      </c>
      <c r="I50" s="943" t="b">
        <f>ISNUMBER(#REF!)</f>
        <v>0</v>
      </c>
      <c r="J50" s="943" t="b">
        <f>ISNUMBER(#REF!)</f>
        <v>0</v>
      </c>
      <c r="K50" s="943" t="b">
        <f>ISNUMBER(#REF!)</f>
        <v>0</v>
      </c>
      <c r="L50" s="943" t="b">
        <f>ISNUMBER(#REF!)</f>
        <v>0</v>
      </c>
      <c r="M50" s="943" t="b">
        <f>ISNUMBER(#REF!)</f>
        <v>0</v>
      </c>
      <c r="N50" s="943" t="b">
        <f>ISNUMBER(#REF!)</f>
        <v>0</v>
      </c>
      <c r="O50" s="943" t="b">
        <f>ISNUMBER(#REF!)</f>
        <v>0</v>
      </c>
      <c r="P50" s="943" t="b">
        <f>ISNUMBER(#REF!)</f>
        <v>0</v>
      </c>
      <c r="Q50" s="951" t="str">
        <f t="shared" si="7"/>
        <v/>
      </c>
    </row>
    <row r="51" spans="1:17" ht="27.75" customHeight="1">
      <c r="A51" s="968">
        <f t="shared" si="3"/>
        <v>45006.364583333336</v>
      </c>
      <c r="B51" s="949" t="s">
        <v>470</v>
      </c>
      <c r="C51" s="950">
        <f t="shared" si="8"/>
        <v>0</v>
      </c>
      <c r="E51" s="943" t="b">
        <f t="shared" si="5"/>
        <v>1</v>
      </c>
      <c r="F51" s="943" t="b">
        <f>ISNUMBER(#REF!)</f>
        <v>0</v>
      </c>
      <c r="G51" s="943" t="b">
        <f>ISNUMBER(#REF!)</f>
        <v>0</v>
      </c>
      <c r="H51" s="943" t="b">
        <f>ISNUMBER(#REF!)</f>
        <v>0</v>
      </c>
      <c r="I51" s="943" t="b">
        <f>ISNUMBER(#REF!)</f>
        <v>0</v>
      </c>
      <c r="J51" s="943" t="b">
        <f>ISNUMBER(#REF!)</f>
        <v>0</v>
      </c>
      <c r="K51" s="943" t="b">
        <f>ISNUMBER(#REF!)</f>
        <v>0</v>
      </c>
      <c r="L51" s="943" t="b">
        <f>ISNUMBER(#REF!)</f>
        <v>0</v>
      </c>
      <c r="M51" s="943" t="b">
        <f>ISNUMBER(#REF!)</f>
        <v>0</v>
      </c>
      <c r="N51" s="943" t="b">
        <f>ISNUMBER(#REF!)</f>
        <v>0</v>
      </c>
      <c r="O51" s="943" t="b">
        <f>ISNUMBER(#REF!)</f>
        <v>0</v>
      </c>
      <c r="P51" s="943" t="b">
        <f>ISNUMBER(#REF!)</f>
        <v>0</v>
      </c>
      <c r="Q51" s="951" t="str">
        <f t="shared" si="7"/>
        <v/>
      </c>
    </row>
    <row r="52" spans="1:17" ht="27.75" customHeight="1">
      <c r="A52" s="968">
        <f t="shared" si="3"/>
        <v>45006.364583333336</v>
      </c>
      <c r="B52" s="949" t="s">
        <v>472</v>
      </c>
      <c r="C52" s="950">
        <f t="shared" si="8"/>
        <v>0</v>
      </c>
      <c r="E52" s="943" t="b">
        <f t="shared" si="5"/>
        <v>1</v>
      </c>
      <c r="F52" s="943" t="b">
        <f>ISNUMBER(#REF!)</f>
        <v>0</v>
      </c>
      <c r="G52" s="943" t="b">
        <f>ISNUMBER(#REF!)</f>
        <v>0</v>
      </c>
      <c r="H52" s="943" t="b">
        <f>ISNUMBER(#REF!)</f>
        <v>0</v>
      </c>
      <c r="I52" s="943" t="b">
        <f>ISNUMBER(#REF!)</f>
        <v>0</v>
      </c>
      <c r="J52" s="943" t="b">
        <f>ISNUMBER(#REF!)</f>
        <v>0</v>
      </c>
      <c r="K52" s="943" t="b">
        <f>ISNUMBER(#REF!)</f>
        <v>0</v>
      </c>
      <c r="L52" s="943" t="b">
        <f>ISNUMBER(#REF!)</f>
        <v>0</v>
      </c>
      <c r="M52" s="943" t="b">
        <f>ISNUMBER(#REF!)</f>
        <v>0</v>
      </c>
      <c r="N52" s="943" t="b">
        <f>ISNUMBER(#REF!)</f>
        <v>0</v>
      </c>
      <c r="O52" s="943" t="b">
        <f>ISNUMBER(#REF!)</f>
        <v>0</v>
      </c>
      <c r="P52" s="943" t="b">
        <f>ISNUMBER(#REF!)</f>
        <v>0</v>
      </c>
      <c r="Q52" s="951" t="str">
        <f t="shared" si="7"/>
        <v/>
      </c>
    </row>
    <row r="53" spans="1:17" ht="27.75" customHeight="1">
      <c r="A53" s="968">
        <f t="shared" si="3"/>
        <v>45006.364583333336</v>
      </c>
      <c r="B53" s="949" t="s">
        <v>473</v>
      </c>
      <c r="C53" s="950">
        <f t="shared" si="8"/>
        <v>0</v>
      </c>
      <c r="E53" s="943" t="b">
        <f t="shared" si="5"/>
        <v>1</v>
      </c>
      <c r="F53" s="943" t="b">
        <f>ISNUMBER(#REF!)</f>
        <v>0</v>
      </c>
      <c r="G53" s="943" t="b">
        <f>ISNUMBER(#REF!)</f>
        <v>0</v>
      </c>
      <c r="H53" s="943" t="b">
        <f>ISNUMBER(#REF!)</f>
        <v>0</v>
      </c>
      <c r="I53" s="943" t="b">
        <f>ISNUMBER(#REF!)</f>
        <v>0</v>
      </c>
      <c r="J53" s="943" t="b">
        <f>ISNUMBER(#REF!)</f>
        <v>0</v>
      </c>
      <c r="K53" s="943" t="b">
        <f>ISNUMBER(#REF!)</f>
        <v>0</v>
      </c>
      <c r="L53" s="943" t="b">
        <f>ISNUMBER(#REF!)</f>
        <v>0</v>
      </c>
      <c r="M53" s="943" t="b">
        <f>ISNUMBER(#REF!)</f>
        <v>0</v>
      </c>
      <c r="N53" s="943" t="b">
        <f>ISNUMBER(#REF!)</f>
        <v>0</v>
      </c>
      <c r="O53" s="943" t="b">
        <f>ISNUMBER(#REF!)</f>
        <v>0</v>
      </c>
      <c r="P53" s="943" t="b">
        <f>ISNUMBER(#REF!)</f>
        <v>0</v>
      </c>
      <c r="Q53" s="951" t="str">
        <f t="shared" si="7"/>
        <v/>
      </c>
    </row>
    <row r="54" spans="1:17" ht="27.75" customHeight="1">
      <c r="A54" s="968">
        <f t="shared" si="3"/>
        <v>45006.364583333336</v>
      </c>
      <c r="B54" s="949" t="s">
        <v>474</v>
      </c>
      <c r="C54" s="950">
        <f t="shared" si="8"/>
        <v>0</v>
      </c>
      <c r="E54" s="943" t="b">
        <f t="shared" si="5"/>
        <v>1</v>
      </c>
      <c r="F54" s="943" t="b">
        <f>ISNUMBER(#REF!)</f>
        <v>0</v>
      </c>
      <c r="G54" s="943" t="b">
        <f>ISNUMBER(#REF!)</f>
        <v>0</v>
      </c>
      <c r="H54" s="943" t="b">
        <f>ISNUMBER(#REF!)</f>
        <v>0</v>
      </c>
      <c r="I54" s="943" t="b">
        <f>ISNUMBER(#REF!)</f>
        <v>0</v>
      </c>
      <c r="J54" s="943" t="b">
        <f>ISNUMBER(#REF!)</f>
        <v>0</v>
      </c>
      <c r="K54" s="943" t="b">
        <f>ISNUMBER(#REF!)</f>
        <v>0</v>
      </c>
      <c r="L54" s="943" t="b">
        <f>ISNUMBER(#REF!)</f>
        <v>0</v>
      </c>
      <c r="M54" s="943" t="b">
        <f>ISNUMBER(#REF!)</f>
        <v>0</v>
      </c>
      <c r="N54" s="943" t="b">
        <f>ISNUMBER(#REF!)</f>
        <v>0</v>
      </c>
      <c r="O54" s="943" t="b">
        <f>ISNUMBER(#REF!)</f>
        <v>0</v>
      </c>
      <c r="P54" s="943" t="b">
        <f>ISNUMBER(#REF!)</f>
        <v>0</v>
      </c>
      <c r="Q54" s="951" t="str">
        <f t="shared" si="7"/>
        <v/>
      </c>
    </row>
    <row r="55" spans="1:17" ht="27.75" customHeight="1">
      <c r="A55" s="968">
        <f t="shared" si="3"/>
        <v>45006.364583333336</v>
      </c>
      <c r="B55" s="949" t="s">
        <v>477</v>
      </c>
      <c r="C55" s="950">
        <f t="shared" si="8"/>
        <v>0</v>
      </c>
      <c r="E55" s="943" t="b">
        <f t="shared" si="5"/>
        <v>1</v>
      </c>
      <c r="F55" s="943" t="b">
        <f>ISNUMBER(#REF!)</f>
        <v>0</v>
      </c>
      <c r="G55" s="943" t="b">
        <f>ISNUMBER(#REF!)</f>
        <v>0</v>
      </c>
      <c r="H55" s="943" t="b">
        <f>ISNUMBER(#REF!)</f>
        <v>0</v>
      </c>
      <c r="I55" s="943" t="b">
        <f>ISNUMBER(#REF!)</f>
        <v>0</v>
      </c>
      <c r="J55" s="943" t="b">
        <f>ISNUMBER(#REF!)</f>
        <v>0</v>
      </c>
      <c r="K55" s="943" t="b">
        <f>ISNUMBER(#REF!)</f>
        <v>0</v>
      </c>
      <c r="L55" s="943" t="b">
        <f>ISNUMBER(#REF!)</f>
        <v>0</v>
      </c>
      <c r="M55" s="943" t="b">
        <f>ISNUMBER(#REF!)</f>
        <v>0</v>
      </c>
      <c r="N55" s="943" t="b">
        <f>ISNUMBER(#REF!)</f>
        <v>0</v>
      </c>
      <c r="O55" s="943" t="b">
        <f>ISNUMBER(#REF!)</f>
        <v>0</v>
      </c>
      <c r="P55" s="943" t="b">
        <f>ISNUMBER(#REF!)</f>
        <v>0</v>
      </c>
      <c r="Q55" s="951" t="str">
        <f t="shared" si="7"/>
        <v/>
      </c>
    </row>
    <row r="56" spans="1:17" ht="27.75" customHeight="1">
      <c r="A56" s="968">
        <f t="shared" si="3"/>
        <v>45006.364583333336</v>
      </c>
      <c r="B56" s="949" t="s">
        <v>982</v>
      </c>
      <c r="C56" s="950">
        <f t="shared" si="8"/>
        <v>0</v>
      </c>
      <c r="E56" s="943" t="b">
        <f t="shared" si="5"/>
        <v>1</v>
      </c>
      <c r="F56" s="943" t="b">
        <f>ISNUMBER(#REF!)</f>
        <v>0</v>
      </c>
      <c r="G56" s="943" t="b">
        <f>ISNUMBER(#REF!)</f>
        <v>0</v>
      </c>
      <c r="H56" s="943" t="b">
        <f>ISNUMBER(#REF!)</f>
        <v>0</v>
      </c>
      <c r="I56" s="943" t="b">
        <f>ISNUMBER(#REF!)</f>
        <v>0</v>
      </c>
      <c r="J56" s="943" t="b">
        <f>ISNUMBER(#REF!)</f>
        <v>0</v>
      </c>
      <c r="K56" s="943" t="b">
        <f>ISNUMBER(#REF!)</f>
        <v>0</v>
      </c>
      <c r="L56" s="943" t="b">
        <f>ISNUMBER(#REF!)</f>
        <v>0</v>
      </c>
      <c r="M56" s="943" t="b">
        <f>ISNUMBER(#REF!)</f>
        <v>0</v>
      </c>
      <c r="N56" s="943" t="b">
        <f>ISNUMBER(#REF!)</f>
        <v>0</v>
      </c>
      <c r="O56" s="943" t="b">
        <f>ISNUMBER(#REF!)</f>
        <v>0</v>
      </c>
      <c r="P56" s="943" t="b">
        <f>ISNUMBER(#REF!)</f>
        <v>0</v>
      </c>
      <c r="Q56" s="951" t="str">
        <f t="shared" si="7"/>
        <v/>
      </c>
    </row>
    <row r="57" spans="1:17" ht="27.75" customHeight="1">
      <c r="A57" s="968">
        <f t="shared" si="3"/>
        <v>45006.364583333336</v>
      </c>
      <c r="B57" s="949" t="s">
        <v>983</v>
      </c>
      <c r="C57" s="950">
        <f t="shared" si="8"/>
        <v>0</v>
      </c>
      <c r="E57" s="943" t="b">
        <f t="shared" si="5"/>
        <v>1</v>
      </c>
      <c r="F57" s="943" t="b">
        <f>ISNUMBER(#REF!)</f>
        <v>0</v>
      </c>
      <c r="G57" s="943" t="b">
        <f>ISNUMBER(#REF!)</f>
        <v>0</v>
      </c>
      <c r="H57" s="943" t="b">
        <f>ISNUMBER(#REF!)</f>
        <v>0</v>
      </c>
      <c r="I57" s="943" t="b">
        <f>ISNUMBER(#REF!)</f>
        <v>0</v>
      </c>
      <c r="J57" s="943" t="b">
        <f>ISNUMBER(#REF!)</f>
        <v>0</v>
      </c>
      <c r="K57" s="943" t="b">
        <f>ISNUMBER(#REF!)</f>
        <v>0</v>
      </c>
      <c r="L57" s="943" t="b">
        <f>ISNUMBER(#REF!)</f>
        <v>0</v>
      </c>
      <c r="M57" s="943" t="b">
        <f>ISNUMBER(#REF!)</f>
        <v>0</v>
      </c>
      <c r="N57" s="943" t="b">
        <f>ISNUMBER(#REF!)</f>
        <v>0</v>
      </c>
      <c r="O57" s="943" t="b">
        <f>ISNUMBER(#REF!)</f>
        <v>0</v>
      </c>
      <c r="P57" s="943" t="b">
        <f>ISNUMBER(#REF!)</f>
        <v>0</v>
      </c>
      <c r="Q57" s="951" t="str">
        <f t="shared" si="7"/>
        <v/>
      </c>
    </row>
    <row r="58" spans="1:17" ht="27.75" customHeight="1">
      <c r="A58" s="968">
        <f t="shared" si="3"/>
        <v>45006.364583333336</v>
      </c>
      <c r="B58" s="949" t="s">
        <v>987</v>
      </c>
      <c r="C58" s="950">
        <f t="shared" si="8"/>
        <v>0</v>
      </c>
      <c r="E58" s="943" t="b">
        <f t="shared" si="5"/>
        <v>1</v>
      </c>
      <c r="F58" s="943" t="b">
        <f>ISNUMBER(#REF!)</f>
        <v>0</v>
      </c>
      <c r="G58" s="943" t="b">
        <f>ISNUMBER(#REF!)</f>
        <v>0</v>
      </c>
      <c r="H58" s="943" t="b">
        <f>ISNUMBER(#REF!)</f>
        <v>0</v>
      </c>
      <c r="I58" s="943" t="b">
        <f>ISNUMBER(#REF!)</f>
        <v>0</v>
      </c>
      <c r="J58" s="943" t="b">
        <f>ISNUMBER(#REF!)</f>
        <v>0</v>
      </c>
      <c r="K58" s="943" t="b">
        <f>ISNUMBER(#REF!)</f>
        <v>0</v>
      </c>
      <c r="L58" s="943" t="b">
        <f>ISNUMBER(#REF!)</f>
        <v>0</v>
      </c>
      <c r="M58" s="943" t="b">
        <f>ISNUMBER(#REF!)</f>
        <v>0</v>
      </c>
      <c r="N58" s="943" t="b">
        <f>ISNUMBER(#REF!)</f>
        <v>0</v>
      </c>
      <c r="O58" s="943" t="b">
        <f>ISNUMBER(#REF!)</f>
        <v>0</v>
      </c>
      <c r="P58" s="943" t="b">
        <f>ISNUMBER(#REF!)</f>
        <v>0</v>
      </c>
      <c r="Q58" s="951" t="str">
        <f t="shared" si="7"/>
        <v/>
      </c>
    </row>
    <row r="59" spans="1:17" ht="27.75" customHeight="1">
      <c r="A59" s="968">
        <f t="shared" si="3"/>
        <v>45006.364583333336</v>
      </c>
      <c r="B59" s="949" t="s">
        <v>989</v>
      </c>
      <c r="C59" s="950">
        <f t="shared" si="8"/>
        <v>0</v>
      </c>
      <c r="E59" s="943" t="b">
        <f t="shared" si="5"/>
        <v>1</v>
      </c>
      <c r="F59" s="943" t="b">
        <f>ISNUMBER(#REF!)</f>
        <v>0</v>
      </c>
      <c r="G59" s="943" t="b">
        <f>ISNUMBER(#REF!)</f>
        <v>0</v>
      </c>
      <c r="H59" s="943" t="b">
        <f>ISNUMBER(#REF!)</f>
        <v>0</v>
      </c>
      <c r="I59" s="943" t="b">
        <f>ISNUMBER(#REF!)</f>
        <v>0</v>
      </c>
      <c r="J59" s="943" t="b">
        <f>ISNUMBER(#REF!)</f>
        <v>0</v>
      </c>
      <c r="K59" s="943" t="b">
        <f>ISNUMBER(#REF!)</f>
        <v>0</v>
      </c>
      <c r="L59" s="943" t="b">
        <f>ISNUMBER(#REF!)</f>
        <v>0</v>
      </c>
      <c r="M59" s="943" t="b">
        <f>ISNUMBER(#REF!)</f>
        <v>0</v>
      </c>
      <c r="N59" s="943" t="b">
        <f>ISNUMBER(#REF!)</f>
        <v>0</v>
      </c>
      <c r="O59" s="943" t="b">
        <f>ISNUMBER(#REF!)</f>
        <v>0</v>
      </c>
      <c r="P59" s="943" t="b">
        <f>ISNUMBER(#REF!)</f>
        <v>0</v>
      </c>
      <c r="Q59" s="951" t="str">
        <f t="shared" si="7"/>
        <v/>
      </c>
    </row>
    <row r="60" spans="1:17" ht="27.75" customHeight="1">
      <c r="A60" s="968">
        <f t="shared" si="3"/>
        <v>45006.364583333336</v>
      </c>
      <c r="B60" s="949" t="s">
        <v>990</v>
      </c>
      <c r="C60" s="950">
        <f t="shared" si="8"/>
        <v>0</v>
      </c>
      <c r="E60" s="943" t="b">
        <f t="shared" si="5"/>
        <v>1</v>
      </c>
      <c r="F60" s="943" t="b">
        <f>ISNUMBER(#REF!)</f>
        <v>0</v>
      </c>
      <c r="G60" s="943" t="b">
        <f>ISNUMBER(#REF!)</f>
        <v>0</v>
      </c>
      <c r="H60" s="943" t="b">
        <f>ISNUMBER(#REF!)</f>
        <v>0</v>
      </c>
      <c r="I60" s="943" t="b">
        <f>ISNUMBER(#REF!)</f>
        <v>0</v>
      </c>
      <c r="J60" s="943" t="b">
        <f>ISNUMBER(#REF!)</f>
        <v>0</v>
      </c>
      <c r="K60" s="943" t="b">
        <f>ISNUMBER(#REF!)</f>
        <v>0</v>
      </c>
      <c r="L60" s="943" t="b">
        <f>ISNUMBER(#REF!)</f>
        <v>0</v>
      </c>
      <c r="M60" s="943" t="b">
        <f>ISNUMBER(#REF!)</f>
        <v>0</v>
      </c>
      <c r="N60" s="943" t="b">
        <f>ISNUMBER(#REF!)</f>
        <v>0</v>
      </c>
      <c r="O60" s="943" t="b">
        <f>ISNUMBER(#REF!)</f>
        <v>0</v>
      </c>
      <c r="P60" s="943" t="b">
        <f>ISNUMBER(#REF!)</f>
        <v>0</v>
      </c>
      <c r="Q60" s="951" t="str">
        <f t="shared" si="7"/>
        <v/>
      </c>
    </row>
    <row r="61" spans="1:17" ht="27.75" customHeight="1">
      <c r="A61" s="968">
        <f t="shared" si="3"/>
        <v>45006.364583333336</v>
      </c>
      <c r="B61" s="949" t="s">
        <v>985</v>
      </c>
      <c r="C61" s="950">
        <f t="shared" si="8"/>
        <v>0</v>
      </c>
      <c r="E61" s="943" t="b">
        <f t="shared" si="5"/>
        <v>1</v>
      </c>
      <c r="F61" s="943" t="b">
        <f>ISNUMBER(#REF!)</f>
        <v>0</v>
      </c>
      <c r="G61" s="943" t="b">
        <f>ISNUMBER(#REF!)</f>
        <v>0</v>
      </c>
      <c r="H61" s="943" t="b">
        <f>ISNUMBER(#REF!)</f>
        <v>0</v>
      </c>
      <c r="I61" s="943" t="b">
        <f>ISNUMBER(#REF!)</f>
        <v>0</v>
      </c>
      <c r="J61" s="943" t="b">
        <f>ISNUMBER(#REF!)</f>
        <v>0</v>
      </c>
      <c r="K61" s="943" t="b">
        <f>ISNUMBER(#REF!)</f>
        <v>0</v>
      </c>
      <c r="L61" s="943" t="b">
        <f>ISNUMBER(#REF!)</f>
        <v>0</v>
      </c>
      <c r="M61" s="943" t="b">
        <f>ISNUMBER(#REF!)</f>
        <v>0</v>
      </c>
      <c r="N61" s="943" t="b">
        <f>ISNUMBER(#REF!)</f>
        <v>0</v>
      </c>
      <c r="O61" s="943" t="b">
        <f>ISNUMBER(#REF!)</f>
        <v>0</v>
      </c>
      <c r="P61" s="943" t="b">
        <f>ISNUMBER(#REF!)</f>
        <v>0</v>
      </c>
      <c r="Q61" s="951" t="str">
        <f t="shared" si="7"/>
        <v/>
      </c>
    </row>
    <row r="62" spans="1:17" ht="27.75" customHeight="1">
      <c r="A62" s="968">
        <f t="shared" si="3"/>
        <v>45006.364583333336</v>
      </c>
      <c r="B62" s="949" t="s">
        <v>986</v>
      </c>
      <c r="C62" s="950">
        <f t="shared" si="8"/>
        <v>0</v>
      </c>
      <c r="E62" s="943" t="b">
        <f t="shared" si="5"/>
        <v>1</v>
      </c>
      <c r="F62" s="943" t="b">
        <f>ISNUMBER(#REF!)</f>
        <v>0</v>
      </c>
      <c r="G62" s="943" t="b">
        <f>ISNUMBER(#REF!)</f>
        <v>0</v>
      </c>
      <c r="H62" s="943" t="b">
        <f>ISNUMBER(#REF!)</f>
        <v>0</v>
      </c>
      <c r="I62" s="943" t="b">
        <f>ISNUMBER(#REF!)</f>
        <v>0</v>
      </c>
      <c r="J62" s="943" t="b">
        <f>ISNUMBER(#REF!)</f>
        <v>0</v>
      </c>
      <c r="K62" s="943" t="b">
        <f>ISNUMBER(#REF!)</f>
        <v>0</v>
      </c>
      <c r="L62" s="943" t="b">
        <f>ISNUMBER(#REF!)</f>
        <v>0</v>
      </c>
      <c r="M62" s="943" t="b">
        <f>ISNUMBER(#REF!)</f>
        <v>0</v>
      </c>
      <c r="N62" s="943" t="b">
        <f>ISNUMBER(#REF!)</f>
        <v>0</v>
      </c>
      <c r="O62" s="943" t="b">
        <f>ISNUMBER(#REF!)</f>
        <v>0</v>
      </c>
      <c r="P62" s="943" t="b">
        <f>ISNUMBER(#REF!)</f>
        <v>0</v>
      </c>
      <c r="Q62" s="951" t="str">
        <f t="shared" si="7"/>
        <v/>
      </c>
    </row>
    <row r="63" spans="1:17" ht="27.75" customHeight="1">
      <c r="A63" s="968">
        <f t="shared" si="3"/>
        <v>45006.364583333336</v>
      </c>
      <c r="B63" s="949" t="s">
        <v>916</v>
      </c>
      <c r="C63" s="950">
        <f t="shared" si="8"/>
        <v>0</v>
      </c>
      <c r="E63" s="943" t="b">
        <f t="shared" si="5"/>
        <v>1</v>
      </c>
      <c r="F63" s="943" t="b">
        <f>ISNUMBER(#REF!)</f>
        <v>0</v>
      </c>
      <c r="G63" s="943" t="b">
        <f>ISNUMBER(#REF!)</f>
        <v>0</v>
      </c>
      <c r="H63" s="943" t="b">
        <f>ISNUMBER(#REF!)</f>
        <v>0</v>
      </c>
      <c r="I63" s="943" t="b">
        <f>ISNUMBER(#REF!)</f>
        <v>0</v>
      </c>
      <c r="J63" s="943" t="b">
        <f>ISNUMBER(#REF!)</f>
        <v>0</v>
      </c>
      <c r="K63" s="943" t="b">
        <f>ISNUMBER(#REF!)</f>
        <v>0</v>
      </c>
      <c r="L63" s="943" t="b">
        <f>ISNUMBER(#REF!)</f>
        <v>0</v>
      </c>
      <c r="M63" s="943" t="b">
        <f>ISNUMBER(#REF!)</f>
        <v>0</v>
      </c>
      <c r="N63" s="943" t="b">
        <f>ISNUMBER(#REF!)</f>
        <v>0</v>
      </c>
      <c r="O63" s="943" t="b">
        <f>ISNUMBER(#REF!)</f>
        <v>0</v>
      </c>
      <c r="P63" s="943" t="b">
        <f>ISNUMBER(#REF!)</f>
        <v>0</v>
      </c>
      <c r="Q63" s="951" t="str">
        <f t="shared" si="7"/>
        <v/>
      </c>
    </row>
    <row r="64" spans="1:17" ht="27.75" customHeight="1">
      <c r="A64" s="968">
        <f t="shared" si="3"/>
        <v>45006.364583333336</v>
      </c>
      <c r="B64" s="949" t="s">
        <v>915</v>
      </c>
      <c r="C64" s="950">
        <f t="shared" si="8"/>
        <v>0</v>
      </c>
      <c r="E64" s="943" t="b">
        <f t="shared" si="5"/>
        <v>1</v>
      </c>
      <c r="F64" s="943" t="b">
        <f>ISNUMBER(#REF!)</f>
        <v>0</v>
      </c>
      <c r="G64" s="943" t="b">
        <f>ISNUMBER(#REF!)</f>
        <v>0</v>
      </c>
      <c r="H64" s="943" t="b">
        <f>ISNUMBER(#REF!)</f>
        <v>0</v>
      </c>
      <c r="I64" s="943" t="b">
        <f>ISNUMBER(#REF!)</f>
        <v>0</v>
      </c>
      <c r="J64" s="943" t="b">
        <f>ISNUMBER(#REF!)</f>
        <v>0</v>
      </c>
      <c r="K64" s="943" t="b">
        <f>ISNUMBER(#REF!)</f>
        <v>0</v>
      </c>
      <c r="L64" s="943" t="b">
        <f>ISNUMBER(#REF!)</f>
        <v>0</v>
      </c>
      <c r="M64" s="943" t="b">
        <f>ISNUMBER(#REF!)</f>
        <v>0</v>
      </c>
      <c r="N64" s="943" t="b">
        <f>ISNUMBER(#REF!)</f>
        <v>0</v>
      </c>
      <c r="O64" s="943" t="b">
        <f>ISNUMBER(#REF!)</f>
        <v>0</v>
      </c>
      <c r="P64" s="943" t="b">
        <f>ISNUMBER(#REF!)</f>
        <v>0</v>
      </c>
      <c r="Q64" s="951" t="str">
        <f t="shared" si="7"/>
        <v/>
      </c>
    </row>
    <row r="65" spans="1:17" ht="27.75" customHeight="1">
      <c r="A65" s="968">
        <f t="shared" si="3"/>
        <v>45006.364583333336</v>
      </c>
      <c r="B65" s="949" t="s">
        <v>917</v>
      </c>
      <c r="C65" s="950">
        <f t="shared" si="8"/>
        <v>0</v>
      </c>
      <c r="E65" s="943" t="b">
        <f t="shared" si="5"/>
        <v>1</v>
      </c>
      <c r="F65" s="943" t="b">
        <f>ISNUMBER(#REF!)</f>
        <v>0</v>
      </c>
      <c r="G65" s="943" t="b">
        <f>ISNUMBER(#REF!)</f>
        <v>0</v>
      </c>
      <c r="H65" s="943" t="b">
        <f>ISNUMBER(#REF!)</f>
        <v>0</v>
      </c>
      <c r="I65" s="943" t="b">
        <f>ISNUMBER(#REF!)</f>
        <v>0</v>
      </c>
      <c r="J65" s="943" t="b">
        <f>ISNUMBER(#REF!)</f>
        <v>0</v>
      </c>
      <c r="K65" s="943" t="b">
        <f>ISNUMBER(#REF!)</f>
        <v>0</v>
      </c>
      <c r="L65" s="943" t="b">
        <f>ISNUMBER(#REF!)</f>
        <v>0</v>
      </c>
      <c r="M65" s="943" t="b">
        <f>ISNUMBER(#REF!)</f>
        <v>0</v>
      </c>
      <c r="N65" s="943" t="b">
        <f>ISNUMBER(#REF!)</f>
        <v>0</v>
      </c>
      <c r="O65" s="943" t="b">
        <f>ISNUMBER(#REF!)</f>
        <v>0</v>
      </c>
      <c r="P65" s="943" t="b">
        <f>ISNUMBER(#REF!)</f>
        <v>0</v>
      </c>
      <c r="Q65" s="951" t="str">
        <f t="shared" si="7"/>
        <v/>
      </c>
    </row>
    <row r="66" spans="1:17" ht="27.75" customHeight="1">
      <c r="A66" s="968">
        <f t="shared" si="3"/>
        <v>45006.364583333336</v>
      </c>
      <c r="B66" s="949" t="s">
        <v>918</v>
      </c>
      <c r="C66" s="950">
        <f t="shared" si="8"/>
        <v>0</v>
      </c>
      <c r="E66" s="943" t="b">
        <f t="shared" si="5"/>
        <v>1</v>
      </c>
      <c r="F66" s="943" t="b">
        <f>ISNUMBER(#REF!)</f>
        <v>0</v>
      </c>
      <c r="G66" s="943" t="b">
        <f>ISNUMBER(#REF!)</f>
        <v>0</v>
      </c>
      <c r="H66" s="943" t="b">
        <f>ISNUMBER(#REF!)</f>
        <v>0</v>
      </c>
      <c r="I66" s="943" t="b">
        <f>ISNUMBER(#REF!)</f>
        <v>0</v>
      </c>
      <c r="J66" s="943" t="b">
        <f>ISNUMBER(#REF!)</f>
        <v>0</v>
      </c>
      <c r="K66" s="943" t="b">
        <f>ISNUMBER(#REF!)</f>
        <v>0</v>
      </c>
      <c r="L66" s="943" t="b">
        <f>ISNUMBER(#REF!)</f>
        <v>0</v>
      </c>
      <c r="M66" s="943" t="b">
        <f>ISNUMBER(#REF!)</f>
        <v>0</v>
      </c>
      <c r="N66" s="943" t="b">
        <f>ISNUMBER(#REF!)</f>
        <v>0</v>
      </c>
      <c r="O66" s="943" t="b">
        <f>ISNUMBER(#REF!)</f>
        <v>0</v>
      </c>
      <c r="P66" s="943" t="b">
        <f>ISNUMBER(#REF!)</f>
        <v>0</v>
      </c>
      <c r="Q66" s="951" t="str">
        <f t="shared" si="7"/>
        <v/>
      </c>
    </row>
    <row r="67" spans="1:17" ht="27.75" customHeight="1">
      <c r="A67" s="968">
        <f t="shared" si="3"/>
        <v>45006.364583333336</v>
      </c>
      <c r="B67" s="949" t="s">
        <v>919</v>
      </c>
      <c r="C67" s="950">
        <f t="shared" si="8"/>
        <v>0</v>
      </c>
      <c r="E67" s="943" t="b">
        <f t="shared" si="5"/>
        <v>1</v>
      </c>
      <c r="F67" s="943" t="b">
        <f>ISNUMBER(#REF!)</f>
        <v>0</v>
      </c>
      <c r="G67" s="943" t="b">
        <f>ISNUMBER(#REF!)</f>
        <v>0</v>
      </c>
      <c r="H67" s="943" t="b">
        <f>ISNUMBER(#REF!)</f>
        <v>0</v>
      </c>
      <c r="I67" s="943" t="b">
        <f>ISNUMBER(#REF!)</f>
        <v>0</v>
      </c>
      <c r="J67" s="943" t="b">
        <f>ISNUMBER(#REF!)</f>
        <v>0</v>
      </c>
      <c r="K67" s="943" t="b">
        <f>ISNUMBER(#REF!)</f>
        <v>0</v>
      </c>
      <c r="L67" s="943" t="b">
        <f>ISNUMBER(#REF!)</f>
        <v>0</v>
      </c>
      <c r="M67" s="943" t="b">
        <f>ISNUMBER(#REF!)</f>
        <v>0</v>
      </c>
      <c r="N67" s="943" t="b">
        <f>ISNUMBER(#REF!)</f>
        <v>0</v>
      </c>
      <c r="O67" s="943" t="b">
        <f>ISNUMBER(#REF!)</f>
        <v>0</v>
      </c>
      <c r="P67" s="943" t="b">
        <f>ISNUMBER(#REF!)</f>
        <v>0</v>
      </c>
      <c r="Q67" s="951" t="str">
        <f t="shared" si="7"/>
        <v/>
      </c>
    </row>
    <row r="68" spans="1:17" ht="27.75" customHeight="1">
      <c r="A68" s="968">
        <f t="shared" si="3"/>
        <v>45006.364583333336</v>
      </c>
      <c r="B68" s="949" t="s">
        <v>920</v>
      </c>
      <c r="C68" s="950">
        <f t="shared" si="8"/>
        <v>0</v>
      </c>
      <c r="E68" s="943" t="b">
        <f t="shared" ref="E68:E96" si="9">ISNUMBER(C68)</f>
        <v>1</v>
      </c>
      <c r="F68" s="943" t="b">
        <f>ISNUMBER(#REF!)</f>
        <v>0</v>
      </c>
      <c r="G68" s="943" t="b">
        <f>ISNUMBER(#REF!)</f>
        <v>0</v>
      </c>
      <c r="H68" s="943" t="b">
        <f>ISNUMBER(#REF!)</f>
        <v>0</v>
      </c>
      <c r="I68" s="943" t="b">
        <f>ISNUMBER(#REF!)</f>
        <v>0</v>
      </c>
      <c r="J68" s="943" t="b">
        <f>ISNUMBER(#REF!)</f>
        <v>0</v>
      </c>
      <c r="K68" s="943" t="b">
        <f>ISNUMBER(#REF!)</f>
        <v>0</v>
      </c>
      <c r="L68" s="943" t="b">
        <f>ISNUMBER(#REF!)</f>
        <v>0</v>
      </c>
      <c r="M68" s="943" t="b">
        <f>ISNUMBER(#REF!)</f>
        <v>0</v>
      </c>
      <c r="N68" s="943" t="b">
        <f>ISNUMBER(#REF!)</f>
        <v>0</v>
      </c>
      <c r="O68" s="943" t="b">
        <f>ISNUMBER(#REF!)</f>
        <v>0</v>
      </c>
      <c r="P68" s="943" t="b">
        <f>ISNUMBER(#REF!)</f>
        <v>0</v>
      </c>
      <c r="Q68" s="951" t="str">
        <f t="shared" si="7"/>
        <v/>
      </c>
    </row>
    <row r="69" spans="1:17" ht="27.75" customHeight="1">
      <c r="A69" s="968">
        <f t="shared" si="3"/>
        <v>45006.364583333336</v>
      </c>
      <c r="B69" s="949" t="s">
        <v>921</v>
      </c>
      <c r="C69" s="950">
        <f t="shared" si="8"/>
        <v>0</v>
      </c>
      <c r="E69" s="943" t="b">
        <f t="shared" si="9"/>
        <v>1</v>
      </c>
      <c r="F69" s="943" t="b">
        <f>ISNUMBER(#REF!)</f>
        <v>0</v>
      </c>
      <c r="G69" s="943" t="b">
        <f>ISNUMBER(#REF!)</f>
        <v>0</v>
      </c>
      <c r="H69" s="943" t="b">
        <f>ISNUMBER(#REF!)</f>
        <v>0</v>
      </c>
      <c r="I69" s="943" t="b">
        <f>ISNUMBER(#REF!)</f>
        <v>0</v>
      </c>
      <c r="J69" s="943" t="b">
        <f>ISNUMBER(#REF!)</f>
        <v>0</v>
      </c>
      <c r="K69" s="943" t="b">
        <f>ISNUMBER(#REF!)</f>
        <v>0</v>
      </c>
      <c r="L69" s="943" t="b">
        <f>ISNUMBER(#REF!)</f>
        <v>0</v>
      </c>
      <c r="M69" s="943" t="b">
        <f>ISNUMBER(#REF!)</f>
        <v>0</v>
      </c>
      <c r="N69" s="943" t="b">
        <f>ISNUMBER(#REF!)</f>
        <v>0</v>
      </c>
      <c r="O69" s="943" t="b">
        <f>ISNUMBER(#REF!)</f>
        <v>0</v>
      </c>
      <c r="P69" s="943" t="b">
        <f>ISNUMBER(#REF!)</f>
        <v>0</v>
      </c>
      <c r="Q69" s="951" t="str">
        <f t="shared" si="7"/>
        <v/>
      </c>
    </row>
    <row r="70" spans="1:17" ht="27.75" customHeight="1">
      <c r="A70" s="968">
        <f t="shared" ref="A70:A96" si="10">$A$4</f>
        <v>45006.364583333336</v>
      </c>
      <c r="B70" s="949" t="s">
        <v>508</v>
      </c>
      <c r="C70" s="950">
        <f t="shared" si="8"/>
        <v>0</v>
      </c>
      <c r="E70" s="943" t="b">
        <f t="shared" si="9"/>
        <v>1</v>
      </c>
      <c r="F70" s="943" t="b">
        <f>ISNUMBER(#REF!)</f>
        <v>0</v>
      </c>
      <c r="G70" s="943" t="b">
        <f>ISNUMBER(#REF!)</f>
        <v>0</v>
      </c>
      <c r="H70" s="943" t="b">
        <f>ISNUMBER(#REF!)</f>
        <v>0</v>
      </c>
      <c r="I70" s="943" t="b">
        <f>ISNUMBER(#REF!)</f>
        <v>0</v>
      </c>
      <c r="J70" s="943" t="b">
        <f>ISNUMBER(#REF!)</f>
        <v>0</v>
      </c>
      <c r="K70" s="943" t="b">
        <f>ISNUMBER(#REF!)</f>
        <v>0</v>
      </c>
      <c r="L70" s="943" t="b">
        <f>ISNUMBER(#REF!)</f>
        <v>0</v>
      </c>
      <c r="M70" s="943" t="b">
        <f>ISNUMBER(#REF!)</f>
        <v>0</v>
      </c>
      <c r="N70" s="943" t="b">
        <f>ISNUMBER(#REF!)</f>
        <v>0</v>
      </c>
      <c r="O70" s="943" t="b">
        <f>ISNUMBER(#REF!)</f>
        <v>0</v>
      </c>
      <c r="P70" s="943" t="b">
        <f>ISNUMBER(#REF!)</f>
        <v>0</v>
      </c>
      <c r="Q70" s="951" t="str">
        <f t="shared" si="7"/>
        <v/>
      </c>
    </row>
    <row r="71" spans="1:17" ht="27.75" customHeight="1">
      <c r="A71" s="968">
        <f t="shared" si="10"/>
        <v>45006.364583333336</v>
      </c>
      <c r="B71" s="949" t="s">
        <v>512</v>
      </c>
      <c r="C71" s="950">
        <f t="shared" si="8"/>
        <v>0</v>
      </c>
      <c r="E71" s="943" t="b">
        <f t="shared" si="9"/>
        <v>1</v>
      </c>
      <c r="F71" s="943" t="b">
        <f>ISNUMBER(#REF!)</f>
        <v>0</v>
      </c>
      <c r="G71" s="943" t="b">
        <f>ISNUMBER(#REF!)</f>
        <v>0</v>
      </c>
      <c r="H71" s="943" t="b">
        <f>ISNUMBER(#REF!)</f>
        <v>0</v>
      </c>
      <c r="I71" s="943" t="b">
        <f>ISNUMBER(#REF!)</f>
        <v>0</v>
      </c>
      <c r="J71" s="943" t="b">
        <f>ISNUMBER(#REF!)</f>
        <v>0</v>
      </c>
      <c r="K71" s="943" t="b">
        <f>ISNUMBER(#REF!)</f>
        <v>0</v>
      </c>
      <c r="L71" s="943" t="b">
        <f>ISNUMBER(#REF!)</f>
        <v>0</v>
      </c>
      <c r="M71" s="943" t="b">
        <f>ISNUMBER(#REF!)</f>
        <v>0</v>
      </c>
      <c r="N71" s="943" t="b">
        <f>ISNUMBER(#REF!)</f>
        <v>0</v>
      </c>
      <c r="O71" s="943" t="b">
        <f>ISNUMBER(#REF!)</f>
        <v>0</v>
      </c>
      <c r="P71" s="943" t="b">
        <f>ISNUMBER(#REF!)</f>
        <v>0</v>
      </c>
      <c r="Q71" s="951" t="str">
        <f t="shared" si="7"/>
        <v/>
      </c>
    </row>
    <row r="72" spans="1:17" ht="27.75" customHeight="1">
      <c r="A72" s="968">
        <f t="shared" si="10"/>
        <v>45006.364583333336</v>
      </c>
      <c r="B72" s="949" t="s">
        <v>514</v>
      </c>
      <c r="C72" s="950">
        <f t="shared" si="8"/>
        <v>0</v>
      </c>
      <c r="E72" s="943" t="b">
        <f t="shared" si="9"/>
        <v>1</v>
      </c>
      <c r="F72" s="943" t="b">
        <f>ISNUMBER(#REF!)</f>
        <v>0</v>
      </c>
      <c r="G72" s="943" t="b">
        <f>ISNUMBER(#REF!)</f>
        <v>0</v>
      </c>
      <c r="H72" s="943" t="b">
        <f>ISNUMBER(#REF!)</f>
        <v>0</v>
      </c>
      <c r="I72" s="943" t="b">
        <f>ISNUMBER(#REF!)</f>
        <v>0</v>
      </c>
      <c r="J72" s="943" t="b">
        <f>ISNUMBER(#REF!)</f>
        <v>0</v>
      </c>
      <c r="K72" s="943" t="b">
        <f>ISNUMBER(#REF!)</f>
        <v>0</v>
      </c>
      <c r="L72" s="943" t="b">
        <f>ISNUMBER(#REF!)</f>
        <v>0</v>
      </c>
      <c r="M72" s="943" t="b">
        <f>ISNUMBER(#REF!)</f>
        <v>0</v>
      </c>
      <c r="N72" s="943" t="b">
        <f>ISNUMBER(#REF!)</f>
        <v>0</v>
      </c>
      <c r="O72" s="943" t="b">
        <f>ISNUMBER(#REF!)</f>
        <v>0</v>
      </c>
      <c r="P72" s="943" t="b">
        <f>ISNUMBER(#REF!)</f>
        <v>0</v>
      </c>
      <c r="Q72" s="951" t="str">
        <f t="shared" si="7"/>
        <v/>
      </c>
    </row>
    <row r="73" spans="1:17" ht="27.75" customHeight="1">
      <c r="A73" s="968">
        <f t="shared" si="10"/>
        <v>45006.364583333336</v>
      </c>
      <c r="B73" s="949" t="s">
        <v>516</v>
      </c>
      <c r="C73" s="950">
        <f t="shared" si="8"/>
        <v>0</v>
      </c>
      <c r="E73" s="943" t="b">
        <f t="shared" si="9"/>
        <v>1</v>
      </c>
      <c r="F73" s="943" t="b">
        <f>ISNUMBER(#REF!)</f>
        <v>0</v>
      </c>
      <c r="G73" s="943" t="b">
        <f>ISNUMBER(#REF!)</f>
        <v>0</v>
      </c>
      <c r="H73" s="943" t="b">
        <f>ISNUMBER(#REF!)</f>
        <v>0</v>
      </c>
      <c r="I73" s="943" t="b">
        <f>ISNUMBER(#REF!)</f>
        <v>0</v>
      </c>
      <c r="J73" s="943" t="b">
        <f>ISNUMBER(#REF!)</f>
        <v>0</v>
      </c>
      <c r="K73" s="943" t="b">
        <f>ISNUMBER(#REF!)</f>
        <v>0</v>
      </c>
      <c r="L73" s="943" t="b">
        <f>ISNUMBER(#REF!)</f>
        <v>0</v>
      </c>
      <c r="M73" s="943" t="b">
        <f>ISNUMBER(#REF!)</f>
        <v>0</v>
      </c>
      <c r="N73" s="943" t="b">
        <f>ISNUMBER(#REF!)</f>
        <v>0</v>
      </c>
      <c r="O73" s="943" t="b">
        <f>ISNUMBER(#REF!)</f>
        <v>0</v>
      </c>
      <c r="P73" s="943" t="b">
        <f>ISNUMBER(#REF!)</f>
        <v>0</v>
      </c>
      <c r="Q73" s="951" t="str">
        <f t="shared" si="7"/>
        <v/>
      </c>
    </row>
    <row r="74" spans="1:17" ht="27.75" customHeight="1">
      <c r="A74" s="968">
        <f t="shared" si="10"/>
        <v>45006.364583333336</v>
      </c>
      <c r="B74" s="949" t="s">
        <v>518</v>
      </c>
      <c r="C74" s="950">
        <f t="shared" si="8"/>
        <v>0</v>
      </c>
      <c r="E74" s="943" t="b">
        <f t="shared" si="9"/>
        <v>1</v>
      </c>
      <c r="F74" s="943" t="b">
        <f>ISNUMBER(#REF!)</f>
        <v>0</v>
      </c>
      <c r="G74" s="943" t="b">
        <f>ISNUMBER(#REF!)</f>
        <v>0</v>
      </c>
      <c r="H74" s="943" t="b">
        <f>ISNUMBER(#REF!)</f>
        <v>0</v>
      </c>
      <c r="I74" s="943" t="b">
        <f>ISNUMBER(#REF!)</f>
        <v>0</v>
      </c>
      <c r="J74" s="943" t="b">
        <f>ISNUMBER(#REF!)</f>
        <v>0</v>
      </c>
      <c r="K74" s="943" t="b">
        <f>ISNUMBER(#REF!)</f>
        <v>0</v>
      </c>
      <c r="L74" s="943" t="b">
        <f>ISNUMBER(#REF!)</f>
        <v>0</v>
      </c>
      <c r="M74" s="943" t="b">
        <f>ISNUMBER(#REF!)</f>
        <v>0</v>
      </c>
      <c r="N74" s="943" t="b">
        <f>ISNUMBER(#REF!)</f>
        <v>0</v>
      </c>
      <c r="O74" s="943" t="b">
        <f>ISNUMBER(#REF!)</f>
        <v>0</v>
      </c>
      <c r="P74" s="943" t="b">
        <f>ISNUMBER(#REF!)</f>
        <v>0</v>
      </c>
      <c r="Q74" s="951" t="str">
        <f t="shared" si="7"/>
        <v/>
      </c>
    </row>
    <row r="75" spans="1:17" ht="27.75" customHeight="1">
      <c r="A75" s="968">
        <f t="shared" si="10"/>
        <v>45006.364583333336</v>
      </c>
      <c r="B75" s="949" t="s">
        <v>521</v>
      </c>
      <c r="C75" s="950">
        <f t="shared" si="8"/>
        <v>0</v>
      </c>
      <c r="E75" s="943" t="b">
        <f t="shared" si="9"/>
        <v>1</v>
      </c>
      <c r="F75" s="943" t="b">
        <f>ISNUMBER(#REF!)</f>
        <v>0</v>
      </c>
      <c r="G75" s="943" t="b">
        <f>ISNUMBER(#REF!)</f>
        <v>0</v>
      </c>
      <c r="H75" s="943" t="b">
        <f>ISNUMBER(#REF!)</f>
        <v>0</v>
      </c>
      <c r="I75" s="943" t="b">
        <f>ISNUMBER(#REF!)</f>
        <v>0</v>
      </c>
      <c r="J75" s="943" t="b">
        <f>ISNUMBER(#REF!)</f>
        <v>0</v>
      </c>
      <c r="K75" s="943" t="b">
        <f>ISNUMBER(#REF!)</f>
        <v>0</v>
      </c>
      <c r="L75" s="943" t="b">
        <f>ISNUMBER(#REF!)</f>
        <v>0</v>
      </c>
      <c r="M75" s="943" t="b">
        <f>ISNUMBER(#REF!)</f>
        <v>0</v>
      </c>
      <c r="N75" s="943" t="b">
        <f>ISNUMBER(#REF!)</f>
        <v>0</v>
      </c>
      <c r="O75" s="943" t="b">
        <f>ISNUMBER(#REF!)</f>
        <v>0</v>
      </c>
      <c r="P75" s="943" t="b">
        <f>ISNUMBER(#REF!)</f>
        <v>0</v>
      </c>
      <c r="Q75" s="951" t="str">
        <f t="shared" si="7"/>
        <v/>
      </c>
    </row>
    <row r="76" spans="1:17" ht="27.75" customHeight="1">
      <c r="A76" s="968">
        <f t="shared" si="10"/>
        <v>45006.364583333336</v>
      </c>
      <c r="B76" s="949" t="s">
        <v>524</v>
      </c>
      <c r="C76" s="950">
        <f t="shared" si="8"/>
        <v>0</v>
      </c>
      <c r="E76" s="943" t="b">
        <f t="shared" si="9"/>
        <v>1</v>
      </c>
      <c r="F76" s="943" t="b">
        <f>ISNUMBER(#REF!)</f>
        <v>0</v>
      </c>
      <c r="G76" s="943" t="b">
        <f>ISNUMBER(#REF!)</f>
        <v>0</v>
      </c>
      <c r="H76" s="943" t="b">
        <f>ISNUMBER(#REF!)</f>
        <v>0</v>
      </c>
      <c r="I76" s="943" t="b">
        <f>ISNUMBER(#REF!)</f>
        <v>0</v>
      </c>
      <c r="J76" s="943" t="b">
        <f>ISNUMBER(#REF!)</f>
        <v>0</v>
      </c>
      <c r="K76" s="943" t="b">
        <f>ISNUMBER(#REF!)</f>
        <v>0</v>
      </c>
      <c r="L76" s="943" t="b">
        <f>ISNUMBER(#REF!)</f>
        <v>0</v>
      </c>
      <c r="M76" s="943" t="b">
        <f>ISNUMBER(#REF!)</f>
        <v>0</v>
      </c>
      <c r="N76" s="943" t="b">
        <f>ISNUMBER(#REF!)</f>
        <v>0</v>
      </c>
      <c r="O76" s="943" t="b">
        <f>ISNUMBER(#REF!)</f>
        <v>0</v>
      </c>
      <c r="P76" s="943" t="b">
        <f>ISNUMBER(#REF!)</f>
        <v>0</v>
      </c>
      <c r="Q76" s="951" t="str">
        <f t="shared" si="7"/>
        <v/>
      </c>
    </row>
    <row r="77" spans="1:17" ht="27.75" customHeight="1">
      <c r="A77" s="968">
        <f t="shared" si="10"/>
        <v>45006.364583333336</v>
      </c>
      <c r="B77" s="949" t="s">
        <v>527</v>
      </c>
      <c r="C77" s="950">
        <f t="shared" si="8"/>
        <v>0</v>
      </c>
      <c r="E77" s="943" t="b">
        <f t="shared" si="9"/>
        <v>1</v>
      </c>
      <c r="F77" s="943" t="b">
        <f>ISNUMBER(#REF!)</f>
        <v>0</v>
      </c>
      <c r="G77" s="943" t="b">
        <f>ISNUMBER(#REF!)</f>
        <v>0</v>
      </c>
      <c r="H77" s="943" t="b">
        <f>ISNUMBER(#REF!)</f>
        <v>0</v>
      </c>
      <c r="I77" s="943" t="b">
        <f>ISNUMBER(#REF!)</f>
        <v>0</v>
      </c>
      <c r="J77" s="943" t="b">
        <f>ISNUMBER(#REF!)</f>
        <v>0</v>
      </c>
      <c r="K77" s="943" t="b">
        <f>ISNUMBER(#REF!)</f>
        <v>0</v>
      </c>
      <c r="L77" s="943" t="b">
        <f>ISNUMBER(#REF!)</f>
        <v>0</v>
      </c>
      <c r="M77" s="943" t="b">
        <f>ISNUMBER(#REF!)</f>
        <v>0</v>
      </c>
      <c r="N77" s="943" t="b">
        <f>ISNUMBER(#REF!)</f>
        <v>0</v>
      </c>
      <c r="O77" s="943" t="b">
        <f>ISNUMBER(#REF!)</f>
        <v>0</v>
      </c>
      <c r="P77" s="943" t="b">
        <f>ISNUMBER(#REF!)</f>
        <v>0</v>
      </c>
      <c r="Q77" s="951" t="str">
        <f t="shared" si="7"/>
        <v/>
      </c>
    </row>
    <row r="78" spans="1:17" ht="27.75" customHeight="1">
      <c r="A78" s="968">
        <f t="shared" si="10"/>
        <v>45006.364583333336</v>
      </c>
      <c r="B78" s="976" t="s">
        <v>530</v>
      </c>
      <c r="C78" s="977">
        <f t="shared" si="8"/>
        <v>0</v>
      </c>
      <c r="D78" s="978"/>
      <c r="E78" s="978" t="b">
        <f t="shared" si="9"/>
        <v>1</v>
      </c>
      <c r="F78" s="978" t="b">
        <f>ISNUMBER(#REF!)</f>
        <v>0</v>
      </c>
      <c r="G78" s="978" t="b">
        <f>ISNUMBER(#REF!)</f>
        <v>0</v>
      </c>
      <c r="H78" s="978" t="b">
        <f>ISNUMBER(#REF!)</f>
        <v>0</v>
      </c>
      <c r="I78" s="978" t="b">
        <f>ISNUMBER(#REF!)</f>
        <v>0</v>
      </c>
      <c r="J78" s="978" t="b">
        <f>ISNUMBER(#REF!)</f>
        <v>0</v>
      </c>
      <c r="K78" s="978" t="b">
        <f>ISNUMBER(#REF!)</f>
        <v>0</v>
      </c>
      <c r="L78" s="978" t="b">
        <f>ISNUMBER(#REF!)</f>
        <v>0</v>
      </c>
      <c r="M78" s="978" t="b">
        <f>ISNUMBER(#REF!)</f>
        <v>0</v>
      </c>
      <c r="N78" s="978" t="b">
        <f>ISNUMBER(#REF!)</f>
        <v>0</v>
      </c>
      <c r="O78" s="978" t="b">
        <f>ISNUMBER(#REF!)</f>
        <v>0</v>
      </c>
      <c r="P78" s="978" t="b">
        <f>ISNUMBER(#REF!)</f>
        <v>0</v>
      </c>
      <c r="Q78" s="976" t="str">
        <f t="shared" si="7"/>
        <v/>
      </c>
    </row>
    <row r="79" spans="1:17" ht="27.75" customHeight="1">
      <c r="A79" s="968">
        <f t="shared" si="10"/>
        <v>45006.364583333336</v>
      </c>
      <c r="B79" s="976" t="s">
        <v>535</v>
      </c>
      <c r="C79" s="977" t="str">
        <f t="shared" si="8"/>
        <v/>
      </c>
      <c r="D79" s="978"/>
      <c r="E79" s="978" t="b">
        <f t="shared" si="9"/>
        <v>0</v>
      </c>
      <c r="F79" s="978" t="b">
        <f>ISNUMBER(#REF!)</f>
        <v>0</v>
      </c>
      <c r="G79" s="978" t="b">
        <f>ISNUMBER(#REF!)</f>
        <v>0</v>
      </c>
      <c r="H79" s="978" t="b">
        <f>ISNUMBER(#REF!)</f>
        <v>0</v>
      </c>
      <c r="I79" s="978" t="b">
        <f>ISNUMBER(#REF!)</f>
        <v>0</v>
      </c>
      <c r="J79" s="978" t="b">
        <f>ISNUMBER(#REF!)</f>
        <v>0</v>
      </c>
      <c r="K79" s="978" t="b">
        <f>ISNUMBER(#REF!)</f>
        <v>0</v>
      </c>
      <c r="L79" s="978" t="b">
        <f>ISNUMBER(#REF!)</f>
        <v>0</v>
      </c>
      <c r="M79" s="978" t="b">
        <f>ISNUMBER(#REF!)</f>
        <v>0</v>
      </c>
      <c r="N79" s="978" t="b">
        <f>ISNUMBER(#REF!)</f>
        <v>0</v>
      </c>
      <c r="O79" s="978" t="b">
        <f>ISNUMBER(#REF!)</f>
        <v>0</v>
      </c>
      <c r="P79" s="978" t="b">
        <f>ISNUMBER(#REF!)</f>
        <v>0</v>
      </c>
      <c r="Q79" s="976">
        <f t="shared" si="7"/>
        <v>1</v>
      </c>
    </row>
    <row r="80" spans="1:17" ht="27.75" customHeight="1">
      <c r="A80" s="968">
        <f t="shared" si="10"/>
        <v>45006.364583333336</v>
      </c>
      <c r="B80" s="976" t="s">
        <v>536</v>
      </c>
      <c r="C80" s="977" t="str">
        <f t="shared" si="8"/>
        <v/>
      </c>
      <c r="D80" s="978"/>
      <c r="E80" s="978" t="b">
        <f t="shared" si="9"/>
        <v>0</v>
      </c>
      <c r="F80" s="978" t="b">
        <f>ISNUMBER(#REF!)</f>
        <v>0</v>
      </c>
      <c r="G80" s="978" t="b">
        <f>ISNUMBER(#REF!)</f>
        <v>0</v>
      </c>
      <c r="H80" s="978" t="b">
        <f>ISNUMBER(#REF!)</f>
        <v>0</v>
      </c>
      <c r="I80" s="978" t="b">
        <f>ISNUMBER(#REF!)</f>
        <v>0</v>
      </c>
      <c r="J80" s="978" t="b">
        <f>ISNUMBER(#REF!)</f>
        <v>0</v>
      </c>
      <c r="K80" s="978" t="b">
        <f>ISNUMBER(#REF!)</f>
        <v>0</v>
      </c>
      <c r="L80" s="978" t="b">
        <f>ISNUMBER(#REF!)</f>
        <v>0</v>
      </c>
      <c r="M80" s="978" t="b">
        <f>ISNUMBER(#REF!)</f>
        <v>0</v>
      </c>
      <c r="N80" s="978" t="b">
        <f>ISNUMBER(#REF!)</f>
        <v>0</v>
      </c>
      <c r="O80" s="978" t="b">
        <f>ISNUMBER(#REF!)</f>
        <v>0</v>
      </c>
      <c r="P80" s="978" t="b">
        <f>ISNUMBER(#REF!)</f>
        <v>0</v>
      </c>
      <c r="Q80" s="976">
        <f t="shared" si="7"/>
        <v>1</v>
      </c>
    </row>
    <row r="81" spans="1:17" ht="27.75" customHeight="1">
      <c r="A81" s="968">
        <f t="shared" si="10"/>
        <v>45006.364583333336</v>
      </c>
      <c r="B81" s="976" t="s">
        <v>539</v>
      </c>
      <c r="C81" s="977" t="str">
        <f t="shared" si="8"/>
        <v/>
      </c>
      <c r="D81" s="978"/>
      <c r="E81" s="978" t="b">
        <f t="shared" si="9"/>
        <v>0</v>
      </c>
      <c r="F81" s="979" t="b">
        <f>ISNUMBER(#REF!)</f>
        <v>0</v>
      </c>
      <c r="G81" s="978" t="b">
        <f>ISNUMBER(#REF!)</f>
        <v>0</v>
      </c>
      <c r="H81" s="978" t="b">
        <f>ISNUMBER(#REF!)</f>
        <v>0</v>
      </c>
      <c r="I81" s="978" t="b">
        <f>ISNUMBER(#REF!)</f>
        <v>0</v>
      </c>
      <c r="J81" s="978" t="b">
        <f>ISNUMBER(#REF!)</f>
        <v>0</v>
      </c>
      <c r="K81" s="978" t="b">
        <f>ISNUMBER(#REF!)</f>
        <v>0</v>
      </c>
      <c r="L81" s="978" t="b">
        <f>ISNUMBER(#REF!)</f>
        <v>0</v>
      </c>
      <c r="M81" s="978" t="b">
        <f>ISNUMBER(#REF!)</f>
        <v>0</v>
      </c>
      <c r="N81" s="978" t="b">
        <f>ISNUMBER(#REF!)</f>
        <v>0</v>
      </c>
      <c r="O81" s="978" t="b">
        <f>ISNUMBER(#REF!)</f>
        <v>0</v>
      </c>
      <c r="P81" s="978" t="b">
        <f>ISNUMBER(#REF!)</f>
        <v>0</v>
      </c>
      <c r="Q81" s="976">
        <f t="shared" si="7"/>
        <v>1</v>
      </c>
    </row>
    <row r="82" spans="1:17" ht="27.75" customHeight="1">
      <c r="A82" s="968">
        <f t="shared" si="10"/>
        <v>45006.364583333336</v>
      </c>
      <c r="B82" s="976" t="s">
        <v>540</v>
      </c>
      <c r="C82" s="977" t="str">
        <f t="shared" si="8"/>
        <v/>
      </c>
      <c r="D82" s="978"/>
      <c r="E82" s="978" t="b">
        <f t="shared" si="9"/>
        <v>0</v>
      </c>
      <c r="F82" s="979" t="b">
        <f>ISNUMBER(#REF!)</f>
        <v>0</v>
      </c>
      <c r="G82" s="978" t="b">
        <f>ISNUMBER(#REF!)</f>
        <v>0</v>
      </c>
      <c r="H82" s="978" t="b">
        <f>ISNUMBER(#REF!)</f>
        <v>0</v>
      </c>
      <c r="I82" s="978" t="b">
        <f>ISNUMBER(#REF!)</f>
        <v>0</v>
      </c>
      <c r="J82" s="978" t="b">
        <f>ISNUMBER(#REF!)</f>
        <v>0</v>
      </c>
      <c r="K82" s="978" t="b">
        <f>ISNUMBER(#REF!)</f>
        <v>0</v>
      </c>
      <c r="L82" s="978" t="b">
        <f>ISNUMBER(#REF!)</f>
        <v>0</v>
      </c>
      <c r="M82" s="978" t="b">
        <f>ISNUMBER(#REF!)</f>
        <v>0</v>
      </c>
      <c r="N82" s="978" t="b">
        <f>ISNUMBER(#REF!)</f>
        <v>0</v>
      </c>
      <c r="O82" s="978" t="b">
        <f>ISNUMBER(#REF!)</f>
        <v>0</v>
      </c>
      <c r="P82" s="978" t="b">
        <f>ISNUMBER(#REF!)</f>
        <v>0</v>
      </c>
      <c r="Q82" s="976">
        <f t="shared" si="7"/>
        <v>1</v>
      </c>
    </row>
    <row r="83" spans="1:17" ht="27.75" customHeight="1">
      <c r="A83" s="968">
        <f t="shared" si="10"/>
        <v>45006.364583333336</v>
      </c>
      <c r="B83" s="949" t="s">
        <v>562</v>
      </c>
      <c r="C83" s="950">
        <f t="shared" si="8"/>
        <v>0</v>
      </c>
      <c r="E83" s="943" t="b">
        <f t="shared" si="9"/>
        <v>1</v>
      </c>
      <c r="F83" s="943" t="b">
        <f>ISNUMBER(#REF!)</f>
        <v>0</v>
      </c>
      <c r="G83" s="943" t="b">
        <f>ISNUMBER(#REF!)</f>
        <v>0</v>
      </c>
      <c r="H83" s="943" t="b">
        <f>ISNUMBER(#REF!)</f>
        <v>0</v>
      </c>
      <c r="I83" s="943" t="b">
        <f>ISNUMBER(#REF!)</f>
        <v>0</v>
      </c>
      <c r="J83" s="943" t="b">
        <f>ISNUMBER(#REF!)</f>
        <v>0</v>
      </c>
      <c r="K83" s="943" t="b">
        <f>ISNUMBER(#REF!)</f>
        <v>0</v>
      </c>
      <c r="L83" s="943" t="b">
        <f>ISNUMBER(#REF!)</f>
        <v>0</v>
      </c>
      <c r="M83" s="943" t="b">
        <f>ISNUMBER(#REF!)</f>
        <v>0</v>
      </c>
      <c r="N83" s="943" t="b">
        <f>ISNUMBER(#REF!)</f>
        <v>0</v>
      </c>
      <c r="O83" s="943" t="b">
        <f>ISNUMBER(#REF!)</f>
        <v>0</v>
      </c>
      <c r="P83" s="943" t="b">
        <f>ISNUMBER(#REF!)</f>
        <v>0</v>
      </c>
      <c r="Q83" s="951" t="str">
        <f t="shared" si="7"/>
        <v/>
      </c>
    </row>
    <row r="84" spans="1:17" ht="27.75" customHeight="1">
      <c r="A84" s="968">
        <f t="shared" si="10"/>
        <v>45006.364583333336</v>
      </c>
      <c r="B84" s="949" t="s">
        <v>566</v>
      </c>
      <c r="C84" s="950">
        <f t="shared" si="8"/>
        <v>0</v>
      </c>
      <c r="E84" s="943" t="b">
        <f t="shared" si="9"/>
        <v>1</v>
      </c>
      <c r="F84" s="943" t="b">
        <f>ISNUMBER(#REF!)</f>
        <v>0</v>
      </c>
      <c r="G84" s="943" t="b">
        <f>ISNUMBER(#REF!)</f>
        <v>0</v>
      </c>
      <c r="H84" s="943" t="b">
        <f>ISNUMBER(#REF!)</f>
        <v>0</v>
      </c>
      <c r="I84" s="943" t="b">
        <f>ISNUMBER(#REF!)</f>
        <v>0</v>
      </c>
      <c r="J84" s="943" t="b">
        <f>ISNUMBER(#REF!)</f>
        <v>0</v>
      </c>
      <c r="K84" s="943" t="b">
        <f>ISNUMBER(#REF!)</f>
        <v>0</v>
      </c>
      <c r="L84" s="943" t="b">
        <f>ISNUMBER(#REF!)</f>
        <v>0</v>
      </c>
      <c r="M84" s="943" t="b">
        <f>ISNUMBER(#REF!)</f>
        <v>0</v>
      </c>
      <c r="N84" s="943" t="b">
        <f>ISNUMBER(#REF!)</f>
        <v>0</v>
      </c>
      <c r="O84" s="943" t="b">
        <f>ISNUMBER(#REF!)</f>
        <v>0</v>
      </c>
      <c r="P84" s="943" t="b">
        <f>ISNUMBER(#REF!)</f>
        <v>0</v>
      </c>
      <c r="Q84" s="951" t="str">
        <f t="shared" si="7"/>
        <v/>
      </c>
    </row>
    <row r="85" spans="1:17" ht="27.75" customHeight="1">
      <c r="A85" s="968">
        <f t="shared" si="10"/>
        <v>45006.364583333336</v>
      </c>
      <c r="B85" s="949" t="s">
        <v>568</v>
      </c>
      <c r="C85" s="950">
        <f t="shared" si="8"/>
        <v>0</v>
      </c>
      <c r="E85" s="943" t="b">
        <f t="shared" si="9"/>
        <v>1</v>
      </c>
      <c r="F85" s="943" t="b">
        <f>ISNUMBER(#REF!)</f>
        <v>0</v>
      </c>
      <c r="G85" s="943" t="b">
        <f>ISNUMBER(#REF!)</f>
        <v>0</v>
      </c>
      <c r="H85" s="943" t="b">
        <f>ISNUMBER(#REF!)</f>
        <v>0</v>
      </c>
      <c r="I85" s="943" t="b">
        <f>ISNUMBER(#REF!)</f>
        <v>0</v>
      </c>
      <c r="J85" s="943" t="b">
        <f>ISNUMBER(#REF!)</f>
        <v>0</v>
      </c>
      <c r="K85" s="943" t="b">
        <f>ISNUMBER(#REF!)</f>
        <v>0</v>
      </c>
      <c r="L85" s="943" t="b">
        <f>ISNUMBER(#REF!)</f>
        <v>0</v>
      </c>
      <c r="M85" s="943" t="b">
        <f>ISNUMBER(#REF!)</f>
        <v>0</v>
      </c>
      <c r="N85" s="943" t="b">
        <f>ISNUMBER(#REF!)</f>
        <v>0</v>
      </c>
      <c r="O85" s="943" t="b">
        <f>ISNUMBER(#REF!)</f>
        <v>0</v>
      </c>
      <c r="P85" s="943" t="b">
        <f>ISNUMBER(#REF!)</f>
        <v>0</v>
      </c>
      <c r="Q85" s="951" t="str">
        <f t="shared" si="7"/>
        <v/>
      </c>
    </row>
    <row r="86" spans="1:17" ht="27.75" customHeight="1">
      <c r="A86" s="968">
        <f t="shared" si="10"/>
        <v>45006.364583333336</v>
      </c>
      <c r="B86" s="949" t="s">
        <v>571</v>
      </c>
      <c r="C86" s="950">
        <f t="shared" si="8"/>
        <v>0</v>
      </c>
      <c r="E86" s="943" t="b">
        <f t="shared" si="9"/>
        <v>1</v>
      </c>
      <c r="F86" s="943" t="b">
        <f>ISNUMBER(#REF!)</f>
        <v>0</v>
      </c>
      <c r="G86" s="943" t="b">
        <f>ISNUMBER(#REF!)</f>
        <v>0</v>
      </c>
      <c r="H86" s="943" t="b">
        <f>ISNUMBER(#REF!)</f>
        <v>0</v>
      </c>
      <c r="I86" s="943" t="b">
        <f>ISNUMBER(#REF!)</f>
        <v>0</v>
      </c>
      <c r="J86" s="943" t="b">
        <f>ISNUMBER(#REF!)</f>
        <v>0</v>
      </c>
      <c r="K86" s="943" t="b">
        <f>ISNUMBER(#REF!)</f>
        <v>0</v>
      </c>
      <c r="L86" s="943" t="b">
        <f>ISNUMBER(#REF!)</f>
        <v>0</v>
      </c>
      <c r="M86" s="943" t="b">
        <f>ISNUMBER(#REF!)</f>
        <v>0</v>
      </c>
      <c r="N86" s="943" t="b">
        <f>ISNUMBER(#REF!)</f>
        <v>0</v>
      </c>
      <c r="O86" s="943" t="b">
        <f>ISNUMBER(#REF!)</f>
        <v>0</v>
      </c>
      <c r="P86" s="943" t="b">
        <f>ISNUMBER(#REF!)</f>
        <v>0</v>
      </c>
      <c r="Q86" s="951" t="str">
        <f t="shared" si="7"/>
        <v/>
      </c>
    </row>
    <row r="87" spans="1:17" ht="27.75" customHeight="1">
      <c r="A87" s="968">
        <f t="shared" si="10"/>
        <v>45006.364583333336</v>
      </c>
      <c r="B87" s="949" t="s">
        <v>573</v>
      </c>
      <c r="C87" s="950">
        <f t="shared" si="8"/>
        <v>0</v>
      </c>
      <c r="E87" s="943" t="b">
        <f t="shared" si="9"/>
        <v>1</v>
      </c>
      <c r="F87" s="943" t="b">
        <f>ISNUMBER(#REF!)</f>
        <v>0</v>
      </c>
      <c r="G87" s="943" t="b">
        <f>ISNUMBER(#REF!)</f>
        <v>0</v>
      </c>
      <c r="H87" s="943" t="b">
        <f>ISNUMBER(#REF!)</f>
        <v>0</v>
      </c>
      <c r="I87" s="943" t="b">
        <f>ISNUMBER(#REF!)</f>
        <v>0</v>
      </c>
      <c r="J87" s="943" t="b">
        <f>ISNUMBER(#REF!)</f>
        <v>0</v>
      </c>
      <c r="K87" s="943" t="b">
        <f>ISNUMBER(#REF!)</f>
        <v>0</v>
      </c>
      <c r="L87" s="943" t="b">
        <f>ISNUMBER(#REF!)</f>
        <v>0</v>
      </c>
      <c r="M87" s="943" t="b">
        <f>ISNUMBER(#REF!)</f>
        <v>0</v>
      </c>
      <c r="N87" s="943" t="b">
        <f>ISNUMBER(#REF!)</f>
        <v>0</v>
      </c>
      <c r="O87" s="943" t="b">
        <f>ISNUMBER(#REF!)</f>
        <v>0</v>
      </c>
      <c r="P87" s="943" t="b">
        <f>ISNUMBER(#REF!)</f>
        <v>0</v>
      </c>
      <c r="Q87" s="951" t="str">
        <f t="shared" si="7"/>
        <v/>
      </c>
    </row>
    <row r="88" spans="1:17" ht="27.75" customHeight="1">
      <c r="A88" s="968">
        <f t="shared" si="10"/>
        <v>45006.364583333336</v>
      </c>
      <c r="B88" s="949" t="s">
        <v>575</v>
      </c>
      <c r="C88" s="950">
        <f t="shared" si="8"/>
        <v>0</v>
      </c>
      <c r="E88" s="943" t="b">
        <f t="shared" si="9"/>
        <v>1</v>
      </c>
      <c r="F88" s="943" t="b">
        <f>ISNUMBER(#REF!)</f>
        <v>0</v>
      </c>
      <c r="G88" s="943" t="b">
        <f>ISNUMBER(#REF!)</f>
        <v>0</v>
      </c>
      <c r="H88" s="943" t="b">
        <f>ISNUMBER(#REF!)</f>
        <v>0</v>
      </c>
      <c r="I88" s="943" t="b">
        <f>ISNUMBER(#REF!)</f>
        <v>0</v>
      </c>
      <c r="J88" s="943" t="b">
        <f>ISNUMBER(#REF!)</f>
        <v>0</v>
      </c>
      <c r="K88" s="943" t="b">
        <f>ISNUMBER(#REF!)</f>
        <v>0</v>
      </c>
      <c r="L88" s="943" t="b">
        <f>ISNUMBER(#REF!)</f>
        <v>0</v>
      </c>
      <c r="M88" s="943" t="b">
        <f>ISNUMBER(#REF!)</f>
        <v>0</v>
      </c>
      <c r="N88" s="943" t="b">
        <f>ISNUMBER(#REF!)</f>
        <v>0</v>
      </c>
      <c r="O88" s="943" t="b">
        <f>ISNUMBER(#REF!)</f>
        <v>0</v>
      </c>
      <c r="P88" s="943" t="b">
        <f>ISNUMBER(#REF!)</f>
        <v>0</v>
      </c>
      <c r="Q88" s="951" t="str">
        <f t="shared" si="7"/>
        <v/>
      </c>
    </row>
    <row r="89" spans="1:17" ht="27.75" customHeight="1">
      <c r="A89" s="968">
        <f t="shared" si="10"/>
        <v>45006.364583333336</v>
      </c>
      <c r="B89" s="949" t="s">
        <v>576</v>
      </c>
      <c r="C89" s="950">
        <f t="shared" si="8"/>
        <v>0</v>
      </c>
      <c r="E89" s="943" t="b">
        <f t="shared" si="9"/>
        <v>1</v>
      </c>
      <c r="F89" s="943" t="b">
        <f>ISNUMBER(#REF!)</f>
        <v>0</v>
      </c>
      <c r="G89" s="943" t="b">
        <f>ISNUMBER(#REF!)</f>
        <v>0</v>
      </c>
      <c r="H89" s="943" t="b">
        <f>ISNUMBER(#REF!)</f>
        <v>0</v>
      </c>
      <c r="I89" s="943" t="b">
        <f>ISNUMBER(#REF!)</f>
        <v>0</v>
      </c>
      <c r="J89" s="943" t="b">
        <f>ISNUMBER(#REF!)</f>
        <v>0</v>
      </c>
      <c r="K89" s="943" t="b">
        <f>ISNUMBER(#REF!)</f>
        <v>0</v>
      </c>
      <c r="L89" s="943" t="b">
        <f>ISNUMBER(#REF!)</f>
        <v>0</v>
      </c>
      <c r="M89" s="943" t="b">
        <f>ISNUMBER(#REF!)</f>
        <v>0</v>
      </c>
      <c r="N89" s="943" t="b">
        <f>ISNUMBER(#REF!)</f>
        <v>0</v>
      </c>
      <c r="O89" s="943" t="b">
        <f>ISNUMBER(#REF!)</f>
        <v>0</v>
      </c>
      <c r="P89" s="943" t="b">
        <f>ISNUMBER(#REF!)</f>
        <v>0</v>
      </c>
      <c r="Q89" s="951" t="str">
        <f t="shared" si="7"/>
        <v/>
      </c>
    </row>
    <row r="90" spans="1:17" ht="27.75" customHeight="1">
      <c r="A90" s="968">
        <f t="shared" si="10"/>
        <v>45006.364583333336</v>
      </c>
      <c r="B90" s="949" t="s">
        <v>577</v>
      </c>
      <c r="C90" s="950">
        <f t="shared" si="8"/>
        <v>0</v>
      </c>
      <c r="E90" s="943" t="b">
        <f t="shared" si="9"/>
        <v>1</v>
      </c>
      <c r="F90" s="943" t="b">
        <f>ISNUMBER(#REF!)</f>
        <v>0</v>
      </c>
      <c r="G90" s="943" t="b">
        <f>ISNUMBER(#REF!)</f>
        <v>0</v>
      </c>
      <c r="H90" s="943" t="b">
        <f>ISNUMBER(#REF!)</f>
        <v>0</v>
      </c>
      <c r="I90" s="943" t="b">
        <f>ISNUMBER(#REF!)</f>
        <v>0</v>
      </c>
      <c r="J90" s="943" t="b">
        <f>ISNUMBER(#REF!)</f>
        <v>0</v>
      </c>
      <c r="K90" s="943" t="b">
        <f>ISNUMBER(#REF!)</f>
        <v>0</v>
      </c>
      <c r="L90" s="943" t="b">
        <f>ISNUMBER(#REF!)</f>
        <v>0</v>
      </c>
      <c r="M90" s="943" t="b">
        <f>ISNUMBER(#REF!)</f>
        <v>0</v>
      </c>
      <c r="N90" s="943" t="b">
        <f>ISNUMBER(#REF!)</f>
        <v>0</v>
      </c>
      <c r="O90" s="943" t="b">
        <f>ISNUMBER(#REF!)</f>
        <v>0</v>
      </c>
      <c r="P90" s="943" t="b">
        <f>ISNUMBER(#REF!)</f>
        <v>0</v>
      </c>
      <c r="Q90" s="951" t="str">
        <f t="shared" si="7"/>
        <v/>
      </c>
    </row>
    <row r="91" spans="1:17" ht="27.75" customHeight="1">
      <c r="A91" s="968">
        <f t="shared" si="10"/>
        <v>45006.364583333336</v>
      </c>
      <c r="B91" s="949" t="s">
        <v>578</v>
      </c>
      <c r="C91" s="950">
        <f t="shared" si="8"/>
        <v>0</v>
      </c>
      <c r="E91" s="943" t="b">
        <f t="shared" si="9"/>
        <v>1</v>
      </c>
      <c r="F91" s="943" t="b">
        <f>ISNUMBER(#REF!)</f>
        <v>0</v>
      </c>
      <c r="G91" s="943" t="b">
        <f>ISNUMBER(#REF!)</f>
        <v>0</v>
      </c>
      <c r="H91" s="943" t="b">
        <f>ISNUMBER(#REF!)</f>
        <v>0</v>
      </c>
      <c r="I91" s="943" t="b">
        <f>ISNUMBER(#REF!)</f>
        <v>0</v>
      </c>
      <c r="J91" s="943" t="b">
        <f>ISNUMBER(#REF!)</f>
        <v>0</v>
      </c>
      <c r="K91" s="943" t="b">
        <f>ISNUMBER(#REF!)</f>
        <v>0</v>
      </c>
      <c r="L91" s="943" t="b">
        <f>ISNUMBER(#REF!)</f>
        <v>0</v>
      </c>
      <c r="M91" s="943" t="b">
        <f>ISNUMBER(#REF!)</f>
        <v>0</v>
      </c>
      <c r="N91" s="943" t="b">
        <f>ISNUMBER(#REF!)</f>
        <v>0</v>
      </c>
      <c r="O91" s="943" t="b">
        <f>ISNUMBER(#REF!)</f>
        <v>0</v>
      </c>
      <c r="P91" s="943" t="b">
        <f>ISNUMBER(#REF!)</f>
        <v>0</v>
      </c>
      <c r="Q91" s="951" t="str">
        <f t="shared" si="7"/>
        <v/>
      </c>
    </row>
    <row r="92" spans="1:17" ht="27.75" customHeight="1">
      <c r="A92" s="968">
        <f t="shared" si="10"/>
        <v>45006.364583333336</v>
      </c>
      <c r="B92" s="949" t="s">
        <v>579</v>
      </c>
      <c r="C92" s="950">
        <f t="shared" si="8"/>
        <v>0</v>
      </c>
      <c r="E92" s="943" t="b">
        <f t="shared" si="9"/>
        <v>1</v>
      </c>
      <c r="F92" s="943" t="b">
        <f>ISNUMBER(#REF!)</f>
        <v>0</v>
      </c>
      <c r="G92" s="943" t="b">
        <f>ISNUMBER(#REF!)</f>
        <v>0</v>
      </c>
      <c r="H92" s="943" t="b">
        <f>ISNUMBER(#REF!)</f>
        <v>0</v>
      </c>
      <c r="I92" s="943" t="b">
        <f>ISNUMBER(#REF!)</f>
        <v>0</v>
      </c>
      <c r="J92" s="943" t="b">
        <f>ISNUMBER(#REF!)</f>
        <v>0</v>
      </c>
      <c r="K92" s="943" t="b">
        <f>ISNUMBER(#REF!)</f>
        <v>0</v>
      </c>
      <c r="L92" s="943" t="b">
        <f>ISNUMBER(#REF!)</f>
        <v>0</v>
      </c>
      <c r="M92" s="943" t="b">
        <f>ISNUMBER(#REF!)</f>
        <v>0</v>
      </c>
      <c r="N92" s="943" t="b">
        <f>ISNUMBER(#REF!)</f>
        <v>0</v>
      </c>
      <c r="O92" s="943" t="b">
        <f>ISNUMBER(#REF!)</f>
        <v>0</v>
      </c>
      <c r="P92" s="943" t="b">
        <f>ISNUMBER(#REF!)</f>
        <v>0</v>
      </c>
      <c r="Q92" s="951" t="str">
        <f t="shared" si="7"/>
        <v/>
      </c>
    </row>
    <row r="93" spans="1:17" ht="27.75" customHeight="1">
      <c r="A93" s="968">
        <f t="shared" si="10"/>
        <v>45006.364583333336</v>
      </c>
      <c r="B93" s="949" t="s">
        <v>582</v>
      </c>
      <c r="C93" s="950">
        <f t="shared" si="8"/>
        <v>0</v>
      </c>
      <c r="E93" s="943" t="b">
        <f t="shared" si="9"/>
        <v>1</v>
      </c>
      <c r="F93" s="943" t="b">
        <f>ISNUMBER(#REF!)</f>
        <v>0</v>
      </c>
      <c r="G93" s="943" t="b">
        <f>ISNUMBER(#REF!)</f>
        <v>0</v>
      </c>
      <c r="H93" s="943" t="b">
        <f>ISNUMBER(#REF!)</f>
        <v>0</v>
      </c>
      <c r="I93" s="943" t="b">
        <f>ISNUMBER(#REF!)</f>
        <v>0</v>
      </c>
      <c r="J93" s="943" t="b">
        <f>ISNUMBER(#REF!)</f>
        <v>0</v>
      </c>
      <c r="K93" s="943" t="b">
        <f>ISNUMBER(#REF!)</f>
        <v>0</v>
      </c>
      <c r="L93" s="943" t="b">
        <f>ISNUMBER(#REF!)</f>
        <v>0</v>
      </c>
      <c r="M93" s="943" t="b">
        <f>ISNUMBER(#REF!)</f>
        <v>0</v>
      </c>
      <c r="N93" s="943" t="b">
        <f>ISNUMBER(#REF!)</f>
        <v>0</v>
      </c>
      <c r="O93" s="943" t="b">
        <f>ISNUMBER(#REF!)</f>
        <v>0</v>
      </c>
      <c r="P93" s="943" t="b">
        <f>ISNUMBER(#REF!)</f>
        <v>0</v>
      </c>
      <c r="Q93" s="951" t="str">
        <f t="shared" si="7"/>
        <v/>
      </c>
    </row>
    <row r="94" spans="1:17" ht="27.75" customHeight="1">
      <c r="A94" s="968">
        <f t="shared" si="10"/>
        <v>45006.364583333336</v>
      </c>
      <c r="B94" s="949" t="s">
        <v>584</v>
      </c>
      <c r="C94" s="950">
        <f t="shared" si="8"/>
        <v>0</v>
      </c>
      <c r="E94" s="943" t="b">
        <f t="shared" si="9"/>
        <v>1</v>
      </c>
      <c r="F94" s="943" t="b">
        <f>ISNUMBER(#REF!)</f>
        <v>0</v>
      </c>
      <c r="G94" s="943" t="b">
        <f>ISNUMBER(#REF!)</f>
        <v>0</v>
      </c>
      <c r="H94" s="943" t="b">
        <f>ISNUMBER(#REF!)</f>
        <v>0</v>
      </c>
      <c r="I94" s="943" t="b">
        <f>ISNUMBER(#REF!)</f>
        <v>0</v>
      </c>
      <c r="J94" s="943" t="b">
        <f>ISNUMBER(#REF!)</f>
        <v>0</v>
      </c>
      <c r="K94" s="943" t="b">
        <f>ISNUMBER(#REF!)</f>
        <v>0</v>
      </c>
      <c r="L94" s="943" t="b">
        <f>ISNUMBER(#REF!)</f>
        <v>0</v>
      </c>
      <c r="M94" s="943" t="b">
        <f>ISNUMBER(#REF!)</f>
        <v>0</v>
      </c>
      <c r="N94" s="943" t="b">
        <f>ISNUMBER(#REF!)</f>
        <v>0</v>
      </c>
      <c r="O94" s="943" t="b">
        <f>ISNUMBER(#REF!)</f>
        <v>0</v>
      </c>
      <c r="P94" s="943" t="b">
        <f>ISNUMBER(#REF!)</f>
        <v>0</v>
      </c>
      <c r="Q94" s="951" t="str">
        <f t="shared" si="7"/>
        <v/>
      </c>
    </row>
    <row r="95" spans="1:17" ht="27.75" customHeight="1">
      <c r="A95" s="968">
        <f t="shared" si="10"/>
        <v>45006.364583333336</v>
      </c>
      <c r="B95" s="949" t="s">
        <v>587</v>
      </c>
      <c r="C95" s="950">
        <f t="shared" si="8"/>
        <v>0</v>
      </c>
      <c r="E95" s="943" t="b">
        <f t="shared" si="9"/>
        <v>1</v>
      </c>
      <c r="F95" s="943" t="b">
        <f>ISNUMBER(#REF!)</f>
        <v>0</v>
      </c>
      <c r="G95" s="943" t="b">
        <f>ISNUMBER(#REF!)</f>
        <v>0</v>
      </c>
      <c r="H95" s="943" t="b">
        <f>ISNUMBER(#REF!)</f>
        <v>0</v>
      </c>
      <c r="I95" s="943" t="b">
        <f>ISNUMBER(#REF!)</f>
        <v>0</v>
      </c>
      <c r="J95" s="943" t="b">
        <f>ISNUMBER(#REF!)</f>
        <v>0</v>
      </c>
      <c r="K95" s="943" t="b">
        <f>ISNUMBER(#REF!)</f>
        <v>0</v>
      </c>
      <c r="L95" s="943" t="b">
        <f>ISNUMBER(#REF!)</f>
        <v>0</v>
      </c>
      <c r="M95" s="943" t="b">
        <f>ISNUMBER(#REF!)</f>
        <v>0</v>
      </c>
      <c r="N95" s="943" t="b">
        <f>ISNUMBER(#REF!)</f>
        <v>0</v>
      </c>
      <c r="O95" s="943" t="b">
        <f>ISNUMBER(#REF!)</f>
        <v>0</v>
      </c>
      <c r="P95" s="943" t="b">
        <f>ISNUMBER(#REF!)</f>
        <v>0</v>
      </c>
      <c r="Q95" s="951" t="str">
        <f t="shared" si="7"/>
        <v/>
      </c>
    </row>
    <row r="96" spans="1:17" ht="27.75" customHeight="1">
      <c r="A96" s="968">
        <f t="shared" si="10"/>
        <v>45006.364583333336</v>
      </c>
      <c r="B96" s="949" t="s">
        <v>590</v>
      </c>
      <c r="C96" s="950">
        <f t="shared" si="8"/>
        <v>0</v>
      </c>
      <c r="E96" s="943" t="b">
        <f t="shared" si="9"/>
        <v>1</v>
      </c>
      <c r="F96" s="943" t="b">
        <f>ISNUMBER(#REF!)</f>
        <v>0</v>
      </c>
      <c r="G96" s="943" t="b">
        <f>ISNUMBER(#REF!)</f>
        <v>0</v>
      </c>
      <c r="H96" s="943" t="b">
        <f>ISNUMBER(#REF!)</f>
        <v>0</v>
      </c>
      <c r="I96" s="943" t="b">
        <f>ISNUMBER(#REF!)</f>
        <v>0</v>
      </c>
      <c r="J96" s="943" t="b">
        <f>ISNUMBER(#REF!)</f>
        <v>0</v>
      </c>
      <c r="K96" s="943" t="b">
        <f>ISNUMBER(#REF!)</f>
        <v>0</v>
      </c>
      <c r="L96" s="943" t="b">
        <f>ISNUMBER(#REF!)</f>
        <v>0</v>
      </c>
      <c r="M96" s="943" t="b">
        <f>ISNUMBER(#REF!)</f>
        <v>0</v>
      </c>
      <c r="N96" s="943" t="b">
        <f>ISNUMBER(#REF!)</f>
        <v>0</v>
      </c>
      <c r="O96" s="943" t="b">
        <f>ISNUMBER(#REF!)</f>
        <v>0</v>
      </c>
      <c r="P96" s="943" t="b">
        <f>ISNUMBER(#REF!)</f>
        <v>0</v>
      </c>
      <c r="Q96" s="951" t="str">
        <f t="shared" ref="Q96" si="11">IF(E96=TRUE,"",1)</f>
        <v/>
      </c>
    </row>
  </sheetData>
  <phoneticPr fontId="6"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45"/>
  <sheetViews>
    <sheetView zoomScale="70" zoomScaleNormal="70" workbookViewId="0">
      <selection activeCell="C24" sqref="C24"/>
    </sheetView>
  </sheetViews>
  <sheetFormatPr defaultRowHeight="24" customHeight="1"/>
  <cols>
    <col min="1" max="1" width="32.625" style="967" customWidth="1"/>
    <col min="2" max="2" width="24.375" style="957" customWidth="1"/>
    <col min="3" max="3" width="26.375" style="958" customWidth="1"/>
    <col min="4" max="4" width="9" style="943"/>
    <col min="5" max="16" width="9" style="943" hidden="1" customWidth="1"/>
    <col min="17" max="16384" width="9" style="943"/>
  </cols>
  <sheetData>
    <row r="1" spans="1:17" ht="65.25" customHeight="1">
      <c r="A1" s="963" t="s">
        <v>351</v>
      </c>
      <c r="B1" s="941"/>
      <c r="C1" s="942"/>
    </row>
    <row r="2" spans="1:17" s="946" customFormat="1" ht="24" customHeight="1">
      <c r="A2" s="966" t="s">
        <v>352</v>
      </c>
      <c r="B2" s="944" t="s">
        <v>353</v>
      </c>
      <c r="C2" s="945" t="s">
        <v>361</v>
      </c>
      <c r="E2" s="947">
        <v>1</v>
      </c>
      <c r="F2" s="947" t="s">
        <v>876</v>
      </c>
      <c r="G2" s="947">
        <v>2</v>
      </c>
      <c r="H2" s="947" t="s">
        <v>876</v>
      </c>
      <c r="I2" s="947">
        <v>3</v>
      </c>
      <c r="J2" s="947" t="s">
        <v>876</v>
      </c>
      <c r="K2" s="947">
        <v>4</v>
      </c>
      <c r="L2" s="947" t="s">
        <v>876</v>
      </c>
      <c r="M2" s="947">
        <v>5</v>
      </c>
      <c r="N2" s="947" t="s">
        <v>876</v>
      </c>
      <c r="O2" s="947">
        <v>6</v>
      </c>
      <c r="P2" s="947" t="s">
        <v>876</v>
      </c>
      <c r="Q2" s="948">
        <v>2</v>
      </c>
    </row>
    <row r="3" spans="1:17" s="946" customFormat="1" ht="24" customHeight="1">
      <c r="A3" s="966" t="s">
        <v>376</v>
      </c>
      <c r="B3" s="944" t="s">
        <v>377</v>
      </c>
      <c r="C3" s="945" t="s">
        <v>384</v>
      </c>
      <c r="Q3" s="960"/>
    </row>
    <row r="4" spans="1:17" ht="24" customHeight="1">
      <c r="A4" s="965">
        <f>MENU!Y9</f>
        <v>45006.447916666664</v>
      </c>
      <c r="B4" s="949" t="s">
        <v>268</v>
      </c>
      <c r="C4" s="950">
        <f t="shared" ref="C4:C45" si="0">IFERROR(VLOOKUP($B4,_XM_XT_THUCTE,15,0),"")</f>
        <v>0</v>
      </c>
      <c r="E4" s="943" t="b">
        <f>ISNUMBER(#REF!)</f>
        <v>0</v>
      </c>
      <c r="F4" s="943" t="b">
        <f>ISNUMBER(#REF!)</f>
        <v>0</v>
      </c>
      <c r="G4" s="943" t="b">
        <f t="shared" ref="G4:G35" si="1">ISNUMBER(C4)</f>
        <v>1</v>
      </c>
      <c r="H4" s="943" t="b">
        <f>ISNUMBER(#REF!)</f>
        <v>0</v>
      </c>
      <c r="I4" s="943" t="b">
        <f>ISNUMBER(#REF!)</f>
        <v>0</v>
      </c>
      <c r="J4" s="943" t="b">
        <f>ISNUMBER(#REF!)</f>
        <v>0</v>
      </c>
      <c r="K4" s="943" t="b">
        <f>ISNUMBER(#REF!)</f>
        <v>0</v>
      </c>
      <c r="L4" s="943" t="b">
        <f>ISNUMBER(#REF!)</f>
        <v>0</v>
      </c>
      <c r="M4" s="943" t="b">
        <f>ISNUMBER(#REF!)</f>
        <v>0</v>
      </c>
      <c r="N4" s="943" t="b">
        <f>ISNUMBER(#REF!)</f>
        <v>0</v>
      </c>
      <c r="O4" s="943" t="b">
        <f>ISNUMBER(#REF!)</f>
        <v>0</v>
      </c>
      <c r="P4" s="943" t="b">
        <f>ISNUMBER(#REF!)</f>
        <v>0</v>
      </c>
      <c r="Q4" s="951" t="str">
        <f t="shared" ref="Q4:Q35" si="2">IF(G4=TRUE,"",1)</f>
        <v/>
      </c>
    </row>
    <row r="5" spans="1:17" ht="24" customHeight="1">
      <c r="A5" s="968">
        <f>$A$4</f>
        <v>45006.447916666664</v>
      </c>
      <c r="B5" s="949" t="s">
        <v>269</v>
      </c>
      <c r="C5" s="950">
        <f t="shared" si="0"/>
        <v>0</v>
      </c>
      <c r="E5" s="943" t="b">
        <f>ISNUMBER(#REF!)</f>
        <v>0</v>
      </c>
      <c r="F5" s="943" t="b">
        <f>ISNUMBER(#REF!)</f>
        <v>0</v>
      </c>
      <c r="G5" s="943" t="b">
        <f t="shared" si="1"/>
        <v>1</v>
      </c>
      <c r="H5" s="943" t="b">
        <f>ISNUMBER(#REF!)</f>
        <v>0</v>
      </c>
      <c r="I5" s="943" t="b">
        <f>ISNUMBER(#REF!)</f>
        <v>0</v>
      </c>
      <c r="J5" s="943" t="b">
        <f>ISNUMBER(#REF!)</f>
        <v>0</v>
      </c>
      <c r="K5" s="943" t="b">
        <f>ISNUMBER(#REF!)</f>
        <v>0</v>
      </c>
      <c r="L5" s="943" t="b">
        <f>ISNUMBER(#REF!)</f>
        <v>0</v>
      </c>
      <c r="M5" s="943" t="b">
        <f>ISNUMBER(#REF!)</f>
        <v>0</v>
      </c>
      <c r="N5" s="943" t="b">
        <f>ISNUMBER(#REF!)</f>
        <v>0</v>
      </c>
      <c r="O5" s="943" t="b">
        <f>ISNUMBER(#REF!)</f>
        <v>0</v>
      </c>
      <c r="P5" s="943" t="b">
        <f>ISNUMBER(#REF!)</f>
        <v>0</v>
      </c>
      <c r="Q5" s="951" t="str">
        <f t="shared" si="2"/>
        <v/>
      </c>
    </row>
    <row r="6" spans="1:17" ht="24" customHeight="1">
      <c r="A6" s="968">
        <f t="shared" ref="A6:A45" si="3">$A$4</f>
        <v>45006.447916666664</v>
      </c>
      <c r="B6" s="949" t="s">
        <v>270</v>
      </c>
      <c r="C6" s="950">
        <f t="shared" si="0"/>
        <v>0</v>
      </c>
      <c r="E6" s="943" t="b">
        <f>ISNUMBER(#REF!)</f>
        <v>0</v>
      </c>
      <c r="F6" s="943" t="b">
        <f>ISNUMBER(#REF!)</f>
        <v>0</v>
      </c>
      <c r="G6" s="943" t="b">
        <f t="shared" si="1"/>
        <v>1</v>
      </c>
      <c r="H6" s="943" t="b">
        <f>ISNUMBER(#REF!)</f>
        <v>0</v>
      </c>
      <c r="I6" s="943" t="b">
        <f>ISNUMBER(#REF!)</f>
        <v>0</v>
      </c>
      <c r="J6" s="943" t="b">
        <f>ISNUMBER(#REF!)</f>
        <v>0</v>
      </c>
      <c r="K6" s="943" t="b">
        <f>ISNUMBER(#REF!)</f>
        <v>0</v>
      </c>
      <c r="L6" s="943" t="b">
        <f>ISNUMBER(#REF!)</f>
        <v>0</v>
      </c>
      <c r="M6" s="943" t="b">
        <f>ISNUMBER(#REF!)</f>
        <v>0</v>
      </c>
      <c r="N6" s="943" t="b">
        <f>ISNUMBER(#REF!)</f>
        <v>0</v>
      </c>
      <c r="O6" s="943" t="b">
        <f>ISNUMBER(#REF!)</f>
        <v>0</v>
      </c>
      <c r="P6" s="943" t="b">
        <f>ISNUMBER(#REF!)</f>
        <v>0</v>
      </c>
      <c r="Q6" s="951" t="str">
        <f t="shared" si="2"/>
        <v/>
      </c>
    </row>
    <row r="7" spans="1:17" ht="24" customHeight="1">
      <c r="A7" s="968">
        <f t="shared" si="3"/>
        <v>45006.447916666664</v>
      </c>
      <c r="B7" s="949" t="s">
        <v>271</v>
      </c>
      <c r="C7" s="950">
        <f t="shared" si="0"/>
        <v>0</v>
      </c>
      <c r="E7" s="943" t="b">
        <f>ISNUMBER(#REF!)</f>
        <v>0</v>
      </c>
      <c r="F7" s="943" t="b">
        <f>ISNUMBER(#REF!)</f>
        <v>0</v>
      </c>
      <c r="G7" s="943" t="b">
        <f t="shared" si="1"/>
        <v>1</v>
      </c>
      <c r="H7" s="943" t="b">
        <f>ISNUMBER(#REF!)</f>
        <v>0</v>
      </c>
      <c r="I7" s="943" t="b">
        <f>ISNUMBER(#REF!)</f>
        <v>0</v>
      </c>
      <c r="J7" s="943" t="b">
        <f>ISNUMBER(#REF!)</f>
        <v>0</v>
      </c>
      <c r="K7" s="943" t="b">
        <f>ISNUMBER(#REF!)</f>
        <v>0</v>
      </c>
      <c r="L7" s="943" t="b">
        <f>ISNUMBER(#REF!)</f>
        <v>0</v>
      </c>
      <c r="M7" s="943" t="b">
        <f>ISNUMBER(#REF!)</f>
        <v>0</v>
      </c>
      <c r="N7" s="943" t="b">
        <f>ISNUMBER(#REF!)</f>
        <v>0</v>
      </c>
      <c r="O7" s="943" t="b">
        <f>ISNUMBER(#REF!)</f>
        <v>0</v>
      </c>
      <c r="P7" s="943" t="b">
        <f>ISNUMBER(#REF!)</f>
        <v>0</v>
      </c>
      <c r="Q7" s="951" t="str">
        <f t="shared" si="2"/>
        <v/>
      </c>
    </row>
    <row r="8" spans="1:17" ht="24" customHeight="1">
      <c r="A8" s="968">
        <f t="shared" si="3"/>
        <v>45006.447916666664</v>
      </c>
      <c r="B8" s="949" t="s">
        <v>272</v>
      </c>
      <c r="C8" s="950">
        <f t="shared" si="0"/>
        <v>0</v>
      </c>
      <c r="E8" s="943" t="b">
        <f>ISNUMBER(#REF!)</f>
        <v>0</v>
      </c>
      <c r="F8" s="943" t="b">
        <f>ISNUMBER(#REF!)</f>
        <v>0</v>
      </c>
      <c r="G8" s="943" t="b">
        <f t="shared" si="1"/>
        <v>1</v>
      </c>
      <c r="H8" s="943" t="b">
        <f>ISNUMBER(#REF!)</f>
        <v>0</v>
      </c>
      <c r="I8" s="943" t="b">
        <f>ISNUMBER(#REF!)</f>
        <v>0</v>
      </c>
      <c r="J8" s="943" t="b">
        <f>ISNUMBER(#REF!)</f>
        <v>0</v>
      </c>
      <c r="K8" s="943" t="b">
        <f>ISNUMBER(#REF!)</f>
        <v>0</v>
      </c>
      <c r="L8" s="943" t="b">
        <f>ISNUMBER(#REF!)</f>
        <v>0</v>
      </c>
      <c r="M8" s="943" t="b">
        <f>ISNUMBER(#REF!)</f>
        <v>0</v>
      </c>
      <c r="N8" s="943" t="b">
        <f>ISNUMBER(#REF!)</f>
        <v>0</v>
      </c>
      <c r="O8" s="943" t="b">
        <f>ISNUMBER(#REF!)</f>
        <v>0</v>
      </c>
      <c r="P8" s="943" t="b">
        <f>ISNUMBER(#REF!)</f>
        <v>0</v>
      </c>
      <c r="Q8" s="951" t="str">
        <f t="shared" si="2"/>
        <v/>
      </c>
    </row>
    <row r="9" spans="1:17" ht="24" customHeight="1">
      <c r="A9" s="968">
        <f t="shared" si="3"/>
        <v>45006.447916666664</v>
      </c>
      <c r="B9" s="949" t="s">
        <v>273</v>
      </c>
      <c r="C9" s="950">
        <f t="shared" si="0"/>
        <v>0</v>
      </c>
      <c r="E9" s="943" t="b">
        <f>ISNUMBER(#REF!)</f>
        <v>0</v>
      </c>
      <c r="F9" s="943" t="b">
        <f>ISNUMBER(#REF!)</f>
        <v>0</v>
      </c>
      <c r="G9" s="943" t="b">
        <f t="shared" si="1"/>
        <v>1</v>
      </c>
      <c r="H9" s="943" t="b">
        <f>ISNUMBER(#REF!)</f>
        <v>0</v>
      </c>
      <c r="I9" s="943" t="b">
        <f>ISNUMBER(#REF!)</f>
        <v>0</v>
      </c>
      <c r="J9" s="943" t="b">
        <f>ISNUMBER(#REF!)</f>
        <v>0</v>
      </c>
      <c r="K9" s="943" t="b">
        <f>ISNUMBER(#REF!)</f>
        <v>0</v>
      </c>
      <c r="L9" s="943" t="b">
        <f>ISNUMBER(#REF!)</f>
        <v>0</v>
      </c>
      <c r="M9" s="943" t="b">
        <f>ISNUMBER(#REF!)</f>
        <v>0</v>
      </c>
      <c r="N9" s="943" t="b">
        <f>ISNUMBER(#REF!)</f>
        <v>0</v>
      </c>
      <c r="O9" s="943" t="b">
        <f>ISNUMBER(#REF!)</f>
        <v>0</v>
      </c>
      <c r="P9" s="943" t="b">
        <f>ISNUMBER(#REF!)</f>
        <v>0</v>
      </c>
      <c r="Q9" s="951" t="str">
        <f t="shared" si="2"/>
        <v/>
      </c>
    </row>
    <row r="10" spans="1:17" ht="24" customHeight="1">
      <c r="A10" s="968">
        <f t="shared" si="3"/>
        <v>45006.447916666664</v>
      </c>
      <c r="B10" s="949" t="s">
        <v>279</v>
      </c>
      <c r="C10" s="950">
        <f t="shared" si="0"/>
        <v>0</v>
      </c>
      <c r="E10" s="943" t="b">
        <f>ISNUMBER(#REF!)</f>
        <v>0</v>
      </c>
      <c r="F10" s="943" t="b">
        <f>ISNUMBER(#REF!)</f>
        <v>0</v>
      </c>
      <c r="G10" s="943" t="b">
        <f t="shared" si="1"/>
        <v>1</v>
      </c>
      <c r="H10" s="943" t="b">
        <f>ISNUMBER(#REF!)</f>
        <v>0</v>
      </c>
      <c r="I10" s="943" t="b">
        <f>ISNUMBER(#REF!)</f>
        <v>0</v>
      </c>
      <c r="J10" s="943" t="b">
        <f>ISNUMBER(#REF!)</f>
        <v>0</v>
      </c>
      <c r="K10" s="943" t="b">
        <f>ISNUMBER(#REF!)</f>
        <v>0</v>
      </c>
      <c r="L10" s="943" t="b">
        <f>ISNUMBER(#REF!)</f>
        <v>0</v>
      </c>
      <c r="M10" s="943" t="b">
        <f>ISNUMBER(#REF!)</f>
        <v>0</v>
      </c>
      <c r="N10" s="943" t="b">
        <f>ISNUMBER(#REF!)</f>
        <v>0</v>
      </c>
      <c r="O10" s="943" t="b">
        <f>ISNUMBER(#REF!)</f>
        <v>0</v>
      </c>
      <c r="P10" s="943" t="b">
        <f>ISNUMBER(#REF!)</f>
        <v>0</v>
      </c>
      <c r="Q10" s="951" t="str">
        <f t="shared" si="2"/>
        <v/>
      </c>
    </row>
    <row r="11" spans="1:17" ht="24" customHeight="1">
      <c r="A11" s="968">
        <f t="shared" si="3"/>
        <v>45006.447916666664</v>
      </c>
      <c r="B11" s="949" t="s">
        <v>281</v>
      </c>
      <c r="C11" s="950">
        <f t="shared" si="0"/>
        <v>0</v>
      </c>
      <c r="E11" s="943" t="b">
        <f>ISNUMBER(#REF!)</f>
        <v>0</v>
      </c>
      <c r="F11" s="943" t="b">
        <f>ISNUMBER(#REF!)</f>
        <v>0</v>
      </c>
      <c r="G11" s="943" t="b">
        <f t="shared" si="1"/>
        <v>1</v>
      </c>
      <c r="H11" s="943" t="b">
        <f>ISNUMBER(#REF!)</f>
        <v>0</v>
      </c>
      <c r="I11" s="943" t="b">
        <f>ISNUMBER(#REF!)</f>
        <v>0</v>
      </c>
      <c r="J11" s="943" t="b">
        <f>ISNUMBER(#REF!)</f>
        <v>0</v>
      </c>
      <c r="K11" s="943" t="b">
        <f>ISNUMBER(#REF!)</f>
        <v>0</v>
      </c>
      <c r="L11" s="943" t="b">
        <f>ISNUMBER(#REF!)</f>
        <v>0</v>
      </c>
      <c r="M11" s="943" t="b">
        <f>ISNUMBER(#REF!)</f>
        <v>0</v>
      </c>
      <c r="N11" s="943" t="b">
        <f>ISNUMBER(#REF!)</f>
        <v>0</v>
      </c>
      <c r="O11" s="943" t="b">
        <f>ISNUMBER(#REF!)</f>
        <v>0</v>
      </c>
      <c r="P11" s="943" t="b">
        <f>ISNUMBER(#REF!)</f>
        <v>0</v>
      </c>
      <c r="Q11" s="951" t="str">
        <f t="shared" si="2"/>
        <v/>
      </c>
    </row>
    <row r="12" spans="1:17" ht="24" customHeight="1">
      <c r="A12" s="968">
        <f t="shared" si="3"/>
        <v>45006.447916666664</v>
      </c>
      <c r="B12" s="949" t="s">
        <v>274</v>
      </c>
      <c r="C12" s="950">
        <f t="shared" si="0"/>
        <v>0</v>
      </c>
      <c r="E12" s="943" t="b">
        <f>ISNUMBER(#REF!)</f>
        <v>0</v>
      </c>
      <c r="F12" s="943" t="b">
        <f>ISNUMBER(#REF!)</f>
        <v>0</v>
      </c>
      <c r="G12" s="943" t="b">
        <f t="shared" si="1"/>
        <v>1</v>
      </c>
      <c r="H12" s="943" t="b">
        <f>ISNUMBER(#REF!)</f>
        <v>0</v>
      </c>
      <c r="I12" s="943" t="b">
        <f>ISNUMBER(#REF!)</f>
        <v>0</v>
      </c>
      <c r="J12" s="943" t="b">
        <f>ISNUMBER(#REF!)</f>
        <v>0</v>
      </c>
      <c r="K12" s="943" t="b">
        <f>ISNUMBER(#REF!)</f>
        <v>0</v>
      </c>
      <c r="L12" s="943" t="b">
        <f>ISNUMBER(#REF!)</f>
        <v>0</v>
      </c>
      <c r="M12" s="943" t="b">
        <f>ISNUMBER(#REF!)</f>
        <v>0</v>
      </c>
      <c r="N12" s="943" t="b">
        <f>ISNUMBER(#REF!)</f>
        <v>0</v>
      </c>
      <c r="O12" s="943" t="b">
        <f>ISNUMBER(#REF!)</f>
        <v>0</v>
      </c>
      <c r="P12" s="943" t="b">
        <f>ISNUMBER(#REF!)</f>
        <v>0</v>
      </c>
      <c r="Q12" s="951" t="str">
        <f t="shared" si="2"/>
        <v/>
      </c>
    </row>
    <row r="13" spans="1:17" ht="24" customHeight="1">
      <c r="A13" s="968">
        <f t="shared" si="3"/>
        <v>45006.447916666664</v>
      </c>
      <c r="B13" s="949" t="s">
        <v>275</v>
      </c>
      <c r="C13" s="950">
        <f t="shared" si="0"/>
        <v>0</v>
      </c>
      <c r="E13" s="943" t="b">
        <f>ISNUMBER(#REF!)</f>
        <v>0</v>
      </c>
      <c r="F13" s="943" t="b">
        <f>ISNUMBER(#REF!)</f>
        <v>0</v>
      </c>
      <c r="G13" s="943" t="b">
        <f t="shared" si="1"/>
        <v>1</v>
      </c>
      <c r="H13" s="943" t="b">
        <f>ISNUMBER(#REF!)</f>
        <v>0</v>
      </c>
      <c r="I13" s="943" t="b">
        <f>ISNUMBER(#REF!)</f>
        <v>0</v>
      </c>
      <c r="J13" s="943" t="b">
        <f>ISNUMBER(#REF!)</f>
        <v>0</v>
      </c>
      <c r="K13" s="943" t="b">
        <f>ISNUMBER(#REF!)</f>
        <v>0</v>
      </c>
      <c r="L13" s="943" t="b">
        <f>ISNUMBER(#REF!)</f>
        <v>0</v>
      </c>
      <c r="M13" s="943" t="b">
        <f>ISNUMBER(#REF!)</f>
        <v>0</v>
      </c>
      <c r="N13" s="943" t="b">
        <f>ISNUMBER(#REF!)</f>
        <v>0</v>
      </c>
      <c r="O13" s="943" t="b">
        <f>ISNUMBER(#REF!)</f>
        <v>0</v>
      </c>
      <c r="P13" s="943" t="b">
        <f>ISNUMBER(#REF!)</f>
        <v>0</v>
      </c>
      <c r="Q13" s="951" t="str">
        <f t="shared" si="2"/>
        <v/>
      </c>
    </row>
    <row r="14" spans="1:17" ht="24" customHeight="1">
      <c r="A14" s="968">
        <f t="shared" si="3"/>
        <v>45006.447916666664</v>
      </c>
      <c r="B14" s="949" t="s">
        <v>276</v>
      </c>
      <c r="C14" s="950">
        <f t="shared" si="0"/>
        <v>0</v>
      </c>
      <c r="E14" s="943" t="b">
        <f>ISNUMBER(#REF!)</f>
        <v>0</v>
      </c>
      <c r="F14" s="943" t="b">
        <f>ISNUMBER(#REF!)</f>
        <v>0</v>
      </c>
      <c r="G14" s="943" t="b">
        <f t="shared" si="1"/>
        <v>1</v>
      </c>
      <c r="H14" s="943" t="b">
        <f>ISNUMBER(#REF!)</f>
        <v>0</v>
      </c>
      <c r="I14" s="943" t="b">
        <f>ISNUMBER(#REF!)</f>
        <v>0</v>
      </c>
      <c r="J14" s="943" t="b">
        <f>ISNUMBER(#REF!)</f>
        <v>0</v>
      </c>
      <c r="K14" s="943" t="b">
        <f>ISNUMBER(#REF!)</f>
        <v>0</v>
      </c>
      <c r="L14" s="943" t="b">
        <f>ISNUMBER(#REF!)</f>
        <v>0</v>
      </c>
      <c r="M14" s="943" t="b">
        <f>ISNUMBER(#REF!)</f>
        <v>0</v>
      </c>
      <c r="N14" s="943" t="b">
        <f>ISNUMBER(#REF!)</f>
        <v>0</v>
      </c>
      <c r="O14" s="943" t="b">
        <f>ISNUMBER(#REF!)</f>
        <v>0</v>
      </c>
      <c r="P14" s="943" t="b">
        <f>ISNUMBER(#REF!)</f>
        <v>0</v>
      </c>
      <c r="Q14" s="951" t="str">
        <f t="shared" si="2"/>
        <v/>
      </c>
    </row>
    <row r="15" spans="1:17" ht="24" customHeight="1">
      <c r="A15" s="968">
        <f t="shared" si="3"/>
        <v>45006.447916666664</v>
      </c>
      <c r="B15" s="949" t="s">
        <v>277</v>
      </c>
      <c r="C15" s="950">
        <f t="shared" si="0"/>
        <v>0</v>
      </c>
      <c r="E15" s="943" t="b">
        <f>ISNUMBER(#REF!)</f>
        <v>0</v>
      </c>
      <c r="F15" s="943" t="b">
        <f>ISNUMBER(#REF!)</f>
        <v>0</v>
      </c>
      <c r="G15" s="943" t="b">
        <f t="shared" si="1"/>
        <v>1</v>
      </c>
      <c r="H15" s="943" t="b">
        <f>ISNUMBER(#REF!)</f>
        <v>0</v>
      </c>
      <c r="I15" s="943" t="b">
        <f>ISNUMBER(#REF!)</f>
        <v>0</v>
      </c>
      <c r="J15" s="943" t="b">
        <f>ISNUMBER(#REF!)</f>
        <v>0</v>
      </c>
      <c r="K15" s="943" t="b">
        <f>ISNUMBER(#REF!)</f>
        <v>0</v>
      </c>
      <c r="L15" s="943" t="b">
        <f>ISNUMBER(#REF!)</f>
        <v>0</v>
      </c>
      <c r="M15" s="943" t="b">
        <f>ISNUMBER(#REF!)</f>
        <v>0</v>
      </c>
      <c r="N15" s="943" t="b">
        <f>ISNUMBER(#REF!)</f>
        <v>0</v>
      </c>
      <c r="O15" s="943" t="b">
        <f>ISNUMBER(#REF!)</f>
        <v>0</v>
      </c>
      <c r="P15" s="943" t="b">
        <f>ISNUMBER(#REF!)</f>
        <v>0</v>
      </c>
      <c r="Q15" s="951" t="str">
        <f t="shared" si="2"/>
        <v/>
      </c>
    </row>
    <row r="16" spans="1:17" ht="24" customHeight="1">
      <c r="A16" s="968">
        <f t="shared" si="3"/>
        <v>45006.447916666664</v>
      </c>
      <c r="B16" s="949" t="s">
        <v>289</v>
      </c>
      <c r="C16" s="950">
        <f t="shared" si="0"/>
        <v>0</v>
      </c>
      <c r="E16" s="943" t="b">
        <f>ISNUMBER(#REF!)</f>
        <v>0</v>
      </c>
      <c r="F16" s="943" t="b">
        <f>ISNUMBER(#REF!)</f>
        <v>0</v>
      </c>
      <c r="G16" s="943" t="b">
        <f t="shared" si="1"/>
        <v>1</v>
      </c>
      <c r="H16" s="943" t="b">
        <f>ISNUMBER(#REF!)</f>
        <v>0</v>
      </c>
      <c r="I16" s="943" t="b">
        <f>ISNUMBER(#REF!)</f>
        <v>0</v>
      </c>
      <c r="J16" s="943" t="b">
        <f>ISNUMBER(#REF!)</f>
        <v>0</v>
      </c>
      <c r="K16" s="943" t="b">
        <f>ISNUMBER(#REF!)</f>
        <v>0</v>
      </c>
      <c r="L16" s="943" t="b">
        <f>ISNUMBER(#REF!)</f>
        <v>0</v>
      </c>
      <c r="M16" s="943" t="b">
        <f>ISNUMBER(#REF!)</f>
        <v>0</v>
      </c>
      <c r="N16" s="943" t="b">
        <f>ISNUMBER(#REF!)</f>
        <v>0</v>
      </c>
      <c r="O16" s="943" t="b">
        <f>ISNUMBER(#REF!)</f>
        <v>0</v>
      </c>
      <c r="P16" s="943" t="b">
        <f>ISNUMBER(#REF!)</f>
        <v>0</v>
      </c>
      <c r="Q16" s="951" t="str">
        <f t="shared" si="2"/>
        <v/>
      </c>
    </row>
    <row r="17" spans="1:17" ht="24" customHeight="1">
      <c r="A17" s="968">
        <f t="shared" si="3"/>
        <v>45006.447916666664</v>
      </c>
      <c r="B17" s="949" t="s">
        <v>290</v>
      </c>
      <c r="C17" s="950">
        <f t="shared" si="0"/>
        <v>0</v>
      </c>
      <c r="E17" s="943" t="b">
        <f>ISNUMBER(#REF!)</f>
        <v>0</v>
      </c>
      <c r="F17" s="943" t="b">
        <f>ISNUMBER(#REF!)</f>
        <v>0</v>
      </c>
      <c r="G17" s="943" t="b">
        <f t="shared" si="1"/>
        <v>1</v>
      </c>
      <c r="H17" s="943" t="b">
        <f>ISNUMBER(#REF!)</f>
        <v>0</v>
      </c>
      <c r="I17" s="943" t="b">
        <f>ISNUMBER(#REF!)</f>
        <v>0</v>
      </c>
      <c r="J17" s="943" t="b">
        <f>ISNUMBER(#REF!)</f>
        <v>0</v>
      </c>
      <c r="K17" s="943" t="b">
        <f>ISNUMBER(#REF!)</f>
        <v>0</v>
      </c>
      <c r="L17" s="943" t="b">
        <f>ISNUMBER(#REF!)</f>
        <v>0</v>
      </c>
      <c r="M17" s="943" t="b">
        <f>ISNUMBER(#REF!)</f>
        <v>0</v>
      </c>
      <c r="N17" s="943" t="b">
        <f>ISNUMBER(#REF!)</f>
        <v>0</v>
      </c>
      <c r="O17" s="943" t="b">
        <f>ISNUMBER(#REF!)</f>
        <v>0</v>
      </c>
      <c r="P17" s="943" t="b">
        <f>ISNUMBER(#REF!)</f>
        <v>0</v>
      </c>
      <c r="Q17" s="951" t="str">
        <f t="shared" si="2"/>
        <v/>
      </c>
    </row>
    <row r="18" spans="1:17" ht="24" customHeight="1">
      <c r="A18" s="968">
        <f t="shared" si="3"/>
        <v>45006.447916666664</v>
      </c>
      <c r="B18" s="949" t="s">
        <v>291</v>
      </c>
      <c r="C18" s="950">
        <f t="shared" si="0"/>
        <v>0</v>
      </c>
      <c r="E18" s="943" t="b">
        <f>ISNUMBER(#REF!)</f>
        <v>0</v>
      </c>
      <c r="F18" s="943" t="b">
        <f>ISNUMBER(#REF!)</f>
        <v>0</v>
      </c>
      <c r="G18" s="943" t="b">
        <f t="shared" si="1"/>
        <v>1</v>
      </c>
      <c r="H18" s="943" t="b">
        <f>ISNUMBER(#REF!)</f>
        <v>0</v>
      </c>
      <c r="I18" s="943" t="b">
        <f>ISNUMBER(#REF!)</f>
        <v>0</v>
      </c>
      <c r="J18" s="943" t="b">
        <f>ISNUMBER(#REF!)</f>
        <v>0</v>
      </c>
      <c r="K18" s="943" t="b">
        <f>ISNUMBER(#REF!)</f>
        <v>0</v>
      </c>
      <c r="L18" s="943" t="b">
        <f>ISNUMBER(#REF!)</f>
        <v>0</v>
      </c>
      <c r="M18" s="943" t="b">
        <f>ISNUMBER(#REF!)</f>
        <v>0</v>
      </c>
      <c r="N18" s="943" t="b">
        <f>ISNUMBER(#REF!)</f>
        <v>0</v>
      </c>
      <c r="O18" s="943" t="b">
        <f>ISNUMBER(#REF!)</f>
        <v>0</v>
      </c>
      <c r="P18" s="943" t="b">
        <f>ISNUMBER(#REF!)</f>
        <v>0</v>
      </c>
      <c r="Q18" s="951" t="str">
        <f t="shared" si="2"/>
        <v/>
      </c>
    </row>
    <row r="19" spans="1:17" ht="24" customHeight="1">
      <c r="A19" s="968">
        <f t="shared" si="3"/>
        <v>45006.447916666664</v>
      </c>
      <c r="B19" s="949" t="s">
        <v>292</v>
      </c>
      <c r="C19" s="950">
        <f t="shared" si="0"/>
        <v>0</v>
      </c>
      <c r="E19" s="943" t="b">
        <f>ISNUMBER(#REF!)</f>
        <v>0</v>
      </c>
      <c r="F19" s="943" t="b">
        <f>ISNUMBER(#REF!)</f>
        <v>0</v>
      </c>
      <c r="G19" s="943" t="b">
        <f t="shared" si="1"/>
        <v>1</v>
      </c>
      <c r="H19" s="943" t="b">
        <f>ISNUMBER(#REF!)</f>
        <v>0</v>
      </c>
      <c r="I19" s="943" t="b">
        <f>ISNUMBER(#REF!)</f>
        <v>0</v>
      </c>
      <c r="J19" s="943" t="b">
        <f>ISNUMBER(#REF!)</f>
        <v>0</v>
      </c>
      <c r="K19" s="943" t="b">
        <f>ISNUMBER(#REF!)</f>
        <v>0</v>
      </c>
      <c r="L19" s="943" t="b">
        <f>ISNUMBER(#REF!)</f>
        <v>0</v>
      </c>
      <c r="M19" s="943" t="b">
        <f>ISNUMBER(#REF!)</f>
        <v>0</v>
      </c>
      <c r="N19" s="943" t="b">
        <f>ISNUMBER(#REF!)</f>
        <v>0</v>
      </c>
      <c r="O19" s="943" t="b">
        <f>ISNUMBER(#REF!)</f>
        <v>0</v>
      </c>
      <c r="P19" s="943" t="b">
        <f>ISNUMBER(#REF!)</f>
        <v>0</v>
      </c>
      <c r="Q19" s="951" t="str">
        <f t="shared" si="2"/>
        <v/>
      </c>
    </row>
    <row r="20" spans="1:17" ht="24" customHeight="1">
      <c r="A20" s="968">
        <f t="shared" si="3"/>
        <v>45006.447916666664</v>
      </c>
      <c r="B20" s="949" t="s">
        <v>293</v>
      </c>
      <c r="C20" s="950">
        <f t="shared" si="0"/>
        <v>0</v>
      </c>
      <c r="E20" s="943" t="b">
        <f>ISNUMBER(#REF!)</f>
        <v>0</v>
      </c>
      <c r="F20" s="943" t="b">
        <f>ISNUMBER(#REF!)</f>
        <v>0</v>
      </c>
      <c r="G20" s="943" t="b">
        <f t="shared" si="1"/>
        <v>1</v>
      </c>
      <c r="H20" s="943" t="b">
        <f>ISNUMBER(#REF!)</f>
        <v>0</v>
      </c>
      <c r="I20" s="943" t="b">
        <f>ISNUMBER(#REF!)</f>
        <v>0</v>
      </c>
      <c r="J20" s="943" t="b">
        <f>ISNUMBER(#REF!)</f>
        <v>0</v>
      </c>
      <c r="K20" s="943" t="b">
        <f>ISNUMBER(#REF!)</f>
        <v>0</v>
      </c>
      <c r="L20" s="943" t="b">
        <f>ISNUMBER(#REF!)</f>
        <v>0</v>
      </c>
      <c r="M20" s="943" t="b">
        <f>ISNUMBER(#REF!)</f>
        <v>0</v>
      </c>
      <c r="N20" s="943" t="b">
        <f>ISNUMBER(#REF!)</f>
        <v>0</v>
      </c>
      <c r="O20" s="943" t="b">
        <f>ISNUMBER(#REF!)</f>
        <v>0</v>
      </c>
      <c r="P20" s="943" t="b">
        <f>ISNUMBER(#REF!)</f>
        <v>0</v>
      </c>
      <c r="Q20" s="951" t="str">
        <f t="shared" si="2"/>
        <v/>
      </c>
    </row>
    <row r="21" spans="1:17" ht="24" customHeight="1">
      <c r="A21" s="968">
        <f t="shared" si="3"/>
        <v>45006.447916666664</v>
      </c>
      <c r="B21" s="949" t="s">
        <v>294</v>
      </c>
      <c r="C21" s="950">
        <f t="shared" si="0"/>
        <v>0</v>
      </c>
      <c r="E21" s="943" t="b">
        <f>ISNUMBER(#REF!)</f>
        <v>0</v>
      </c>
      <c r="F21" s="943" t="b">
        <f>ISNUMBER(#REF!)</f>
        <v>0</v>
      </c>
      <c r="G21" s="943" t="b">
        <f t="shared" si="1"/>
        <v>1</v>
      </c>
      <c r="H21" s="943" t="b">
        <f>ISNUMBER(#REF!)</f>
        <v>0</v>
      </c>
      <c r="I21" s="943" t="b">
        <f>ISNUMBER(#REF!)</f>
        <v>0</v>
      </c>
      <c r="J21" s="943" t="b">
        <f>ISNUMBER(#REF!)</f>
        <v>0</v>
      </c>
      <c r="K21" s="943" t="b">
        <f>ISNUMBER(#REF!)</f>
        <v>0</v>
      </c>
      <c r="L21" s="943" t="b">
        <f>ISNUMBER(#REF!)</f>
        <v>0</v>
      </c>
      <c r="M21" s="943" t="b">
        <f>ISNUMBER(#REF!)</f>
        <v>0</v>
      </c>
      <c r="N21" s="943" t="b">
        <f>ISNUMBER(#REF!)</f>
        <v>0</v>
      </c>
      <c r="O21" s="943" t="b">
        <f>ISNUMBER(#REF!)</f>
        <v>0</v>
      </c>
      <c r="P21" s="943" t="b">
        <f>ISNUMBER(#REF!)</f>
        <v>0</v>
      </c>
      <c r="Q21" s="951" t="str">
        <f t="shared" si="2"/>
        <v/>
      </c>
    </row>
    <row r="22" spans="1:17" ht="24" customHeight="1">
      <c r="A22" s="968">
        <f t="shared" si="3"/>
        <v>45006.447916666664</v>
      </c>
      <c r="B22" s="949" t="s">
        <v>295</v>
      </c>
      <c r="C22" s="950">
        <f t="shared" si="0"/>
        <v>0</v>
      </c>
      <c r="E22" s="943" t="b">
        <f>ISNUMBER(#REF!)</f>
        <v>0</v>
      </c>
      <c r="F22" s="943" t="b">
        <f>ISNUMBER(#REF!)</f>
        <v>0</v>
      </c>
      <c r="G22" s="943" t="b">
        <f t="shared" si="1"/>
        <v>1</v>
      </c>
      <c r="H22" s="943" t="b">
        <f>ISNUMBER(#REF!)</f>
        <v>0</v>
      </c>
      <c r="I22" s="943" t="b">
        <f>ISNUMBER(#REF!)</f>
        <v>0</v>
      </c>
      <c r="J22" s="943" t="b">
        <f>ISNUMBER(#REF!)</f>
        <v>0</v>
      </c>
      <c r="K22" s="943" t="b">
        <f>ISNUMBER(#REF!)</f>
        <v>0</v>
      </c>
      <c r="L22" s="943" t="b">
        <f>ISNUMBER(#REF!)</f>
        <v>0</v>
      </c>
      <c r="M22" s="943" t="b">
        <f>ISNUMBER(#REF!)</f>
        <v>0</v>
      </c>
      <c r="N22" s="943" t="b">
        <f>ISNUMBER(#REF!)</f>
        <v>0</v>
      </c>
      <c r="O22" s="943" t="b">
        <f>ISNUMBER(#REF!)</f>
        <v>0</v>
      </c>
      <c r="P22" s="943" t="b">
        <f>ISNUMBER(#REF!)</f>
        <v>0</v>
      </c>
      <c r="Q22" s="951" t="str">
        <f t="shared" si="2"/>
        <v/>
      </c>
    </row>
    <row r="23" spans="1:17" ht="24" customHeight="1">
      <c r="A23" s="968">
        <f t="shared" si="3"/>
        <v>45006.447916666664</v>
      </c>
      <c r="B23" s="949" t="s">
        <v>296</v>
      </c>
      <c r="C23" s="950">
        <f t="shared" si="0"/>
        <v>0</v>
      </c>
      <c r="E23" s="943" t="b">
        <f>ISNUMBER(#REF!)</f>
        <v>0</v>
      </c>
      <c r="F23" s="943" t="b">
        <f>ISNUMBER(#REF!)</f>
        <v>0</v>
      </c>
      <c r="G23" s="943" t="b">
        <f t="shared" si="1"/>
        <v>1</v>
      </c>
      <c r="H23" s="943" t="b">
        <f>ISNUMBER(#REF!)</f>
        <v>0</v>
      </c>
      <c r="I23" s="943" t="b">
        <f>ISNUMBER(#REF!)</f>
        <v>0</v>
      </c>
      <c r="J23" s="943" t="b">
        <f>ISNUMBER(#REF!)</f>
        <v>0</v>
      </c>
      <c r="K23" s="943" t="b">
        <f>ISNUMBER(#REF!)</f>
        <v>0</v>
      </c>
      <c r="L23" s="943" t="b">
        <f>ISNUMBER(#REF!)</f>
        <v>0</v>
      </c>
      <c r="M23" s="943" t="b">
        <f>ISNUMBER(#REF!)</f>
        <v>0</v>
      </c>
      <c r="N23" s="943" t="b">
        <f>ISNUMBER(#REF!)</f>
        <v>0</v>
      </c>
      <c r="O23" s="943" t="b">
        <f>ISNUMBER(#REF!)</f>
        <v>0</v>
      </c>
      <c r="P23" s="943" t="b">
        <f>ISNUMBER(#REF!)</f>
        <v>0</v>
      </c>
      <c r="Q23" s="951" t="str">
        <f t="shared" si="2"/>
        <v/>
      </c>
    </row>
    <row r="24" spans="1:17" ht="24" customHeight="1">
      <c r="A24" s="968">
        <f t="shared" si="3"/>
        <v>45006.447916666664</v>
      </c>
      <c r="B24" s="949" t="s">
        <v>297</v>
      </c>
      <c r="C24" s="950">
        <f t="shared" si="0"/>
        <v>-1.0461</v>
      </c>
      <c r="E24" s="943" t="b">
        <f>ISNUMBER(#REF!)</f>
        <v>0</v>
      </c>
      <c r="F24" s="943" t="b">
        <f>ISNUMBER(#REF!)</f>
        <v>0</v>
      </c>
      <c r="G24" s="943" t="b">
        <f t="shared" si="1"/>
        <v>1</v>
      </c>
      <c r="H24" s="943" t="b">
        <f>ISNUMBER(#REF!)</f>
        <v>0</v>
      </c>
      <c r="I24" s="943" t="b">
        <f>ISNUMBER(#REF!)</f>
        <v>0</v>
      </c>
      <c r="J24" s="943" t="b">
        <f>ISNUMBER(#REF!)</f>
        <v>0</v>
      </c>
      <c r="K24" s="943" t="b">
        <f>ISNUMBER(#REF!)</f>
        <v>0</v>
      </c>
      <c r="L24" s="943" t="b">
        <f>ISNUMBER(#REF!)</f>
        <v>0</v>
      </c>
      <c r="M24" s="943" t="b">
        <f>ISNUMBER(#REF!)</f>
        <v>0</v>
      </c>
      <c r="N24" s="943" t="b">
        <f>ISNUMBER(#REF!)</f>
        <v>0</v>
      </c>
      <c r="O24" s="943" t="b">
        <f>ISNUMBER(#REF!)</f>
        <v>0</v>
      </c>
      <c r="P24" s="943" t="b">
        <f>ISNUMBER(#REF!)</f>
        <v>0</v>
      </c>
      <c r="Q24" s="951" t="str">
        <f t="shared" si="2"/>
        <v/>
      </c>
    </row>
    <row r="25" spans="1:17" ht="24" customHeight="1">
      <c r="A25" s="968">
        <f t="shared" si="3"/>
        <v>45006.447916666664</v>
      </c>
      <c r="B25" s="949" t="s">
        <v>298</v>
      </c>
      <c r="C25" s="950">
        <f t="shared" si="0"/>
        <v>0</v>
      </c>
      <c r="E25" s="943" t="b">
        <f>ISNUMBER(#REF!)</f>
        <v>0</v>
      </c>
      <c r="F25" s="943" t="b">
        <f>ISNUMBER(#REF!)</f>
        <v>0</v>
      </c>
      <c r="G25" s="943" t="b">
        <f t="shared" si="1"/>
        <v>1</v>
      </c>
      <c r="H25" s="943" t="b">
        <f>ISNUMBER(#REF!)</f>
        <v>0</v>
      </c>
      <c r="I25" s="943" t="b">
        <f>ISNUMBER(#REF!)</f>
        <v>0</v>
      </c>
      <c r="J25" s="943" t="b">
        <f>ISNUMBER(#REF!)</f>
        <v>0</v>
      </c>
      <c r="K25" s="943" t="b">
        <f>ISNUMBER(#REF!)</f>
        <v>0</v>
      </c>
      <c r="L25" s="943" t="b">
        <f>ISNUMBER(#REF!)</f>
        <v>0</v>
      </c>
      <c r="M25" s="943" t="b">
        <f>ISNUMBER(#REF!)</f>
        <v>0</v>
      </c>
      <c r="N25" s="943" t="b">
        <f>ISNUMBER(#REF!)</f>
        <v>0</v>
      </c>
      <c r="O25" s="943" t="b">
        <f>ISNUMBER(#REF!)</f>
        <v>0</v>
      </c>
      <c r="P25" s="943" t="b">
        <f>ISNUMBER(#REF!)</f>
        <v>0</v>
      </c>
      <c r="Q25" s="951" t="str">
        <f t="shared" si="2"/>
        <v/>
      </c>
    </row>
    <row r="26" spans="1:17" ht="24" customHeight="1">
      <c r="A26" s="968">
        <f t="shared" si="3"/>
        <v>45006.447916666664</v>
      </c>
      <c r="B26" s="949" t="s">
        <v>299</v>
      </c>
      <c r="C26" s="950">
        <f t="shared" si="0"/>
        <v>0</v>
      </c>
      <c r="E26" s="943" t="b">
        <f>ISNUMBER(#REF!)</f>
        <v>0</v>
      </c>
      <c r="F26" s="943" t="b">
        <f>ISNUMBER(#REF!)</f>
        <v>0</v>
      </c>
      <c r="G26" s="943" t="b">
        <f t="shared" si="1"/>
        <v>1</v>
      </c>
      <c r="H26" s="943" t="b">
        <f>ISNUMBER(#REF!)</f>
        <v>0</v>
      </c>
      <c r="I26" s="943" t="b">
        <f>ISNUMBER(#REF!)</f>
        <v>0</v>
      </c>
      <c r="J26" s="943" t="b">
        <f>ISNUMBER(#REF!)</f>
        <v>0</v>
      </c>
      <c r="K26" s="943" t="b">
        <f>ISNUMBER(#REF!)</f>
        <v>0</v>
      </c>
      <c r="L26" s="943" t="b">
        <f>ISNUMBER(#REF!)</f>
        <v>0</v>
      </c>
      <c r="M26" s="943" t="b">
        <f>ISNUMBER(#REF!)</f>
        <v>0</v>
      </c>
      <c r="N26" s="943" t="b">
        <f>ISNUMBER(#REF!)</f>
        <v>0</v>
      </c>
      <c r="O26" s="943" t="b">
        <f>ISNUMBER(#REF!)</f>
        <v>0</v>
      </c>
      <c r="P26" s="943" t="b">
        <f>ISNUMBER(#REF!)</f>
        <v>0</v>
      </c>
      <c r="Q26" s="951" t="str">
        <f t="shared" si="2"/>
        <v/>
      </c>
    </row>
    <row r="27" spans="1:17" ht="24" customHeight="1">
      <c r="A27" s="968">
        <f t="shared" si="3"/>
        <v>45006.447916666664</v>
      </c>
      <c r="B27" s="949" t="s">
        <v>300</v>
      </c>
      <c r="C27" s="950">
        <f t="shared" si="0"/>
        <v>0</v>
      </c>
      <c r="E27" s="943" t="b">
        <f>ISNUMBER(#REF!)</f>
        <v>0</v>
      </c>
      <c r="F27" s="943" t="b">
        <f>ISNUMBER(#REF!)</f>
        <v>0</v>
      </c>
      <c r="G27" s="943" t="b">
        <f t="shared" si="1"/>
        <v>1</v>
      </c>
      <c r="H27" s="943" t="b">
        <f>ISNUMBER(#REF!)</f>
        <v>0</v>
      </c>
      <c r="I27" s="943" t="b">
        <f>ISNUMBER(#REF!)</f>
        <v>0</v>
      </c>
      <c r="J27" s="943" t="b">
        <f>ISNUMBER(#REF!)</f>
        <v>0</v>
      </c>
      <c r="K27" s="943" t="b">
        <f>ISNUMBER(#REF!)</f>
        <v>0</v>
      </c>
      <c r="L27" s="943" t="b">
        <f>ISNUMBER(#REF!)</f>
        <v>0</v>
      </c>
      <c r="M27" s="943" t="b">
        <f>ISNUMBER(#REF!)</f>
        <v>0</v>
      </c>
      <c r="N27" s="943" t="b">
        <f>ISNUMBER(#REF!)</f>
        <v>0</v>
      </c>
      <c r="O27" s="943" t="b">
        <f>ISNUMBER(#REF!)</f>
        <v>0</v>
      </c>
      <c r="P27" s="943" t="b">
        <f>ISNUMBER(#REF!)</f>
        <v>0</v>
      </c>
      <c r="Q27" s="951" t="str">
        <f t="shared" si="2"/>
        <v/>
      </c>
    </row>
    <row r="28" spans="1:17" ht="24" customHeight="1">
      <c r="A28" s="968">
        <f t="shared" si="3"/>
        <v>45006.447916666664</v>
      </c>
      <c r="B28" s="949" t="s">
        <v>301</v>
      </c>
      <c r="C28" s="950">
        <f t="shared" si="0"/>
        <v>0</v>
      </c>
      <c r="E28" s="943" t="b">
        <f>ISNUMBER(#REF!)</f>
        <v>0</v>
      </c>
      <c r="F28" s="943" t="b">
        <f>ISNUMBER(#REF!)</f>
        <v>0</v>
      </c>
      <c r="G28" s="943" t="b">
        <f t="shared" si="1"/>
        <v>1</v>
      </c>
      <c r="H28" s="943" t="b">
        <f>ISNUMBER(#REF!)</f>
        <v>0</v>
      </c>
      <c r="I28" s="943" t="b">
        <f>ISNUMBER(#REF!)</f>
        <v>0</v>
      </c>
      <c r="J28" s="943" t="b">
        <f>ISNUMBER(#REF!)</f>
        <v>0</v>
      </c>
      <c r="K28" s="943" t="b">
        <f>ISNUMBER(#REF!)</f>
        <v>0</v>
      </c>
      <c r="L28" s="943" t="b">
        <f>ISNUMBER(#REF!)</f>
        <v>0</v>
      </c>
      <c r="M28" s="943" t="b">
        <f>ISNUMBER(#REF!)</f>
        <v>0</v>
      </c>
      <c r="N28" s="943" t="b">
        <f>ISNUMBER(#REF!)</f>
        <v>0</v>
      </c>
      <c r="O28" s="943" t="b">
        <f>ISNUMBER(#REF!)</f>
        <v>0</v>
      </c>
      <c r="P28" s="943" t="b">
        <f>ISNUMBER(#REF!)</f>
        <v>0</v>
      </c>
      <c r="Q28" s="951" t="str">
        <f t="shared" si="2"/>
        <v/>
      </c>
    </row>
    <row r="29" spans="1:17" ht="24" customHeight="1">
      <c r="A29" s="968">
        <f t="shared" si="3"/>
        <v>45006.447916666664</v>
      </c>
      <c r="B29" s="949" t="s">
        <v>302</v>
      </c>
      <c r="C29" s="950">
        <f t="shared" si="0"/>
        <v>0</v>
      </c>
      <c r="E29" s="943" t="b">
        <f>ISNUMBER(#REF!)</f>
        <v>0</v>
      </c>
      <c r="F29" s="943" t="b">
        <f>ISNUMBER(#REF!)</f>
        <v>0</v>
      </c>
      <c r="G29" s="943" t="b">
        <f t="shared" si="1"/>
        <v>1</v>
      </c>
      <c r="H29" s="943" t="b">
        <f>ISNUMBER(#REF!)</f>
        <v>0</v>
      </c>
      <c r="I29" s="943" t="b">
        <f>ISNUMBER(#REF!)</f>
        <v>0</v>
      </c>
      <c r="J29" s="943" t="b">
        <f>ISNUMBER(#REF!)</f>
        <v>0</v>
      </c>
      <c r="K29" s="943" t="b">
        <f>ISNUMBER(#REF!)</f>
        <v>0</v>
      </c>
      <c r="L29" s="943" t="b">
        <f>ISNUMBER(#REF!)</f>
        <v>0</v>
      </c>
      <c r="M29" s="943" t="b">
        <f>ISNUMBER(#REF!)</f>
        <v>0</v>
      </c>
      <c r="N29" s="943" t="b">
        <f>ISNUMBER(#REF!)</f>
        <v>0</v>
      </c>
      <c r="O29" s="943" t="b">
        <f>ISNUMBER(#REF!)</f>
        <v>0</v>
      </c>
      <c r="P29" s="943" t="b">
        <f>ISNUMBER(#REF!)</f>
        <v>0</v>
      </c>
      <c r="Q29" s="951" t="str">
        <f t="shared" si="2"/>
        <v/>
      </c>
    </row>
    <row r="30" spans="1:17" ht="24" customHeight="1">
      <c r="A30" s="968">
        <f t="shared" si="3"/>
        <v>45006.447916666664</v>
      </c>
      <c r="B30" s="949" t="s">
        <v>312</v>
      </c>
      <c r="C30" s="950">
        <f t="shared" si="0"/>
        <v>0</v>
      </c>
      <c r="E30" s="943" t="b">
        <f>ISNUMBER(#REF!)</f>
        <v>0</v>
      </c>
      <c r="F30" s="943" t="b">
        <f>ISNUMBER(#REF!)</f>
        <v>0</v>
      </c>
      <c r="G30" s="943" t="b">
        <f t="shared" si="1"/>
        <v>1</v>
      </c>
      <c r="H30" s="943" t="b">
        <f>ISNUMBER(#REF!)</f>
        <v>0</v>
      </c>
      <c r="I30" s="943" t="b">
        <f>ISNUMBER(#REF!)</f>
        <v>0</v>
      </c>
      <c r="J30" s="943" t="b">
        <f>ISNUMBER(#REF!)</f>
        <v>0</v>
      </c>
      <c r="K30" s="943" t="b">
        <f>ISNUMBER(#REF!)</f>
        <v>0</v>
      </c>
      <c r="L30" s="943" t="b">
        <f>ISNUMBER(#REF!)</f>
        <v>0</v>
      </c>
      <c r="M30" s="943" t="b">
        <f>ISNUMBER(#REF!)</f>
        <v>0</v>
      </c>
      <c r="N30" s="943" t="b">
        <f>ISNUMBER(#REF!)</f>
        <v>0</v>
      </c>
      <c r="O30" s="943" t="b">
        <f>ISNUMBER(#REF!)</f>
        <v>0</v>
      </c>
      <c r="P30" s="943" t="b">
        <f>ISNUMBER(#REF!)</f>
        <v>0</v>
      </c>
      <c r="Q30" s="951" t="str">
        <f t="shared" si="2"/>
        <v/>
      </c>
    </row>
    <row r="31" spans="1:17" ht="24" customHeight="1">
      <c r="A31" s="968">
        <f t="shared" si="3"/>
        <v>45006.447916666664</v>
      </c>
      <c r="B31" s="949" t="s">
        <v>313</v>
      </c>
      <c r="C31" s="950">
        <f t="shared" si="0"/>
        <v>0</v>
      </c>
      <c r="E31" s="943" t="b">
        <f>ISNUMBER(#REF!)</f>
        <v>0</v>
      </c>
      <c r="F31" s="943" t="b">
        <f>ISNUMBER(#REF!)</f>
        <v>0</v>
      </c>
      <c r="G31" s="943" t="b">
        <f t="shared" si="1"/>
        <v>1</v>
      </c>
      <c r="H31" s="943" t="b">
        <f>ISNUMBER(#REF!)</f>
        <v>0</v>
      </c>
      <c r="I31" s="943" t="b">
        <f>ISNUMBER(#REF!)</f>
        <v>0</v>
      </c>
      <c r="J31" s="943" t="b">
        <f>ISNUMBER(#REF!)</f>
        <v>0</v>
      </c>
      <c r="K31" s="943" t="b">
        <f>ISNUMBER(#REF!)</f>
        <v>0</v>
      </c>
      <c r="L31" s="943" t="b">
        <f>ISNUMBER(#REF!)</f>
        <v>0</v>
      </c>
      <c r="M31" s="943" t="b">
        <f>ISNUMBER(#REF!)</f>
        <v>0</v>
      </c>
      <c r="N31" s="943" t="b">
        <f>ISNUMBER(#REF!)</f>
        <v>0</v>
      </c>
      <c r="O31" s="943" t="b">
        <f>ISNUMBER(#REF!)</f>
        <v>0</v>
      </c>
      <c r="P31" s="943" t="b">
        <f>ISNUMBER(#REF!)</f>
        <v>0</v>
      </c>
      <c r="Q31" s="951" t="str">
        <f t="shared" si="2"/>
        <v/>
      </c>
    </row>
    <row r="32" spans="1:17" ht="24" customHeight="1">
      <c r="A32" s="968">
        <f t="shared" si="3"/>
        <v>45006.447916666664</v>
      </c>
      <c r="B32" s="949" t="s">
        <v>314</v>
      </c>
      <c r="C32" s="950">
        <f t="shared" si="0"/>
        <v>0</v>
      </c>
      <c r="E32" s="943" t="b">
        <f>ISNUMBER(#REF!)</f>
        <v>0</v>
      </c>
      <c r="F32" s="943" t="b">
        <f>ISNUMBER(#REF!)</f>
        <v>0</v>
      </c>
      <c r="G32" s="943" t="b">
        <f t="shared" si="1"/>
        <v>1</v>
      </c>
      <c r="H32" s="943" t="b">
        <f>ISNUMBER(#REF!)</f>
        <v>0</v>
      </c>
      <c r="I32" s="943" t="b">
        <f>ISNUMBER(#REF!)</f>
        <v>0</v>
      </c>
      <c r="J32" s="943" t="b">
        <f>ISNUMBER(#REF!)</f>
        <v>0</v>
      </c>
      <c r="K32" s="943" t="b">
        <f>ISNUMBER(#REF!)</f>
        <v>0</v>
      </c>
      <c r="L32" s="943" t="b">
        <f>ISNUMBER(#REF!)</f>
        <v>0</v>
      </c>
      <c r="M32" s="943" t="b">
        <f>ISNUMBER(#REF!)</f>
        <v>0</v>
      </c>
      <c r="N32" s="943" t="b">
        <f>ISNUMBER(#REF!)</f>
        <v>0</v>
      </c>
      <c r="O32" s="943" t="b">
        <f>ISNUMBER(#REF!)</f>
        <v>0</v>
      </c>
      <c r="P32" s="943" t="b">
        <f>ISNUMBER(#REF!)</f>
        <v>0</v>
      </c>
      <c r="Q32" s="951" t="str">
        <f t="shared" si="2"/>
        <v/>
      </c>
    </row>
    <row r="33" spans="1:17" ht="24" customHeight="1">
      <c r="A33" s="968">
        <f t="shared" si="3"/>
        <v>45006.447916666664</v>
      </c>
      <c r="B33" s="949" t="s">
        <v>315</v>
      </c>
      <c r="C33" s="950">
        <f t="shared" si="0"/>
        <v>0</v>
      </c>
      <c r="E33" s="943" t="b">
        <f>ISNUMBER(#REF!)</f>
        <v>0</v>
      </c>
      <c r="F33" s="943" t="b">
        <f>ISNUMBER(#REF!)</f>
        <v>0</v>
      </c>
      <c r="G33" s="943" t="b">
        <f t="shared" si="1"/>
        <v>1</v>
      </c>
      <c r="H33" s="943" t="b">
        <f>ISNUMBER(#REF!)</f>
        <v>0</v>
      </c>
      <c r="I33" s="943" t="b">
        <f>ISNUMBER(#REF!)</f>
        <v>0</v>
      </c>
      <c r="J33" s="943" t="b">
        <f>ISNUMBER(#REF!)</f>
        <v>0</v>
      </c>
      <c r="K33" s="943" t="b">
        <f>ISNUMBER(#REF!)</f>
        <v>0</v>
      </c>
      <c r="L33" s="943" t="b">
        <f>ISNUMBER(#REF!)</f>
        <v>0</v>
      </c>
      <c r="M33" s="943" t="b">
        <f>ISNUMBER(#REF!)</f>
        <v>0</v>
      </c>
      <c r="N33" s="943" t="b">
        <f>ISNUMBER(#REF!)</f>
        <v>0</v>
      </c>
      <c r="O33" s="943" t="b">
        <f>ISNUMBER(#REF!)</f>
        <v>0</v>
      </c>
      <c r="P33" s="943" t="b">
        <f>ISNUMBER(#REF!)</f>
        <v>0</v>
      </c>
      <c r="Q33" s="951" t="str">
        <f t="shared" si="2"/>
        <v/>
      </c>
    </row>
    <row r="34" spans="1:17" ht="24" customHeight="1">
      <c r="A34" s="968">
        <f t="shared" si="3"/>
        <v>45006.447916666664</v>
      </c>
      <c r="B34" s="949" t="s">
        <v>316</v>
      </c>
      <c r="C34" s="950">
        <f t="shared" si="0"/>
        <v>0</v>
      </c>
      <c r="E34" s="943" t="b">
        <f>ISNUMBER(#REF!)</f>
        <v>0</v>
      </c>
      <c r="F34" s="943" t="b">
        <f>ISNUMBER(#REF!)</f>
        <v>0</v>
      </c>
      <c r="G34" s="943" t="b">
        <f t="shared" si="1"/>
        <v>1</v>
      </c>
      <c r="H34" s="943" t="b">
        <f>ISNUMBER(#REF!)</f>
        <v>0</v>
      </c>
      <c r="I34" s="943" t="b">
        <f>ISNUMBER(#REF!)</f>
        <v>0</v>
      </c>
      <c r="J34" s="943" t="b">
        <f>ISNUMBER(#REF!)</f>
        <v>0</v>
      </c>
      <c r="K34" s="943" t="b">
        <f>ISNUMBER(#REF!)</f>
        <v>0</v>
      </c>
      <c r="L34" s="943" t="b">
        <f>ISNUMBER(#REF!)</f>
        <v>0</v>
      </c>
      <c r="M34" s="943" t="b">
        <f>ISNUMBER(#REF!)</f>
        <v>0</v>
      </c>
      <c r="N34" s="943" t="b">
        <f>ISNUMBER(#REF!)</f>
        <v>0</v>
      </c>
      <c r="O34" s="943" t="b">
        <f>ISNUMBER(#REF!)</f>
        <v>0</v>
      </c>
      <c r="P34" s="943" t="b">
        <f>ISNUMBER(#REF!)</f>
        <v>0</v>
      </c>
      <c r="Q34" s="951" t="str">
        <f t="shared" si="2"/>
        <v/>
      </c>
    </row>
    <row r="35" spans="1:17" ht="24" customHeight="1">
      <c r="A35" s="968">
        <f t="shared" si="3"/>
        <v>45006.447916666664</v>
      </c>
      <c r="B35" s="949" t="s">
        <v>317</v>
      </c>
      <c r="C35" s="950">
        <f t="shared" si="0"/>
        <v>0</v>
      </c>
      <c r="E35" s="943" t="b">
        <f>ISNUMBER(#REF!)</f>
        <v>0</v>
      </c>
      <c r="F35" s="943" t="b">
        <f>ISNUMBER(#REF!)</f>
        <v>0</v>
      </c>
      <c r="G35" s="943" t="b">
        <f t="shared" si="1"/>
        <v>1</v>
      </c>
      <c r="H35" s="943" t="b">
        <f>ISNUMBER(#REF!)</f>
        <v>0</v>
      </c>
      <c r="I35" s="943" t="b">
        <f>ISNUMBER(#REF!)</f>
        <v>0</v>
      </c>
      <c r="J35" s="943" t="b">
        <f>ISNUMBER(#REF!)</f>
        <v>0</v>
      </c>
      <c r="K35" s="943" t="b">
        <f>ISNUMBER(#REF!)</f>
        <v>0</v>
      </c>
      <c r="L35" s="943" t="b">
        <f>ISNUMBER(#REF!)</f>
        <v>0</v>
      </c>
      <c r="M35" s="943" t="b">
        <f>ISNUMBER(#REF!)</f>
        <v>0</v>
      </c>
      <c r="N35" s="943" t="b">
        <f>ISNUMBER(#REF!)</f>
        <v>0</v>
      </c>
      <c r="O35" s="943" t="b">
        <f>ISNUMBER(#REF!)</f>
        <v>0</v>
      </c>
      <c r="P35" s="943" t="b">
        <f>ISNUMBER(#REF!)</f>
        <v>0</v>
      </c>
      <c r="Q35" s="951" t="str">
        <f t="shared" si="2"/>
        <v/>
      </c>
    </row>
    <row r="36" spans="1:17" ht="24" customHeight="1">
      <c r="A36" s="968">
        <f t="shared" si="3"/>
        <v>45006.447916666664</v>
      </c>
      <c r="B36" s="949" t="s">
        <v>318</v>
      </c>
      <c r="C36" s="950">
        <f t="shared" si="0"/>
        <v>0</v>
      </c>
      <c r="E36" s="943" t="b">
        <f>ISNUMBER(#REF!)</f>
        <v>0</v>
      </c>
      <c r="F36" s="943" t="b">
        <f>ISNUMBER(#REF!)</f>
        <v>0</v>
      </c>
      <c r="G36" s="943" t="b">
        <f t="shared" ref="G36:G45" si="4">ISNUMBER(C36)</f>
        <v>1</v>
      </c>
      <c r="H36" s="943" t="b">
        <f>ISNUMBER(#REF!)</f>
        <v>0</v>
      </c>
      <c r="I36" s="943" t="b">
        <f>ISNUMBER(#REF!)</f>
        <v>0</v>
      </c>
      <c r="J36" s="943" t="b">
        <f>ISNUMBER(#REF!)</f>
        <v>0</v>
      </c>
      <c r="K36" s="943" t="b">
        <f>ISNUMBER(#REF!)</f>
        <v>0</v>
      </c>
      <c r="L36" s="943" t="b">
        <f>ISNUMBER(#REF!)</f>
        <v>0</v>
      </c>
      <c r="M36" s="943" t="b">
        <f>ISNUMBER(#REF!)</f>
        <v>0</v>
      </c>
      <c r="N36" s="943" t="b">
        <f>ISNUMBER(#REF!)</f>
        <v>0</v>
      </c>
      <c r="O36" s="943" t="b">
        <f>ISNUMBER(#REF!)</f>
        <v>0</v>
      </c>
      <c r="P36" s="943" t="b">
        <f>ISNUMBER(#REF!)</f>
        <v>0</v>
      </c>
      <c r="Q36" s="951" t="str">
        <f t="shared" ref="Q36:Q45" si="5">IF(G36=TRUE,"",1)</f>
        <v/>
      </c>
    </row>
    <row r="37" spans="1:17" ht="24" customHeight="1">
      <c r="A37" s="968">
        <f t="shared" si="3"/>
        <v>45006.447916666664</v>
      </c>
      <c r="B37" s="949" t="s">
        <v>319</v>
      </c>
      <c r="C37" s="950">
        <f t="shared" si="0"/>
        <v>0</v>
      </c>
      <c r="E37" s="943" t="b">
        <f>ISNUMBER(#REF!)</f>
        <v>0</v>
      </c>
      <c r="F37" s="943" t="b">
        <f>ISNUMBER(#REF!)</f>
        <v>0</v>
      </c>
      <c r="G37" s="943" t="b">
        <f t="shared" si="4"/>
        <v>1</v>
      </c>
      <c r="H37" s="943" t="b">
        <f>ISNUMBER(#REF!)</f>
        <v>0</v>
      </c>
      <c r="I37" s="943" t="b">
        <f>ISNUMBER(#REF!)</f>
        <v>0</v>
      </c>
      <c r="J37" s="943" t="b">
        <f>ISNUMBER(#REF!)</f>
        <v>0</v>
      </c>
      <c r="K37" s="943" t="b">
        <f>ISNUMBER(#REF!)</f>
        <v>0</v>
      </c>
      <c r="L37" s="943" t="b">
        <f>ISNUMBER(#REF!)</f>
        <v>0</v>
      </c>
      <c r="M37" s="943" t="b">
        <f>ISNUMBER(#REF!)</f>
        <v>0</v>
      </c>
      <c r="N37" s="943" t="b">
        <f>ISNUMBER(#REF!)</f>
        <v>0</v>
      </c>
      <c r="O37" s="943" t="b">
        <f>ISNUMBER(#REF!)</f>
        <v>0</v>
      </c>
      <c r="P37" s="943" t="b">
        <f>ISNUMBER(#REF!)</f>
        <v>0</v>
      </c>
      <c r="Q37" s="951" t="str">
        <f t="shared" si="5"/>
        <v/>
      </c>
    </row>
    <row r="38" spans="1:17" ht="24" customHeight="1">
      <c r="A38" s="968">
        <f t="shared" si="3"/>
        <v>45006.447916666664</v>
      </c>
      <c r="B38" s="949" t="s">
        <v>320</v>
      </c>
      <c r="C38" s="950">
        <f t="shared" si="0"/>
        <v>-1.0461</v>
      </c>
      <c r="E38" s="943" t="b">
        <f>ISNUMBER(#REF!)</f>
        <v>0</v>
      </c>
      <c r="F38" s="943" t="b">
        <f>ISNUMBER(#REF!)</f>
        <v>0</v>
      </c>
      <c r="G38" s="943" t="b">
        <f t="shared" si="4"/>
        <v>1</v>
      </c>
      <c r="H38" s="943" t="b">
        <f>ISNUMBER(#REF!)</f>
        <v>0</v>
      </c>
      <c r="I38" s="943" t="b">
        <f>ISNUMBER(#REF!)</f>
        <v>0</v>
      </c>
      <c r="J38" s="943" t="b">
        <f>ISNUMBER(#REF!)</f>
        <v>0</v>
      </c>
      <c r="K38" s="943" t="b">
        <f>ISNUMBER(#REF!)</f>
        <v>0</v>
      </c>
      <c r="L38" s="943" t="b">
        <f>ISNUMBER(#REF!)</f>
        <v>0</v>
      </c>
      <c r="M38" s="943" t="b">
        <f>ISNUMBER(#REF!)</f>
        <v>0</v>
      </c>
      <c r="N38" s="943" t="b">
        <f>ISNUMBER(#REF!)</f>
        <v>0</v>
      </c>
      <c r="O38" s="943" t="b">
        <f>ISNUMBER(#REF!)</f>
        <v>0</v>
      </c>
      <c r="P38" s="943" t="b">
        <f>ISNUMBER(#REF!)</f>
        <v>0</v>
      </c>
      <c r="Q38" s="951" t="str">
        <f t="shared" si="5"/>
        <v/>
      </c>
    </row>
    <row r="39" spans="1:17" ht="24" customHeight="1">
      <c r="A39" s="968">
        <f t="shared" si="3"/>
        <v>45006.447916666664</v>
      </c>
      <c r="B39" s="949" t="s">
        <v>321</v>
      </c>
      <c r="C39" s="950">
        <f t="shared" si="0"/>
        <v>0</v>
      </c>
      <c r="E39" s="943" t="b">
        <f>ISNUMBER(#REF!)</f>
        <v>0</v>
      </c>
      <c r="F39" s="943" t="b">
        <f>ISNUMBER(#REF!)</f>
        <v>0</v>
      </c>
      <c r="G39" s="943" t="b">
        <f t="shared" si="4"/>
        <v>1</v>
      </c>
      <c r="H39" s="943" t="b">
        <f>ISNUMBER(#REF!)</f>
        <v>0</v>
      </c>
      <c r="I39" s="943" t="b">
        <f>ISNUMBER(#REF!)</f>
        <v>0</v>
      </c>
      <c r="J39" s="943" t="b">
        <f>ISNUMBER(#REF!)</f>
        <v>0</v>
      </c>
      <c r="K39" s="943" t="b">
        <f>ISNUMBER(#REF!)</f>
        <v>0</v>
      </c>
      <c r="L39" s="943" t="b">
        <f>ISNUMBER(#REF!)</f>
        <v>0</v>
      </c>
      <c r="M39" s="943" t="b">
        <f>ISNUMBER(#REF!)</f>
        <v>0</v>
      </c>
      <c r="N39" s="943" t="b">
        <f>ISNUMBER(#REF!)</f>
        <v>0</v>
      </c>
      <c r="O39" s="943" t="b">
        <f>ISNUMBER(#REF!)</f>
        <v>0</v>
      </c>
      <c r="P39" s="943" t="b">
        <f>ISNUMBER(#REF!)</f>
        <v>0</v>
      </c>
      <c r="Q39" s="951" t="str">
        <f t="shared" si="5"/>
        <v/>
      </c>
    </row>
    <row r="40" spans="1:17" ht="24" customHeight="1">
      <c r="A40" s="968">
        <f t="shared" si="3"/>
        <v>45006.447916666664</v>
      </c>
      <c r="B40" s="949" t="s">
        <v>322</v>
      </c>
      <c r="C40" s="950">
        <f t="shared" si="0"/>
        <v>0</v>
      </c>
      <c r="E40" s="943" t="b">
        <f>ISNUMBER(#REF!)</f>
        <v>0</v>
      </c>
      <c r="F40" s="943" t="b">
        <f>ISNUMBER(#REF!)</f>
        <v>0</v>
      </c>
      <c r="G40" s="943" t="b">
        <f t="shared" si="4"/>
        <v>1</v>
      </c>
      <c r="H40" s="943" t="b">
        <f>ISNUMBER(#REF!)</f>
        <v>0</v>
      </c>
      <c r="I40" s="943" t="b">
        <f>ISNUMBER(#REF!)</f>
        <v>0</v>
      </c>
      <c r="J40" s="943" t="b">
        <f>ISNUMBER(#REF!)</f>
        <v>0</v>
      </c>
      <c r="K40" s="943" t="b">
        <f>ISNUMBER(#REF!)</f>
        <v>0</v>
      </c>
      <c r="L40" s="943" t="b">
        <f>ISNUMBER(#REF!)</f>
        <v>0</v>
      </c>
      <c r="M40" s="943" t="b">
        <f>ISNUMBER(#REF!)</f>
        <v>0</v>
      </c>
      <c r="N40" s="943" t="b">
        <f>ISNUMBER(#REF!)</f>
        <v>0</v>
      </c>
      <c r="O40" s="943" t="b">
        <f>ISNUMBER(#REF!)</f>
        <v>0</v>
      </c>
      <c r="P40" s="943" t="b">
        <f>ISNUMBER(#REF!)</f>
        <v>0</v>
      </c>
      <c r="Q40" s="951" t="str">
        <f t="shared" si="5"/>
        <v/>
      </c>
    </row>
    <row r="41" spans="1:17" ht="24" customHeight="1">
      <c r="A41" s="968">
        <f t="shared" si="3"/>
        <v>45006.447916666664</v>
      </c>
      <c r="B41" s="949" t="s">
        <v>323</v>
      </c>
      <c r="C41" s="950">
        <f t="shared" si="0"/>
        <v>0</v>
      </c>
      <c r="E41" s="943" t="b">
        <f>ISNUMBER(#REF!)</f>
        <v>0</v>
      </c>
      <c r="F41" s="943" t="b">
        <f>ISNUMBER(#REF!)</f>
        <v>0</v>
      </c>
      <c r="G41" s="943" t="b">
        <f t="shared" si="4"/>
        <v>1</v>
      </c>
      <c r="H41" s="943" t="b">
        <f>ISNUMBER(#REF!)</f>
        <v>0</v>
      </c>
      <c r="I41" s="943" t="b">
        <f>ISNUMBER(#REF!)</f>
        <v>0</v>
      </c>
      <c r="J41" s="943" t="b">
        <f>ISNUMBER(#REF!)</f>
        <v>0</v>
      </c>
      <c r="K41" s="943" t="b">
        <f>ISNUMBER(#REF!)</f>
        <v>0</v>
      </c>
      <c r="L41" s="943" t="b">
        <f>ISNUMBER(#REF!)</f>
        <v>0</v>
      </c>
      <c r="M41" s="943" t="b">
        <f>ISNUMBER(#REF!)</f>
        <v>0</v>
      </c>
      <c r="N41" s="943" t="b">
        <f>ISNUMBER(#REF!)</f>
        <v>0</v>
      </c>
      <c r="O41" s="943" t="b">
        <f>ISNUMBER(#REF!)</f>
        <v>0</v>
      </c>
      <c r="P41" s="943" t="b">
        <f>ISNUMBER(#REF!)</f>
        <v>0</v>
      </c>
      <c r="Q41" s="951" t="str">
        <f t="shared" si="5"/>
        <v/>
      </c>
    </row>
    <row r="42" spans="1:17" ht="24" customHeight="1">
      <c r="A42" s="968">
        <f t="shared" si="3"/>
        <v>45006.447916666664</v>
      </c>
      <c r="B42" s="949" t="s">
        <v>324</v>
      </c>
      <c r="C42" s="950">
        <f t="shared" si="0"/>
        <v>0</v>
      </c>
      <c r="E42" s="943" t="b">
        <f>ISNUMBER(#REF!)</f>
        <v>0</v>
      </c>
      <c r="F42" s="943" t="b">
        <f>ISNUMBER(#REF!)</f>
        <v>0</v>
      </c>
      <c r="G42" s="943" t="b">
        <f t="shared" si="4"/>
        <v>1</v>
      </c>
      <c r="H42" s="943" t="b">
        <f>ISNUMBER(#REF!)</f>
        <v>0</v>
      </c>
      <c r="I42" s="943" t="b">
        <f>ISNUMBER(#REF!)</f>
        <v>0</v>
      </c>
      <c r="J42" s="943" t="b">
        <f>ISNUMBER(#REF!)</f>
        <v>0</v>
      </c>
      <c r="K42" s="943" t="b">
        <f>ISNUMBER(#REF!)</f>
        <v>0</v>
      </c>
      <c r="L42" s="943" t="b">
        <f>ISNUMBER(#REF!)</f>
        <v>0</v>
      </c>
      <c r="M42" s="943" t="b">
        <f>ISNUMBER(#REF!)</f>
        <v>0</v>
      </c>
      <c r="N42" s="943" t="b">
        <f>ISNUMBER(#REF!)</f>
        <v>0</v>
      </c>
      <c r="O42" s="943" t="b">
        <f>ISNUMBER(#REF!)</f>
        <v>0</v>
      </c>
      <c r="P42" s="943" t="b">
        <f>ISNUMBER(#REF!)</f>
        <v>0</v>
      </c>
      <c r="Q42" s="951" t="str">
        <f t="shared" si="5"/>
        <v/>
      </c>
    </row>
    <row r="43" spans="1:17" ht="24" customHeight="1">
      <c r="A43" s="968">
        <f t="shared" si="3"/>
        <v>45006.447916666664</v>
      </c>
      <c r="B43" s="949" t="s">
        <v>325</v>
      </c>
      <c r="C43" s="950">
        <f t="shared" si="0"/>
        <v>0</v>
      </c>
      <c r="E43" s="943" t="b">
        <f>ISNUMBER(#REF!)</f>
        <v>0</v>
      </c>
      <c r="F43" s="943" t="b">
        <f>ISNUMBER(#REF!)</f>
        <v>0</v>
      </c>
      <c r="G43" s="943" t="b">
        <f t="shared" si="4"/>
        <v>1</v>
      </c>
      <c r="H43" s="943" t="b">
        <f>ISNUMBER(#REF!)</f>
        <v>0</v>
      </c>
      <c r="I43" s="943" t="b">
        <f>ISNUMBER(#REF!)</f>
        <v>0</v>
      </c>
      <c r="J43" s="943" t="b">
        <f>ISNUMBER(#REF!)</f>
        <v>0</v>
      </c>
      <c r="K43" s="943" t="b">
        <f>ISNUMBER(#REF!)</f>
        <v>0</v>
      </c>
      <c r="L43" s="943" t="b">
        <f>ISNUMBER(#REF!)</f>
        <v>0</v>
      </c>
      <c r="M43" s="943" t="b">
        <f>ISNUMBER(#REF!)</f>
        <v>0</v>
      </c>
      <c r="N43" s="943" t="b">
        <f>ISNUMBER(#REF!)</f>
        <v>0</v>
      </c>
      <c r="O43" s="943" t="b">
        <f>ISNUMBER(#REF!)</f>
        <v>0</v>
      </c>
      <c r="P43" s="943" t="b">
        <f>ISNUMBER(#REF!)</f>
        <v>0</v>
      </c>
      <c r="Q43" s="951" t="str">
        <f t="shared" si="5"/>
        <v/>
      </c>
    </row>
    <row r="44" spans="1:17" ht="24" customHeight="1">
      <c r="A44" s="968">
        <f t="shared" si="3"/>
        <v>45006.447916666664</v>
      </c>
      <c r="B44" s="949" t="s">
        <v>335</v>
      </c>
      <c r="C44" s="950">
        <f t="shared" si="0"/>
        <v>0</v>
      </c>
      <c r="E44" s="943" t="b">
        <f>ISNUMBER(#REF!)</f>
        <v>0</v>
      </c>
      <c r="F44" s="943" t="b">
        <f>ISNUMBER(#REF!)</f>
        <v>0</v>
      </c>
      <c r="G44" s="943" t="b">
        <f t="shared" si="4"/>
        <v>1</v>
      </c>
      <c r="H44" s="943" t="b">
        <f>ISNUMBER(#REF!)</f>
        <v>0</v>
      </c>
      <c r="I44" s="943" t="b">
        <f>ISNUMBER(#REF!)</f>
        <v>0</v>
      </c>
      <c r="J44" s="943" t="b">
        <f>ISNUMBER(#REF!)</f>
        <v>0</v>
      </c>
      <c r="K44" s="943" t="b">
        <f>ISNUMBER(#REF!)</f>
        <v>0</v>
      </c>
      <c r="L44" s="943" t="b">
        <f>ISNUMBER(#REF!)</f>
        <v>0</v>
      </c>
      <c r="M44" s="943" t="b">
        <f>ISNUMBER(#REF!)</f>
        <v>0</v>
      </c>
      <c r="N44" s="943" t="b">
        <f>ISNUMBER(#REF!)</f>
        <v>0</v>
      </c>
      <c r="O44" s="943" t="b">
        <f>ISNUMBER(#REF!)</f>
        <v>0</v>
      </c>
      <c r="P44" s="943" t="b">
        <f>ISNUMBER(#REF!)</f>
        <v>0</v>
      </c>
      <c r="Q44" s="951" t="str">
        <f t="shared" si="5"/>
        <v/>
      </c>
    </row>
    <row r="45" spans="1:17" ht="24" customHeight="1">
      <c r="A45" s="968">
        <f t="shared" si="3"/>
        <v>45006.447916666664</v>
      </c>
      <c r="B45" s="949" t="s">
        <v>336</v>
      </c>
      <c r="C45" s="950">
        <f t="shared" si="0"/>
        <v>0</v>
      </c>
      <c r="E45" s="943" t="b">
        <f>ISNUMBER(#REF!)</f>
        <v>0</v>
      </c>
      <c r="F45" s="943" t="b">
        <f>ISNUMBER(#REF!)</f>
        <v>0</v>
      </c>
      <c r="G45" s="943" t="b">
        <f t="shared" si="4"/>
        <v>1</v>
      </c>
      <c r="H45" s="943" t="b">
        <f>ISNUMBER(#REF!)</f>
        <v>0</v>
      </c>
      <c r="I45" s="943" t="b">
        <f>ISNUMBER(#REF!)</f>
        <v>0</v>
      </c>
      <c r="J45" s="943" t="b">
        <f>ISNUMBER(#REF!)</f>
        <v>0</v>
      </c>
      <c r="K45" s="943" t="b">
        <f>ISNUMBER(#REF!)</f>
        <v>0</v>
      </c>
      <c r="L45" s="943" t="b">
        <f>ISNUMBER(#REF!)</f>
        <v>0</v>
      </c>
      <c r="M45" s="943" t="b">
        <f>ISNUMBER(#REF!)</f>
        <v>0</v>
      </c>
      <c r="N45" s="943" t="b">
        <f>ISNUMBER(#REF!)</f>
        <v>0</v>
      </c>
      <c r="O45" s="943" t="b">
        <f>ISNUMBER(#REF!)</f>
        <v>0</v>
      </c>
      <c r="P45" s="943" t="b">
        <f>ISNUMBER(#REF!)</f>
        <v>0</v>
      </c>
      <c r="Q45" s="951" t="str">
        <f t="shared" si="5"/>
        <v/>
      </c>
    </row>
  </sheetData>
  <phoneticPr fontId="6"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83"/>
  <sheetViews>
    <sheetView topLeftCell="A17" zoomScale="70" zoomScaleNormal="70" workbookViewId="0">
      <selection activeCell="C4" sqref="C4:C45"/>
    </sheetView>
  </sheetViews>
  <sheetFormatPr defaultRowHeight="23.25" customHeight="1"/>
  <cols>
    <col min="1" max="1" width="34.75" style="967" customWidth="1"/>
    <col min="2" max="2" width="23.625" style="957" customWidth="1"/>
    <col min="3" max="3" width="29" style="958" customWidth="1"/>
    <col min="4" max="4" width="9" style="943"/>
    <col min="5" max="16" width="9" style="943" hidden="1" customWidth="1"/>
    <col min="17" max="16384" width="9" style="943"/>
  </cols>
  <sheetData>
    <row r="1" spans="1:17" ht="78" customHeight="1">
      <c r="A1" s="963" t="s">
        <v>351</v>
      </c>
      <c r="B1" s="941"/>
      <c r="C1" s="942"/>
    </row>
    <row r="2" spans="1:17" s="946" customFormat="1" ht="23.25" customHeight="1">
      <c r="A2" s="966" t="s">
        <v>352</v>
      </c>
      <c r="B2" s="944" t="s">
        <v>353</v>
      </c>
      <c r="C2" s="945" t="s">
        <v>364</v>
      </c>
      <c r="E2" s="947">
        <v>1</v>
      </c>
      <c r="F2" s="947" t="s">
        <v>876</v>
      </c>
      <c r="G2" s="947">
        <v>2</v>
      </c>
      <c r="H2" s="947" t="s">
        <v>876</v>
      </c>
      <c r="I2" s="947">
        <v>3</v>
      </c>
      <c r="J2" s="947" t="s">
        <v>876</v>
      </c>
      <c r="K2" s="947">
        <v>4</v>
      </c>
      <c r="L2" s="947" t="s">
        <v>876</v>
      </c>
      <c r="M2" s="947">
        <v>5</v>
      </c>
      <c r="N2" s="947" t="s">
        <v>876</v>
      </c>
      <c r="O2" s="947">
        <v>6</v>
      </c>
      <c r="P2" s="959" t="s">
        <v>876</v>
      </c>
      <c r="Q2" s="948">
        <v>3</v>
      </c>
    </row>
    <row r="3" spans="1:17" s="946" customFormat="1" ht="23.25" customHeight="1">
      <c r="A3" s="966" t="s">
        <v>376</v>
      </c>
      <c r="B3" s="944" t="s">
        <v>377</v>
      </c>
      <c r="C3" s="945" t="s">
        <v>385</v>
      </c>
      <c r="Q3" s="960"/>
    </row>
    <row r="4" spans="1:17" ht="23.25" customHeight="1">
      <c r="A4" s="965">
        <f>MENU!Y12</f>
        <v>45006.645833333336</v>
      </c>
      <c r="B4" s="949" t="s">
        <v>268</v>
      </c>
      <c r="C4" s="950">
        <f t="shared" ref="C4:C45" si="0">IFERROR(VLOOKUP($B4,_XM_XT_THUCTE,21,0),"")</f>
        <v>0</v>
      </c>
      <c r="E4" s="943" t="b">
        <f>ISNUMBER(#REF!)</f>
        <v>0</v>
      </c>
      <c r="F4" s="943" t="b">
        <f>ISNUMBER(#REF!)</f>
        <v>0</v>
      </c>
      <c r="G4" s="943" t="b">
        <f>ISNUMBER(#REF!)</f>
        <v>0</v>
      </c>
      <c r="H4" s="943" t="b">
        <f>ISNUMBER(#REF!)</f>
        <v>0</v>
      </c>
      <c r="I4" s="943" t="b">
        <f t="shared" ref="I4:I35" si="1">ISNUMBER(C4)</f>
        <v>1</v>
      </c>
      <c r="J4" s="943" t="b">
        <f>ISNUMBER(#REF!)</f>
        <v>0</v>
      </c>
      <c r="K4" s="943" t="b">
        <f>ISNUMBER(#REF!)</f>
        <v>0</v>
      </c>
      <c r="L4" s="943" t="b">
        <f>ISNUMBER(#REF!)</f>
        <v>0</v>
      </c>
      <c r="M4" s="943" t="b">
        <f>ISNUMBER(#REF!)</f>
        <v>0</v>
      </c>
      <c r="N4" s="943" t="b">
        <f>ISNUMBER(#REF!)</f>
        <v>0</v>
      </c>
      <c r="O4" s="943" t="b">
        <f>ISNUMBER(#REF!)</f>
        <v>0</v>
      </c>
      <c r="P4" s="943" t="b">
        <f>ISNUMBER(#REF!)</f>
        <v>0</v>
      </c>
      <c r="Q4" s="951" t="str">
        <f t="shared" ref="Q4:Q35" si="2">IF(I4=TRUE,"",1)</f>
        <v/>
      </c>
    </row>
    <row r="5" spans="1:17" ht="23.25" customHeight="1">
      <c r="A5" s="968">
        <f>IF(B5="","",$A$4)</f>
        <v>45006.645833333336</v>
      </c>
      <c r="B5" s="949" t="s">
        <v>269</v>
      </c>
      <c r="C5" s="950">
        <f t="shared" si="0"/>
        <v>0</v>
      </c>
      <c r="E5" s="943" t="b">
        <f>ISNUMBER(#REF!)</f>
        <v>0</v>
      </c>
      <c r="F5" s="943" t="b">
        <f>ISNUMBER(#REF!)</f>
        <v>0</v>
      </c>
      <c r="G5" s="943" t="b">
        <f>ISNUMBER(#REF!)</f>
        <v>0</v>
      </c>
      <c r="H5" s="943" t="b">
        <f>ISNUMBER(#REF!)</f>
        <v>0</v>
      </c>
      <c r="I5" s="943" t="b">
        <f t="shared" si="1"/>
        <v>1</v>
      </c>
      <c r="J5" s="943" t="b">
        <f>ISNUMBER(#REF!)</f>
        <v>0</v>
      </c>
      <c r="K5" s="943" t="b">
        <f>ISNUMBER(#REF!)</f>
        <v>0</v>
      </c>
      <c r="L5" s="943" t="b">
        <f>ISNUMBER(#REF!)</f>
        <v>0</v>
      </c>
      <c r="M5" s="943" t="b">
        <f>ISNUMBER(#REF!)</f>
        <v>0</v>
      </c>
      <c r="N5" s="943" t="b">
        <f>ISNUMBER(#REF!)</f>
        <v>0</v>
      </c>
      <c r="O5" s="943" t="b">
        <f>ISNUMBER(#REF!)</f>
        <v>0</v>
      </c>
      <c r="P5" s="943" t="b">
        <f>ISNUMBER(#REF!)</f>
        <v>0</v>
      </c>
      <c r="Q5" s="951" t="str">
        <f t="shared" si="2"/>
        <v/>
      </c>
    </row>
    <row r="6" spans="1:17" ht="23.25" customHeight="1">
      <c r="A6" s="968">
        <f t="shared" ref="A6:A69" si="3">IF(B6="","",$A$4)</f>
        <v>45006.645833333336</v>
      </c>
      <c r="B6" s="949" t="s">
        <v>270</v>
      </c>
      <c r="C6" s="950">
        <f t="shared" si="0"/>
        <v>0</v>
      </c>
      <c r="E6" s="943" t="b">
        <f>ISNUMBER(#REF!)</f>
        <v>0</v>
      </c>
      <c r="F6" s="943" t="b">
        <f>ISNUMBER(#REF!)</f>
        <v>0</v>
      </c>
      <c r="G6" s="943" t="b">
        <f>ISNUMBER(#REF!)</f>
        <v>0</v>
      </c>
      <c r="H6" s="943" t="b">
        <f>ISNUMBER(#REF!)</f>
        <v>0</v>
      </c>
      <c r="I6" s="943" t="b">
        <f t="shared" si="1"/>
        <v>1</v>
      </c>
      <c r="J6" s="943" t="b">
        <f>ISNUMBER(#REF!)</f>
        <v>0</v>
      </c>
      <c r="K6" s="943" t="b">
        <f>ISNUMBER(#REF!)</f>
        <v>0</v>
      </c>
      <c r="L6" s="943" t="b">
        <f>ISNUMBER(#REF!)</f>
        <v>0</v>
      </c>
      <c r="M6" s="943" t="b">
        <f>ISNUMBER(#REF!)</f>
        <v>0</v>
      </c>
      <c r="N6" s="943" t="b">
        <f>ISNUMBER(#REF!)</f>
        <v>0</v>
      </c>
      <c r="O6" s="943" t="b">
        <f>ISNUMBER(#REF!)</f>
        <v>0</v>
      </c>
      <c r="P6" s="943" t="b">
        <f>ISNUMBER(#REF!)</f>
        <v>0</v>
      </c>
      <c r="Q6" s="951" t="str">
        <f t="shared" si="2"/>
        <v/>
      </c>
    </row>
    <row r="7" spans="1:17" ht="23.25" customHeight="1">
      <c r="A7" s="968">
        <f t="shared" si="3"/>
        <v>45006.645833333336</v>
      </c>
      <c r="B7" s="949" t="s">
        <v>271</v>
      </c>
      <c r="C7" s="950">
        <f t="shared" si="0"/>
        <v>0</v>
      </c>
      <c r="E7" s="943" t="b">
        <f>ISNUMBER(#REF!)</f>
        <v>0</v>
      </c>
      <c r="F7" s="943" t="b">
        <f>ISNUMBER(#REF!)</f>
        <v>0</v>
      </c>
      <c r="G7" s="943" t="b">
        <f>ISNUMBER(#REF!)</f>
        <v>0</v>
      </c>
      <c r="H7" s="943" t="b">
        <f>ISNUMBER(#REF!)</f>
        <v>0</v>
      </c>
      <c r="I7" s="943" t="b">
        <f t="shared" si="1"/>
        <v>1</v>
      </c>
      <c r="J7" s="943" t="b">
        <f>ISNUMBER(#REF!)</f>
        <v>0</v>
      </c>
      <c r="K7" s="943" t="b">
        <f>ISNUMBER(#REF!)</f>
        <v>0</v>
      </c>
      <c r="L7" s="943" t="b">
        <f>ISNUMBER(#REF!)</f>
        <v>0</v>
      </c>
      <c r="M7" s="943" t="b">
        <f>ISNUMBER(#REF!)</f>
        <v>0</v>
      </c>
      <c r="N7" s="943" t="b">
        <f>ISNUMBER(#REF!)</f>
        <v>0</v>
      </c>
      <c r="O7" s="943" t="b">
        <f>ISNUMBER(#REF!)</f>
        <v>0</v>
      </c>
      <c r="P7" s="943" t="b">
        <f>ISNUMBER(#REF!)</f>
        <v>0</v>
      </c>
      <c r="Q7" s="951" t="str">
        <f t="shared" si="2"/>
        <v/>
      </c>
    </row>
    <row r="8" spans="1:17" ht="23.25" customHeight="1">
      <c r="A8" s="968">
        <f t="shared" si="3"/>
        <v>45006.645833333336</v>
      </c>
      <c r="B8" s="949" t="s">
        <v>272</v>
      </c>
      <c r="C8" s="950">
        <f t="shared" si="0"/>
        <v>0</v>
      </c>
      <c r="E8" s="943" t="b">
        <f>ISNUMBER(#REF!)</f>
        <v>0</v>
      </c>
      <c r="F8" s="943" t="b">
        <f>ISNUMBER(#REF!)</f>
        <v>0</v>
      </c>
      <c r="G8" s="943" t="b">
        <f>ISNUMBER(#REF!)</f>
        <v>0</v>
      </c>
      <c r="H8" s="943" t="b">
        <f>ISNUMBER(#REF!)</f>
        <v>0</v>
      </c>
      <c r="I8" s="943" t="b">
        <f t="shared" si="1"/>
        <v>1</v>
      </c>
      <c r="J8" s="943" t="b">
        <f>ISNUMBER(#REF!)</f>
        <v>0</v>
      </c>
      <c r="K8" s="943" t="b">
        <f>ISNUMBER(#REF!)</f>
        <v>0</v>
      </c>
      <c r="L8" s="943" t="b">
        <f>ISNUMBER(#REF!)</f>
        <v>0</v>
      </c>
      <c r="M8" s="943" t="b">
        <f>ISNUMBER(#REF!)</f>
        <v>0</v>
      </c>
      <c r="N8" s="943" t="b">
        <f>ISNUMBER(#REF!)</f>
        <v>0</v>
      </c>
      <c r="O8" s="943" t="b">
        <f>ISNUMBER(#REF!)</f>
        <v>0</v>
      </c>
      <c r="P8" s="943" t="b">
        <f>ISNUMBER(#REF!)</f>
        <v>0</v>
      </c>
      <c r="Q8" s="951" t="str">
        <f t="shared" si="2"/>
        <v/>
      </c>
    </row>
    <row r="9" spans="1:17" ht="23.25" customHeight="1">
      <c r="A9" s="968">
        <f t="shared" si="3"/>
        <v>45006.645833333336</v>
      </c>
      <c r="B9" s="949" t="s">
        <v>273</v>
      </c>
      <c r="C9" s="950">
        <f t="shared" si="0"/>
        <v>0</v>
      </c>
      <c r="E9" s="943" t="b">
        <f>ISNUMBER(#REF!)</f>
        <v>0</v>
      </c>
      <c r="F9" s="943" t="b">
        <f>ISNUMBER(#REF!)</f>
        <v>0</v>
      </c>
      <c r="G9" s="943" t="b">
        <f>ISNUMBER(#REF!)</f>
        <v>0</v>
      </c>
      <c r="H9" s="943" t="b">
        <f>ISNUMBER(#REF!)</f>
        <v>0</v>
      </c>
      <c r="I9" s="943" t="b">
        <f t="shared" si="1"/>
        <v>1</v>
      </c>
      <c r="J9" s="943" t="b">
        <f>ISNUMBER(#REF!)</f>
        <v>0</v>
      </c>
      <c r="K9" s="943" t="b">
        <f>ISNUMBER(#REF!)</f>
        <v>0</v>
      </c>
      <c r="L9" s="943" t="b">
        <f>ISNUMBER(#REF!)</f>
        <v>0</v>
      </c>
      <c r="M9" s="943" t="b">
        <f>ISNUMBER(#REF!)</f>
        <v>0</v>
      </c>
      <c r="N9" s="943" t="b">
        <f>ISNUMBER(#REF!)</f>
        <v>0</v>
      </c>
      <c r="O9" s="943" t="b">
        <f>ISNUMBER(#REF!)</f>
        <v>0</v>
      </c>
      <c r="P9" s="943" t="b">
        <f>ISNUMBER(#REF!)</f>
        <v>0</v>
      </c>
      <c r="Q9" s="951" t="str">
        <f t="shared" si="2"/>
        <v/>
      </c>
    </row>
    <row r="10" spans="1:17" ht="23.25" customHeight="1">
      <c r="A10" s="968">
        <f t="shared" si="3"/>
        <v>45006.645833333336</v>
      </c>
      <c r="B10" s="949" t="s">
        <v>279</v>
      </c>
      <c r="C10" s="950">
        <f t="shared" si="0"/>
        <v>0</v>
      </c>
      <c r="E10" s="943" t="b">
        <f>ISNUMBER(#REF!)</f>
        <v>0</v>
      </c>
      <c r="F10" s="943" t="b">
        <f>ISNUMBER(#REF!)</f>
        <v>0</v>
      </c>
      <c r="G10" s="943" t="b">
        <f>ISNUMBER(#REF!)</f>
        <v>0</v>
      </c>
      <c r="H10" s="943" t="b">
        <f>ISNUMBER(#REF!)</f>
        <v>0</v>
      </c>
      <c r="I10" s="943" t="b">
        <f t="shared" si="1"/>
        <v>1</v>
      </c>
      <c r="J10" s="943" t="b">
        <f>ISNUMBER(#REF!)</f>
        <v>0</v>
      </c>
      <c r="K10" s="943" t="b">
        <f>ISNUMBER(#REF!)</f>
        <v>0</v>
      </c>
      <c r="L10" s="943" t="b">
        <f>ISNUMBER(#REF!)</f>
        <v>0</v>
      </c>
      <c r="M10" s="943" t="b">
        <f>ISNUMBER(#REF!)</f>
        <v>0</v>
      </c>
      <c r="N10" s="943" t="b">
        <f>ISNUMBER(#REF!)</f>
        <v>0</v>
      </c>
      <c r="O10" s="943" t="b">
        <f>ISNUMBER(#REF!)</f>
        <v>0</v>
      </c>
      <c r="P10" s="943" t="b">
        <f>ISNUMBER(#REF!)</f>
        <v>0</v>
      </c>
      <c r="Q10" s="951" t="str">
        <f t="shared" si="2"/>
        <v/>
      </c>
    </row>
    <row r="11" spans="1:17" ht="23.25" customHeight="1">
      <c r="A11" s="968">
        <f t="shared" si="3"/>
        <v>45006.645833333336</v>
      </c>
      <c r="B11" s="949" t="s">
        <v>281</v>
      </c>
      <c r="C11" s="950">
        <f t="shared" si="0"/>
        <v>0</v>
      </c>
      <c r="E11" s="943" t="b">
        <f>ISNUMBER(#REF!)</f>
        <v>0</v>
      </c>
      <c r="F11" s="943" t="b">
        <f>ISNUMBER(#REF!)</f>
        <v>0</v>
      </c>
      <c r="G11" s="943" t="b">
        <f>ISNUMBER(#REF!)</f>
        <v>0</v>
      </c>
      <c r="H11" s="943" t="b">
        <f>ISNUMBER(#REF!)</f>
        <v>0</v>
      </c>
      <c r="I11" s="943" t="b">
        <f t="shared" si="1"/>
        <v>1</v>
      </c>
      <c r="J11" s="943" t="b">
        <f>ISNUMBER(#REF!)</f>
        <v>0</v>
      </c>
      <c r="K11" s="943" t="b">
        <f>ISNUMBER(#REF!)</f>
        <v>0</v>
      </c>
      <c r="L11" s="943" t="b">
        <f>ISNUMBER(#REF!)</f>
        <v>0</v>
      </c>
      <c r="M11" s="943" t="b">
        <f>ISNUMBER(#REF!)</f>
        <v>0</v>
      </c>
      <c r="N11" s="943" t="b">
        <f>ISNUMBER(#REF!)</f>
        <v>0</v>
      </c>
      <c r="O11" s="943" t="b">
        <f>ISNUMBER(#REF!)</f>
        <v>0</v>
      </c>
      <c r="P11" s="943" t="b">
        <f>ISNUMBER(#REF!)</f>
        <v>0</v>
      </c>
      <c r="Q11" s="951" t="str">
        <f t="shared" si="2"/>
        <v/>
      </c>
    </row>
    <row r="12" spans="1:17" ht="23.25" customHeight="1">
      <c r="A12" s="968">
        <f t="shared" si="3"/>
        <v>45006.645833333336</v>
      </c>
      <c r="B12" s="949" t="s">
        <v>274</v>
      </c>
      <c r="C12" s="950">
        <f t="shared" si="0"/>
        <v>0</v>
      </c>
      <c r="E12" s="943" t="b">
        <f>ISNUMBER(#REF!)</f>
        <v>0</v>
      </c>
      <c r="F12" s="943" t="b">
        <f>ISNUMBER(#REF!)</f>
        <v>0</v>
      </c>
      <c r="G12" s="943" t="b">
        <f>ISNUMBER(#REF!)</f>
        <v>0</v>
      </c>
      <c r="H12" s="943" t="b">
        <f>ISNUMBER(#REF!)</f>
        <v>0</v>
      </c>
      <c r="I12" s="943" t="b">
        <f t="shared" si="1"/>
        <v>1</v>
      </c>
      <c r="J12" s="943" t="b">
        <f>ISNUMBER(#REF!)</f>
        <v>0</v>
      </c>
      <c r="K12" s="943" t="b">
        <f>ISNUMBER(#REF!)</f>
        <v>0</v>
      </c>
      <c r="L12" s="943" t="b">
        <f>ISNUMBER(#REF!)</f>
        <v>0</v>
      </c>
      <c r="M12" s="943" t="b">
        <f>ISNUMBER(#REF!)</f>
        <v>0</v>
      </c>
      <c r="N12" s="943" t="b">
        <f>ISNUMBER(#REF!)</f>
        <v>0</v>
      </c>
      <c r="O12" s="943" t="b">
        <f>ISNUMBER(#REF!)</f>
        <v>0</v>
      </c>
      <c r="P12" s="943" t="b">
        <f>ISNUMBER(#REF!)</f>
        <v>0</v>
      </c>
      <c r="Q12" s="951" t="str">
        <f t="shared" si="2"/>
        <v/>
      </c>
    </row>
    <row r="13" spans="1:17" ht="23.25" customHeight="1">
      <c r="A13" s="968">
        <f t="shared" si="3"/>
        <v>45006.645833333336</v>
      </c>
      <c r="B13" s="949" t="s">
        <v>275</v>
      </c>
      <c r="C13" s="950">
        <f t="shared" si="0"/>
        <v>0</v>
      </c>
      <c r="E13" s="943" t="b">
        <f>ISNUMBER(#REF!)</f>
        <v>0</v>
      </c>
      <c r="F13" s="943" t="b">
        <f>ISNUMBER(#REF!)</f>
        <v>0</v>
      </c>
      <c r="G13" s="943" t="b">
        <f>ISNUMBER(#REF!)</f>
        <v>0</v>
      </c>
      <c r="H13" s="943" t="b">
        <f>ISNUMBER(#REF!)</f>
        <v>0</v>
      </c>
      <c r="I13" s="943" t="b">
        <f t="shared" si="1"/>
        <v>1</v>
      </c>
      <c r="J13" s="943" t="b">
        <f>ISNUMBER(#REF!)</f>
        <v>0</v>
      </c>
      <c r="K13" s="943" t="b">
        <f>ISNUMBER(#REF!)</f>
        <v>0</v>
      </c>
      <c r="L13" s="943" t="b">
        <f>ISNUMBER(#REF!)</f>
        <v>0</v>
      </c>
      <c r="M13" s="943" t="b">
        <f>ISNUMBER(#REF!)</f>
        <v>0</v>
      </c>
      <c r="N13" s="943" t="b">
        <f>ISNUMBER(#REF!)</f>
        <v>0</v>
      </c>
      <c r="O13" s="943" t="b">
        <f>ISNUMBER(#REF!)</f>
        <v>0</v>
      </c>
      <c r="P13" s="943" t="b">
        <f>ISNUMBER(#REF!)</f>
        <v>0</v>
      </c>
      <c r="Q13" s="951" t="str">
        <f t="shared" si="2"/>
        <v/>
      </c>
    </row>
    <row r="14" spans="1:17" ht="23.25" customHeight="1">
      <c r="A14" s="968">
        <f t="shared" si="3"/>
        <v>45006.645833333336</v>
      </c>
      <c r="B14" s="949" t="s">
        <v>276</v>
      </c>
      <c r="C14" s="950">
        <f t="shared" si="0"/>
        <v>0</v>
      </c>
      <c r="E14" s="943" t="b">
        <f>ISNUMBER(#REF!)</f>
        <v>0</v>
      </c>
      <c r="F14" s="943" t="b">
        <f>ISNUMBER(#REF!)</f>
        <v>0</v>
      </c>
      <c r="G14" s="943" t="b">
        <f>ISNUMBER(#REF!)</f>
        <v>0</v>
      </c>
      <c r="H14" s="943" t="b">
        <f>ISNUMBER(#REF!)</f>
        <v>0</v>
      </c>
      <c r="I14" s="943" t="b">
        <f t="shared" si="1"/>
        <v>1</v>
      </c>
      <c r="J14" s="943" t="b">
        <f>ISNUMBER(#REF!)</f>
        <v>0</v>
      </c>
      <c r="K14" s="943" t="b">
        <f>ISNUMBER(#REF!)</f>
        <v>0</v>
      </c>
      <c r="L14" s="943" t="b">
        <f>ISNUMBER(#REF!)</f>
        <v>0</v>
      </c>
      <c r="M14" s="943" t="b">
        <f>ISNUMBER(#REF!)</f>
        <v>0</v>
      </c>
      <c r="N14" s="943" t="b">
        <f>ISNUMBER(#REF!)</f>
        <v>0</v>
      </c>
      <c r="O14" s="943" t="b">
        <f>ISNUMBER(#REF!)</f>
        <v>0</v>
      </c>
      <c r="P14" s="943" t="b">
        <f>ISNUMBER(#REF!)</f>
        <v>0</v>
      </c>
      <c r="Q14" s="951" t="str">
        <f t="shared" si="2"/>
        <v/>
      </c>
    </row>
    <row r="15" spans="1:17" ht="23.25" customHeight="1">
      <c r="A15" s="968">
        <f t="shared" si="3"/>
        <v>45006.645833333336</v>
      </c>
      <c r="B15" s="949" t="s">
        <v>277</v>
      </c>
      <c r="C15" s="950">
        <f t="shared" si="0"/>
        <v>0</v>
      </c>
      <c r="E15" s="943" t="b">
        <f>ISNUMBER(#REF!)</f>
        <v>0</v>
      </c>
      <c r="F15" s="943" t="b">
        <f>ISNUMBER(#REF!)</f>
        <v>0</v>
      </c>
      <c r="G15" s="943" t="b">
        <f>ISNUMBER(#REF!)</f>
        <v>0</v>
      </c>
      <c r="H15" s="943" t="b">
        <f>ISNUMBER(#REF!)</f>
        <v>0</v>
      </c>
      <c r="I15" s="943" t="b">
        <f t="shared" si="1"/>
        <v>1</v>
      </c>
      <c r="J15" s="943" t="b">
        <f>ISNUMBER(#REF!)</f>
        <v>0</v>
      </c>
      <c r="K15" s="943" t="b">
        <f>ISNUMBER(#REF!)</f>
        <v>0</v>
      </c>
      <c r="L15" s="943" t="b">
        <f>ISNUMBER(#REF!)</f>
        <v>0</v>
      </c>
      <c r="M15" s="943" t="b">
        <f>ISNUMBER(#REF!)</f>
        <v>0</v>
      </c>
      <c r="N15" s="943" t="b">
        <f>ISNUMBER(#REF!)</f>
        <v>0</v>
      </c>
      <c r="O15" s="943" t="b">
        <f>ISNUMBER(#REF!)</f>
        <v>0</v>
      </c>
      <c r="P15" s="943" t="b">
        <f>ISNUMBER(#REF!)</f>
        <v>0</v>
      </c>
      <c r="Q15" s="951" t="str">
        <f t="shared" si="2"/>
        <v/>
      </c>
    </row>
    <row r="16" spans="1:17" ht="23.25" customHeight="1">
      <c r="A16" s="968">
        <f t="shared" si="3"/>
        <v>45006.645833333336</v>
      </c>
      <c r="B16" s="949" t="s">
        <v>289</v>
      </c>
      <c r="C16" s="950">
        <f t="shared" si="0"/>
        <v>0</v>
      </c>
      <c r="E16" s="943" t="b">
        <f>ISNUMBER(#REF!)</f>
        <v>0</v>
      </c>
      <c r="F16" s="943" t="b">
        <f>ISNUMBER(#REF!)</f>
        <v>0</v>
      </c>
      <c r="G16" s="943" t="b">
        <f>ISNUMBER(#REF!)</f>
        <v>0</v>
      </c>
      <c r="H16" s="943" t="b">
        <f>ISNUMBER(#REF!)</f>
        <v>0</v>
      </c>
      <c r="I16" s="943" t="b">
        <f t="shared" si="1"/>
        <v>1</v>
      </c>
      <c r="J16" s="943" t="b">
        <f>ISNUMBER(#REF!)</f>
        <v>0</v>
      </c>
      <c r="K16" s="943" t="b">
        <f>ISNUMBER(#REF!)</f>
        <v>0</v>
      </c>
      <c r="L16" s="943" t="b">
        <f>ISNUMBER(#REF!)</f>
        <v>0</v>
      </c>
      <c r="M16" s="943" t="b">
        <f>ISNUMBER(#REF!)</f>
        <v>0</v>
      </c>
      <c r="N16" s="943" t="b">
        <f>ISNUMBER(#REF!)</f>
        <v>0</v>
      </c>
      <c r="O16" s="943" t="b">
        <f>ISNUMBER(#REF!)</f>
        <v>0</v>
      </c>
      <c r="P16" s="943" t="b">
        <f>ISNUMBER(#REF!)</f>
        <v>0</v>
      </c>
      <c r="Q16" s="951" t="str">
        <f t="shared" si="2"/>
        <v/>
      </c>
    </row>
    <row r="17" spans="1:17" ht="23.25" customHeight="1">
      <c r="A17" s="968">
        <f t="shared" si="3"/>
        <v>45006.645833333336</v>
      </c>
      <c r="B17" s="949" t="s">
        <v>290</v>
      </c>
      <c r="C17" s="950">
        <f t="shared" si="0"/>
        <v>0</v>
      </c>
      <c r="E17" s="943" t="b">
        <f>ISNUMBER(#REF!)</f>
        <v>0</v>
      </c>
      <c r="F17" s="943" t="b">
        <f>ISNUMBER(#REF!)</f>
        <v>0</v>
      </c>
      <c r="G17" s="943" t="b">
        <f>ISNUMBER(#REF!)</f>
        <v>0</v>
      </c>
      <c r="H17" s="943" t="b">
        <f>ISNUMBER(#REF!)</f>
        <v>0</v>
      </c>
      <c r="I17" s="943" t="b">
        <f t="shared" si="1"/>
        <v>1</v>
      </c>
      <c r="J17" s="943" t="b">
        <f>ISNUMBER(#REF!)</f>
        <v>0</v>
      </c>
      <c r="K17" s="943" t="b">
        <f>ISNUMBER(#REF!)</f>
        <v>0</v>
      </c>
      <c r="L17" s="943" t="b">
        <f>ISNUMBER(#REF!)</f>
        <v>0</v>
      </c>
      <c r="M17" s="943" t="b">
        <f>ISNUMBER(#REF!)</f>
        <v>0</v>
      </c>
      <c r="N17" s="943" t="b">
        <f>ISNUMBER(#REF!)</f>
        <v>0</v>
      </c>
      <c r="O17" s="943" t="b">
        <f>ISNUMBER(#REF!)</f>
        <v>0</v>
      </c>
      <c r="P17" s="943" t="b">
        <f>ISNUMBER(#REF!)</f>
        <v>0</v>
      </c>
      <c r="Q17" s="951" t="str">
        <f t="shared" si="2"/>
        <v/>
      </c>
    </row>
    <row r="18" spans="1:17" ht="23.25" customHeight="1">
      <c r="A18" s="968">
        <f t="shared" si="3"/>
        <v>45006.645833333336</v>
      </c>
      <c r="B18" s="949" t="s">
        <v>291</v>
      </c>
      <c r="C18" s="950">
        <f t="shared" si="0"/>
        <v>0</v>
      </c>
      <c r="E18" s="943" t="b">
        <f>ISNUMBER(#REF!)</f>
        <v>0</v>
      </c>
      <c r="F18" s="943" t="b">
        <f>ISNUMBER(#REF!)</f>
        <v>0</v>
      </c>
      <c r="G18" s="943" t="b">
        <f>ISNUMBER(#REF!)</f>
        <v>0</v>
      </c>
      <c r="H18" s="943" t="b">
        <f>ISNUMBER(#REF!)</f>
        <v>0</v>
      </c>
      <c r="I18" s="943" t="b">
        <f t="shared" si="1"/>
        <v>1</v>
      </c>
      <c r="J18" s="943" t="b">
        <f>ISNUMBER(#REF!)</f>
        <v>0</v>
      </c>
      <c r="K18" s="943" t="b">
        <f>ISNUMBER(#REF!)</f>
        <v>0</v>
      </c>
      <c r="L18" s="943" t="b">
        <f>ISNUMBER(#REF!)</f>
        <v>0</v>
      </c>
      <c r="M18" s="943" t="b">
        <f>ISNUMBER(#REF!)</f>
        <v>0</v>
      </c>
      <c r="N18" s="943" t="b">
        <f>ISNUMBER(#REF!)</f>
        <v>0</v>
      </c>
      <c r="O18" s="943" t="b">
        <f>ISNUMBER(#REF!)</f>
        <v>0</v>
      </c>
      <c r="P18" s="943" t="b">
        <f>ISNUMBER(#REF!)</f>
        <v>0</v>
      </c>
      <c r="Q18" s="951" t="str">
        <f t="shared" si="2"/>
        <v/>
      </c>
    </row>
    <row r="19" spans="1:17" ht="23.25" customHeight="1">
      <c r="A19" s="968">
        <f t="shared" si="3"/>
        <v>45006.645833333336</v>
      </c>
      <c r="B19" s="949" t="s">
        <v>292</v>
      </c>
      <c r="C19" s="950">
        <f t="shared" si="0"/>
        <v>0</v>
      </c>
      <c r="E19" s="943" t="b">
        <f>ISNUMBER(#REF!)</f>
        <v>0</v>
      </c>
      <c r="F19" s="943" t="b">
        <f>ISNUMBER(#REF!)</f>
        <v>0</v>
      </c>
      <c r="G19" s="943" t="b">
        <f>ISNUMBER(#REF!)</f>
        <v>0</v>
      </c>
      <c r="H19" s="943" t="b">
        <f>ISNUMBER(#REF!)</f>
        <v>0</v>
      </c>
      <c r="I19" s="943" t="b">
        <f t="shared" si="1"/>
        <v>1</v>
      </c>
      <c r="J19" s="943" t="b">
        <f>ISNUMBER(#REF!)</f>
        <v>0</v>
      </c>
      <c r="K19" s="943" t="b">
        <f>ISNUMBER(#REF!)</f>
        <v>0</v>
      </c>
      <c r="L19" s="943" t="b">
        <f>ISNUMBER(#REF!)</f>
        <v>0</v>
      </c>
      <c r="M19" s="943" t="b">
        <f>ISNUMBER(#REF!)</f>
        <v>0</v>
      </c>
      <c r="N19" s="943" t="b">
        <f>ISNUMBER(#REF!)</f>
        <v>0</v>
      </c>
      <c r="O19" s="943" t="b">
        <f>ISNUMBER(#REF!)</f>
        <v>0</v>
      </c>
      <c r="P19" s="943" t="b">
        <f>ISNUMBER(#REF!)</f>
        <v>0</v>
      </c>
      <c r="Q19" s="951" t="str">
        <f t="shared" si="2"/>
        <v/>
      </c>
    </row>
    <row r="20" spans="1:17" ht="23.25" customHeight="1">
      <c r="A20" s="968">
        <f t="shared" si="3"/>
        <v>45006.645833333336</v>
      </c>
      <c r="B20" s="949" t="s">
        <v>293</v>
      </c>
      <c r="C20" s="950">
        <f t="shared" si="0"/>
        <v>0</v>
      </c>
      <c r="E20" s="943" t="b">
        <f>ISNUMBER(#REF!)</f>
        <v>0</v>
      </c>
      <c r="F20" s="943" t="b">
        <f>ISNUMBER(#REF!)</f>
        <v>0</v>
      </c>
      <c r="G20" s="943" t="b">
        <f>ISNUMBER(#REF!)</f>
        <v>0</v>
      </c>
      <c r="H20" s="943" t="b">
        <f>ISNUMBER(#REF!)</f>
        <v>0</v>
      </c>
      <c r="I20" s="943" t="b">
        <f t="shared" si="1"/>
        <v>1</v>
      </c>
      <c r="J20" s="943" t="b">
        <f>ISNUMBER(#REF!)</f>
        <v>0</v>
      </c>
      <c r="K20" s="943" t="b">
        <f>ISNUMBER(#REF!)</f>
        <v>0</v>
      </c>
      <c r="L20" s="943" t="b">
        <f>ISNUMBER(#REF!)</f>
        <v>0</v>
      </c>
      <c r="M20" s="943" t="b">
        <f>ISNUMBER(#REF!)</f>
        <v>0</v>
      </c>
      <c r="N20" s="943" t="b">
        <f>ISNUMBER(#REF!)</f>
        <v>0</v>
      </c>
      <c r="O20" s="943" t="b">
        <f>ISNUMBER(#REF!)</f>
        <v>0</v>
      </c>
      <c r="P20" s="943" t="b">
        <f>ISNUMBER(#REF!)</f>
        <v>0</v>
      </c>
      <c r="Q20" s="951" t="str">
        <f t="shared" si="2"/>
        <v/>
      </c>
    </row>
    <row r="21" spans="1:17" ht="23.25" customHeight="1">
      <c r="A21" s="968">
        <f t="shared" si="3"/>
        <v>45006.645833333336</v>
      </c>
      <c r="B21" s="949" t="s">
        <v>294</v>
      </c>
      <c r="C21" s="950">
        <f t="shared" si="0"/>
        <v>0</v>
      </c>
      <c r="E21" s="943" t="b">
        <f>ISNUMBER(#REF!)</f>
        <v>0</v>
      </c>
      <c r="F21" s="943" t="b">
        <f>ISNUMBER(#REF!)</f>
        <v>0</v>
      </c>
      <c r="G21" s="943" t="b">
        <f>ISNUMBER(#REF!)</f>
        <v>0</v>
      </c>
      <c r="H21" s="943" t="b">
        <f>ISNUMBER(#REF!)</f>
        <v>0</v>
      </c>
      <c r="I21" s="943" t="b">
        <f t="shared" si="1"/>
        <v>1</v>
      </c>
      <c r="J21" s="943" t="b">
        <f>ISNUMBER(#REF!)</f>
        <v>0</v>
      </c>
      <c r="K21" s="943" t="b">
        <f>ISNUMBER(#REF!)</f>
        <v>0</v>
      </c>
      <c r="L21" s="943" t="b">
        <f>ISNUMBER(#REF!)</f>
        <v>0</v>
      </c>
      <c r="M21" s="943" t="b">
        <f>ISNUMBER(#REF!)</f>
        <v>0</v>
      </c>
      <c r="N21" s="943" t="b">
        <f>ISNUMBER(#REF!)</f>
        <v>0</v>
      </c>
      <c r="O21" s="943" t="b">
        <f>ISNUMBER(#REF!)</f>
        <v>0</v>
      </c>
      <c r="P21" s="943" t="b">
        <f>ISNUMBER(#REF!)</f>
        <v>0</v>
      </c>
      <c r="Q21" s="951" t="str">
        <f t="shared" si="2"/>
        <v/>
      </c>
    </row>
    <row r="22" spans="1:17" ht="23.25" customHeight="1">
      <c r="A22" s="968">
        <f t="shared" si="3"/>
        <v>45006.645833333336</v>
      </c>
      <c r="B22" s="949" t="s">
        <v>295</v>
      </c>
      <c r="C22" s="950">
        <f t="shared" si="0"/>
        <v>0</v>
      </c>
      <c r="E22" s="943" t="b">
        <f>ISNUMBER(#REF!)</f>
        <v>0</v>
      </c>
      <c r="F22" s="943" t="b">
        <f>ISNUMBER(#REF!)</f>
        <v>0</v>
      </c>
      <c r="G22" s="943" t="b">
        <f>ISNUMBER(#REF!)</f>
        <v>0</v>
      </c>
      <c r="H22" s="943" t="b">
        <f>ISNUMBER(#REF!)</f>
        <v>0</v>
      </c>
      <c r="I22" s="943" t="b">
        <f t="shared" si="1"/>
        <v>1</v>
      </c>
      <c r="J22" s="943" t="b">
        <f>ISNUMBER(#REF!)</f>
        <v>0</v>
      </c>
      <c r="K22" s="943" t="b">
        <f>ISNUMBER(#REF!)</f>
        <v>0</v>
      </c>
      <c r="L22" s="943" t="b">
        <f>ISNUMBER(#REF!)</f>
        <v>0</v>
      </c>
      <c r="M22" s="943" t="b">
        <f>ISNUMBER(#REF!)</f>
        <v>0</v>
      </c>
      <c r="N22" s="943" t="b">
        <f>ISNUMBER(#REF!)</f>
        <v>0</v>
      </c>
      <c r="O22" s="943" t="b">
        <f>ISNUMBER(#REF!)</f>
        <v>0</v>
      </c>
      <c r="P22" s="943" t="b">
        <f>ISNUMBER(#REF!)</f>
        <v>0</v>
      </c>
      <c r="Q22" s="951" t="str">
        <f t="shared" si="2"/>
        <v/>
      </c>
    </row>
    <row r="23" spans="1:17" ht="23.25" customHeight="1">
      <c r="A23" s="968">
        <f t="shared" si="3"/>
        <v>45006.645833333336</v>
      </c>
      <c r="B23" s="949" t="s">
        <v>296</v>
      </c>
      <c r="C23" s="950">
        <f t="shared" si="0"/>
        <v>0</v>
      </c>
      <c r="E23" s="943" t="b">
        <f>ISNUMBER(#REF!)</f>
        <v>0</v>
      </c>
      <c r="F23" s="943" t="b">
        <f>ISNUMBER(#REF!)</f>
        <v>0</v>
      </c>
      <c r="G23" s="943" t="b">
        <f>ISNUMBER(#REF!)</f>
        <v>0</v>
      </c>
      <c r="H23" s="943" t="b">
        <f>ISNUMBER(#REF!)</f>
        <v>0</v>
      </c>
      <c r="I23" s="943" t="b">
        <f t="shared" si="1"/>
        <v>1</v>
      </c>
      <c r="J23" s="943" t="b">
        <f>ISNUMBER(#REF!)</f>
        <v>0</v>
      </c>
      <c r="K23" s="943" t="b">
        <f>ISNUMBER(#REF!)</f>
        <v>0</v>
      </c>
      <c r="L23" s="943" t="b">
        <f>ISNUMBER(#REF!)</f>
        <v>0</v>
      </c>
      <c r="M23" s="943" t="b">
        <f>ISNUMBER(#REF!)</f>
        <v>0</v>
      </c>
      <c r="N23" s="943" t="b">
        <f>ISNUMBER(#REF!)</f>
        <v>0</v>
      </c>
      <c r="O23" s="943" t="b">
        <f>ISNUMBER(#REF!)</f>
        <v>0</v>
      </c>
      <c r="P23" s="943" t="b">
        <f>ISNUMBER(#REF!)</f>
        <v>0</v>
      </c>
      <c r="Q23" s="951" t="str">
        <f t="shared" si="2"/>
        <v/>
      </c>
    </row>
    <row r="24" spans="1:17" ht="23.25" customHeight="1">
      <c r="A24" s="968">
        <f t="shared" si="3"/>
        <v>45006.645833333336</v>
      </c>
      <c r="B24" s="949" t="s">
        <v>297</v>
      </c>
      <c r="C24" s="950">
        <f t="shared" si="0"/>
        <v>-1.0461</v>
      </c>
      <c r="E24" s="943" t="b">
        <f>ISNUMBER(#REF!)</f>
        <v>0</v>
      </c>
      <c r="F24" s="943" t="b">
        <f>ISNUMBER(#REF!)</f>
        <v>0</v>
      </c>
      <c r="G24" s="943" t="b">
        <f>ISNUMBER(#REF!)</f>
        <v>0</v>
      </c>
      <c r="H24" s="943" t="b">
        <f>ISNUMBER(#REF!)</f>
        <v>0</v>
      </c>
      <c r="I24" s="943" t="b">
        <f t="shared" si="1"/>
        <v>1</v>
      </c>
      <c r="J24" s="943" t="b">
        <f>ISNUMBER(#REF!)</f>
        <v>0</v>
      </c>
      <c r="K24" s="943" t="b">
        <f>ISNUMBER(#REF!)</f>
        <v>0</v>
      </c>
      <c r="L24" s="943" t="b">
        <f>ISNUMBER(#REF!)</f>
        <v>0</v>
      </c>
      <c r="M24" s="943" t="b">
        <f>ISNUMBER(#REF!)</f>
        <v>0</v>
      </c>
      <c r="N24" s="943" t="b">
        <f>ISNUMBER(#REF!)</f>
        <v>0</v>
      </c>
      <c r="O24" s="943" t="b">
        <f>ISNUMBER(#REF!)</f>
        <v>0</v>
      </c>
      <c r="P24" s="943" t="b">
        <f>ISNUMBER(#REF!)</f>
        <v>0</v>
      </c>
      <c r="Q24" s="951" t="str">
        <f t="shared" si="2"/>
        <v/>
      </c>
    </row>
    <row r="25" spans="1:17" ht="23.25" customHeight="1">
      <c r="A25" s="968">
        <f t="shared" si="3"/>
        <v>45006.645833333336</v>
      </c>
      <c r="B25" s="949" t="s">
        <v>298</v>
      </c>
      <c r="C25" s="950">
        <f t="shared" si="0"/>
        <v>0</v>
      </c>
      <c r="E25" s="943" t="b">
        <f>ISNUMBER(#REF!)</f>
        <v>0</v>
      </c>
      <c r="F25" s="943" t="b">
        <f>ISNUMBER(#REF!)</f>
        <v>0</v>
      </c>
      <c r="G25" s="943" t="b">
        <f>ISNUMBER(#REF!)</f>
        <v>0</v>
      </c>
      <c r="H25" s="943" t="b">
        <f>ISNUMBER(#REF!)</f>
        <v>0</v>
      </c>
      <c r="I25" s="943" t="b">
        <f t="shared" si="1"/>
        <v>1</v>
      </c>
      <c r="J25" s="943" t="b">
        <f>ISNUMBER(#REF!)</f>
        <v>0</v>
      </c>
      <c r="K25" s="943" t="b">
        <f>ISNUMBER(#REF!)</f>
        <v>0</v>
      </c>
      <c r="L25" s="943" t="b">
        <f>ISNUMBER(#REF!)</f>
        <v>0</v>
      </c>
      <c r="M25" s="943" t="b">
        <f>ISNUMBER(#REF!)</f>
        <v>0</v>
      </c>
      <c r="N25" s="943" t="b">
        <f>ISNUMBER(#REF!)</f>
        <v>0</v>
      </c>
      <c r="O25" s="943" t="b">
        <f>ISNUMBER(#REF!)</f>
        <v>0</v>
      </c>
      <c r="P25" s="943" t="b">
        <f>ISNUMBER(#REF!)</f>
        <v>0</v>
      </c>
      <c r="Q25" s="951" t="str">
        <f t="shared" si="2"/>
        <v/>
      </c>
    </row>
    <row r="26" spans="1:17" ht="23.25" customHeight="1">
      <c r="A26" s="968">
        <f t="shared" si="3"/>
        <v>45006.645833333336</v>
      </c>
      <c r="B26" s="949" t="s">
        <v>299</v>
      </c>
      <c r="C26" s="950">
        <f t="shared" si="0"/>
        <v>0</v>
      </c>
      <c r="E26" s="943" t="b">
        <f>ISNUMBER(#REF!)</f>
        <v>0</v>
      </c>
      <c r="F26" s="943" t="b">
        <f>ISNUMBER(#REF!)</f>
        <v>0</v>
      </c>
      <c r="G26" s="943" t="b">
        <f>ISNUMBER(#REF!)</f>
        <v>0</v>
      </c>
      <c r="H26" s="943" t="b">
        <f>ISNUMBER(#REF!)</f>
        <v>0</v>
      </c>
      <c r="I26" s="943" t="b">
        <f t="shared" si="1"/>
        <v>1</v>
      </c>
      <c r="J26" s="943" t="b">
        <f>ISNUMBER(#REF!)</f>
        <v>0</v>
      </c>
      <c r="K26" s="943" t="b">
        <f>ISNUMBER(#REF!)</f>
        <v>0</v>
      </c>
      <c r="L26" s="943" t="b">
        <f>ISNUMBER(#REF!)</f>
        <v>0</v>
      </c>
      <c r="M26" s="943" t="b">
        <f>ISNUMBER(#REF!)</f>
        <v>0</v>
      </c>
      <c r="N26" s="943" t="b">
        <f>ISNUMBER(#REF!)</f>
        <v>0</v>
      </c>
      <c r="O26" s="943" t="b">
        <f>ISNUMBER(#REF!)</f>
        <v>0</v>
      </c>
      <c r="P26" s="943" t="b">
        <f>ISNUMBER(#REF!)</f>
        <v>0</v>
      </c>
      <c r="Q26" s="951" t="str">
        <f t="shared" si="2"/>
        <v/>
      </c>
    </row>
    <row r="27" spans="1:17" ht="23.25" customHeight="1">
      <c r="A27" s="968">
        <f t="shared" si="3"/>
        <v>45006.645833333336</v>
      </c>
      <c r="B27" s="949" t="s">
        <v>300</v>
      </c>
      <c r="C27" s="950">
        <f t="shared" si="0"/>
        <v>0</v>
      </c>
      <c r="E27" s="943" t="b">
        <f>ISNUMBER(#REF!)</f>
        <v>0</v>
      </c>
      <c r="F27" s="943" t="b">
        <f>ISNUMBER(#REF!)</f>
        <v>0</v>
      </c>
      <c r="G27" s="943" t="b">
        <f>ISNUMBER(#REF!)</f>
        <v>0</v>
      </c>
      <c r="H27" s="943" t="b">
        <f>ISNUMBER(#REF!)</f>
        <v>0</v>
      </c>
      <c r="I27" s="943" t="b">
        <f t="shared" si="1"/>
        <v>1</v>
      </c>
      <c r="J27" s="943" t="b">
        <f>ISNUMBER(#REF!)</f>
        <v>0</v>
      </c>
      <c r="K27" s="943" t="b">
        <f>ISNUMBER(#REF!)</f>
        <v>0</v>
      </c>
      <c r="L27" s="943" t="b">
        <f>ISNUMBER(#REF!)</f>
        <v>0</v>
      </c>
      <c r="M27" s="943" t="b">
        <f>ISNUMBER(#REF!)</f>
        <v>0</v>
      </c>
      <c r="N27" s="943" t="b">
        <f>ISNUMBER(#REF!)</f>
        <v>0</v>
      </c>
      <c r="O27" s="943" t="b">
        <f>ISNUMBER(#REF!)</f>
        <v>0</v>
      </c>
      <c r="P27" s="943" t="b">
        <f>ISNUMBER(#REF!)</f>
        <v>0</v>
      </c>
      <c r="Q27" s="951" t="str">
        <f t="shared" si="2"/>
        <v/>
      </c>
    </row>
    <row r="28" spans="1:17" ht="23.25" customHeight="1">
      <c r="A28" s="968">
        <f t="shared" si="3"/>
        <v>45006.645833333336</v>
      </c>
      <c r="B28" s="949" t="s">
        <v>301</v>
      </c>
      <c r="C28" s="950">
        <f t="shared" si="0"/>
        <v>0</v>
      </c>
      <c r="E28" s="943" t="b">
        <f>ISNUMBER(#REF!)</f>
        <v>0</v>
      </c>
      <c r="F28" s="943" t="b">
        <f>ISNUMBER(#REF!)</f>
        <v>0</v>
      </c>
      <c r="G28" s="943" t="b">
        <f>ISNUMBER(#REF!)</f>
        <v>0</v>
      </c>
      <c r="H28" s="943" t="b">
        <f>ISNUMBER(#REF!)</f>
        <v>0</v>
      </c>
      <c r="I28" s="943" t="b">
        <f t="shared" si="1"/>
        <v>1</v>
      </c>
      <c r="J28" s="943" t="b">
        <f>ISNUMBER(#REF!)</f>
        <v>0</v>
      </c>
      <c r="K28" s="943" t="b">
        <f>ISNUMBER(#REF!)</f>
        <v>0</v>
      </c>
      <c r="L28" s="943" t="b">
        <f>ISNUMBER(#REF!)</f>
        <v>0</v>
      </c>
      <c r="M28" s="943" t="b">
        <f>ISNUMBER(#REF!)</f>
        <v>0</v>
      </c>
      <c r="N28" s="943" t="b">
        <f>ISNUMBER(#REF!)</f>
        <v>0</v>
      </c>
      <c r="O28" s="943" t="b">
        <f>ISNUMBER(#REF!)</f>
        <v>0</v>
      </c>
      <c r="P28" s="943" t="b">
        <f>ISNUMBER(#REF!)</f>
        <v>0</v>
      </c>
      <c r="Q28" s="951" t="str">
        <f t="shared" si="2"/>
        <v/>
      </c>
    </row>
    <row r="29" spans="1:17" ht="23.25" customHeight="1">
      <c r="A29" s="968">
        <f t="shared" si="3"/>
        <v>45006.645833333336</v>
      </c>
      <c r="B29" s="949" t="s">
        <v>302</v>
      </c>
      <c r="C29" s="950">
        <f t="shared" si="0"/>
        <v>0</v>
      </c>
      <c r="E29" s="943" t="b">
        <f>ISNUMBER(#REF!)</f>
        <v>0</v>
      </c>
      <c r="F29" s="943" t="b">
        <f>ISNUMBER(#REF!)</f>
        <v>0</v>
      </c>
      <c r="G29" s="943" t="b">
        <f>ISNUMBER(#REF!)</f>
        <v>0</v>
      </c>
      <c r="H29" s="943" t="b">
        <f>ISNUMBER(#REF!)</f>
        <v>0</v>
      </c>
      <c r="I29" s="943" t="b">
        <f t="shared" si="1"/>
        <v>1</v>
      </c>
      <c r="J29" s="943" t="b">
        <f>ISNUMBER(#REF!)</f>
        <v>0</v>
      </c>
      <c r="K29" s="943" t="b">
        <f>ISNUMBER(#REF!)</f>
        <v>0</v>
      </c>
      <c r="L29" s="943" t="b">
        <f>ISNUMBER(#REF!)</f>
        <v>0</v>
      </c>
      <c r="M29" s="943" t="b">
        <f>ISNUMBER(#REF!)</f>
        <v>0</v>
      </c>
      <c r="N29" s="943" t="b">
        <f>ISNUMBER(#REF!)</f>
        <v>0</v>
      </c>
      <c r="O29" s="943" t="b">
        <f>ISNUMBER(#REF!)</f>
        <v>0</v>
      </c>
      <c r="P29" s="943" t="b">
        <f>ISNUMBER(#REF!)</f>
        <v>0</v>
      </c>
      <c r="Q29" s="951" t="str">
        <f t="shared" si="2"/>
        <v/>
      </c>
    </row>
    <row r="30" spans="1:17" ht="23.25" customHeight="1">
      <c r="A30" s="968">
        <f t="shared" si="3"/>
        <v>45006.645833333336</v>
      </c>
      <c r="B30" s="949" t="s">
        <v>312</v>
      </c>
      <c r="C30" s="950">
        <f t="shared" si="0"/>
        <v>0</v>
      </c>
      <c r="E30" s="943" t="b">
        <f>ISNUMBER(#REF!)</f>
        <v>0</v>
      </c>
      <c r="F30" s="943" t="b">
        <f>ISNUMBER(#REF!)</f>
        <v>0</v>
      </c>
      <c r="G30" s="943" t="b">
        <f>ISNUMBER(#REF!)</f>
        <v>0</v>
      </c>
      <c r="H30" s="943" t="b">
        <f>ISNUMBER(#REF!)</f>
        <v>0</v>
      </c>
      <c r="I30" s="943" t="b">
        <f t="shared" si="1"/>
        <v>1</v>
      </c>
      <c r="J30" s="943" t="b">
        <f>ISNUMBER(#REF!)</f>
        <v>0</v>
      </c>
      <c r="K30" s="943" t="b">
        <f>ISNUMBER(#REF!)</f>
        <v>0</v>
      </c>
      <c r="L30" s="943" t="b">
        <f>ISNUMBER(#REF!)</f>
        <v>0</v>
      </c>
      <c r="M30" s="943" t="b">
        <f>ISNUMBER(#REF!)</f>
        <v>0</v>
      </c>
      <c r="N30" s="943" t="b">
        <f>ISNUMBER(#REF!)</f>
        <v>0</v>
      </c>
      <c r="O30" s="943" t="b">
        <f>ISNUMBER(#REF!)</f>
        <v>0</v>
      </c>
      <c r="P30" s="943" t="b">
        <f>ISNUMBER(#REF!)</f>
        <v>0</v>
      </c>
      <c r="Q30" s="951" t="str">
        <f t="shared" si="2"/>
        <v/>
      </c>
    </row>
    <row r="31" spans="1:17" ht="23.25" customHeight="1">
      <c r="A31" s="968">
        <f t="shared" si="3"/>
        <v>45006.645833333336</v>
      </c>
      <c r="B31" s="949" t="s">
        <v>313</v>
      </c>
      <c r="C31" s="950">
        <f t="shared" si="0"/>
        <v>0</v>
      </c>
      <c r="E31" s="943" t="b">
        <f>ISNUMBER(#REF!)</f>
        <v>0</v>
      </c>
      <c r="F31" s="943" t="b">
        <f>ISNUMBER(#REF!)</f>
        <v>0</v>
      </c>
      <c r="G31" s="943" t="b">
        <f>ISNUMBER(#REF!)</f>
        <v>0</v>
      </c>
      <c r="H31" s="943" t="b">
        <f>ISNUMBER(#REF!)</f>
        <v>0</v>
      </c>
      <c r="I31" s="943" t="b">
        <f t="shared" si="1"/>
        <v>1</v>
      </c>
      <c r="J31" s="943" t="b">
        <f>ISNUMBER(#REF!)</f>
        <v>0</v>
      </c>
      <c r="K31" s="943" t="b">
        <f>ISNUMBER(#REF!)</f>
        <v>0</v>
      </c>
      <c r="L31" s="943" t="b">
        <f>ISNUMBER(#REF!)</f>
        <v>0</v>
      </c>
      <c r="M31" s="943" t="b">
        <f>ISNUMBER(#REF!)</f>
        <v>0</v>
      </c>
      <c r="N31" s="943" t="b">
        <f>ISNUMBER(#REF!)</f>
        <v>0</v>
      </c>
      <c r="O31" s="943" t="b">
        <f>ISNUMBER(#REF!)</f>
        <v>0</v>
      </c>
      <c r="P31" s="943" t="b">
        <f>ISNUMBER(#REF!)</f>
        <v>0</v>
      </c>
      <c r="Q31" s="951" t="str">
        <f t="shared" si="2"/>
        <v/>
      </c>
    </row>
    <row r="32" spans="1:17" ht="23.25" customHeight="1">
      <c r="A32" s="968">
        <f t="shared" si="3"/>
        <v>45006.645833333336</v>
      </c>
      <c r="B32" s="949" t="s">
        <v>314</v>
      </c>
      <c r="C32" s="950">
        <f t="shared" si="0"/>
        <v>0</v>
      </c>
      <c r="E32" s="943" t="b">
        <f>ISNUMBER(#REF!)</f>
        <v>0</v>
      </c>
      <c r="F32" s="943" t="b">
        <f>ISNUMBER(#REF!)</f>
        <v>0</v>
      </c>
      <c r="G32" s="943" t="b">
        <f>ISNUMBER(#REF!)</f>
        <v>0</v>
      </c>
      <c r="H32" s="943" t="b">
        <f>ISNUMBER(#REF!)</f>
        <v>0</v>
      </c>
      <c r="I32" s="943" t="b">
        <f t="shared" si="1"/>
        <v>1</v>
      </c>
      <c r="J32" s="943" t="b">
        <f>ISNUMBER(#REF!)</f>
        <v>0</v>
      </c>
      <c r="K32" s="943" t="b">
        <f>ISNUMBER(#REF!)</f>
        <v>0</v>
      </c>
      <c r="L32" s="943" t="b">
        <f>ISNUMBER(#REF!)</f>
        <v>0</v>
      </c>
      <c r="M32" s="943" t="b">
        <f>ISNUMBER(#REF!)</f>
        <v>0</v>
      </c>
      <c r="N32" s="943" t="b">
        <f>ISNUMBER(#REF!)</f>
        <v>0</v>
      </c>
      <c r="O32" s="943" t="b">
        <f>ISNUMBER(#REF!)</f>
        <v>0</v>
      </c>
      <c r="P32" s="943" t="b">
        <f>ISNUMBER(#REF!)</f>
        <v>0</v>
      </c>
      <c r="Q32" s="951" t="str">
        <f t="shared" si="2"/>
        <v/>
      </c>
    </row>
    <row r="33" spans="1:17" ht="23.25" customHeight="1">
      <c r="A33" s="968">
        <f t="shared" si="3"/>
        <v>45006.645833333336</v>
      </c>
      <c r="B33" s="949" t="s">
        <v>315</v>
      </c>
      <c r="C33" s="950">
        <f t="shared" si="0"/>
        <v>0</v>
      </c>
      <c r="E33" s="943" t="b">
        <f>ISNUMBER(#REF!)</f>
        <v>0</v>
      </c>
      <c r="F33" s="943" t="b">
        <f>ISNUMBER(#REF!)</f>
        <v>0</v>
      </c>
      <c r="G33" s="943" t="b">
        <f>ISNUMBER(#REF!)</f>
        <v>0</v>
      </c>
      <c r="H33" s="943" t="b">
        <f>ISNUMBER(#REF!)</f>
        <v>0</v>
      </c>
      <c r="I33" s="943" t="b">
        <f t="shared" si="1"/>
        <v>1</v>
      </c>
      <c r="J33" s="943" t="b">
        <f>ISNUMBER(#REF!)</f>
        <v>0</v>
      </c>
      <c r="K33" s="943" t="b">
        <f>ISNUMBER(#REF!)</f>
        <v>0</v>
      </c>
      <c r="L33" s="943" t="b">
        <f>ISNUMBER(#REF!)</f>
        <v>0</v>
      </c>
      <c r="M33" s="943" t="b">
        <f>ISNUMBER(#REF!)</f>
        <v>0</v>
      </c>
      <c r="N33" s="943" t="b">
        <f>ISNUMBER(#REF!)</f>
        <v>0</v>
      </c>
      <c r="O33" s="943" t="b">
        <f>ISNUMBER(#REF!)</f>
        <v>0</v>
      </c>
      <c r="P33" s="943" t="b">
        <f>ISNUMBER(#REF!)</f>
        <v>0</v>
      </c>
      <c r="Q33" s="951" t="str">
        <f t="shared" si="2"/>
        <v/>
      </c>
    </row>
    <row r="34" spans="1:17" ht="23.25" customHeight="1">
      <c r="A34" s="968">
        <f t="shared" si="3"/>
        <v>45006.645833333336</v>
      </c>
      <c r="B34" s="949" t="s">
        <v>316</v>
      </c>
      <c r="C34" s="950">
        <f t="shared" si="0"/>
        <v>0</v>
      </c>
      <c r="E34" s="943" t="b">
        <f>ISNUMBER(#REF!)</f>
        <v>0</v>
      </c>
      <c r="F34" s="943" t="b">
        <f>ISNUMBER(#REF!)</f>
        <v>0</v>
      </c>
      <c r="G34" s="943" t="b">
        <f>ISNUMBER(#REF!)</f>
        <v>0</v>
      </c>
      <c r="H34" s="943" t="b">
        <f>ISNUMBER(#REF!)</f>
        <v>0</v>
      </c>
      <c r="I34" s="943" t="b">
        <f t="shared" si="1"/>
        <v>1</v>
      </c>
      <c r="J34" s="943" t="b">
        <f>ISNUMBER(#REF!)</f>
        <v>0</v>
      </c>
      <c r="K34" s="943" t="b">
        <f>ISNUMBER(#REF!)</f>
        <v>0</v>
      </c>
      <c r="L34" s="943" t="b">
        <f>ISNUMBER(#REF!)</f>
        <v>0</v>
      </c>
      <c r="M34" s="943" t="b">
        <f>ISNUMBER(#REF!)</f>
        <v>0</v>
      </c>
      <c r="N34" s="943" t="b">
        <f>ISNUMBER(#REF!)</f>
        <v>0</v>
      </c>
      <c r="O34" s="943" t="b">
        <f>ISNUMBER(#REF!)</f>
        <v>0</v>
      </c>
      <c r="P34" s="943" t="b">
        <f>ISNUMBER(#REF!)</f>
        <v>0</v>
      </c>
      <c r="Q34" s="951" t="str">
        <f t="shared" si="2"/>
        <v/>
      </c>
    </row>
    <row r="35" spans="1:17" ht="23.25" customHeight="1">
      <c r="A35" s="968">
        <f t="shared" si="3"/>
        <v>45006.645833333336</v>
      </c>
      <c r="B35" s="949" t="s">
        <v>317</v>
      </c>
      <c r="C35" s="950">
        <f t="shared" si="0"/>
        <v>0</v>
      </c>
      <c r="E35" s="943" t="b">
        <f>ISNUMBER(#REF!)</f>
        <v>0</v>
      </c>
      <c r="F35" s="943" t="b">
        <f>ISNUMBER(#REF!)</f>
        <v>0</v>
      </c>
      <c r="G35" s="943" t="b">
        <f>ISNUMBER(#REF!)</f>
        <v>0</v>
      </c>
      <c r="H35" s="943" t="b">
        <f>ISNUMBER(#REF!)</f>
        <v>0</v>
      </c>
      <c r="I35" s="943" t="b">
        <f t="shared" si="1"/>
        <v>1</v>
      </c>
      <c r="J35" s="943" t="b">
        <f>ISNUMBER(#REF!)</f>
        <v>0</v>
      </c>
      <c r="K35" s="943" t="b">
        <f>ISNUMBER(#REF!)</f>
        <v>0</v>
      </c>
      <c r="L35" s="943" t="b">
        <f>ISNUMBER(#REF!)</f>
        <v>0</v>
      </c>
      <c r="M35" s="943" t="b">
        <f>ISNUMBER(#REF!)</f>
        <v>0</v>
      </c>
      <c r="N35" s="943" t="b">
        <f>ISNUMBER(#REF!)</f>
        <v>0</v>
      </c>
      <c r="O35" s="943" t="b">
        <f>ISNUMBER(#REF!)</f>
        <v>0</v>
      </c>
      <c r="P35" s="943" t="b">
        <f>ISNUMBER(#REF!)</f>
        <v>0</v>
      </c>
      <c r="Q35" s="951" t="str">
        <f t="shared" si="2"/>
        <v/>
      </c>
    </row>
    <row r="36" spans="1:17" ht="23.25" customHeight="1">
      <c r="A36" s="968">
        <f t="shared" si="3"/>
        <v>45006.645833333336</v>
      </c>
      <c r="B36" s="949" t="s">
        <v>318</v>
      </c>
      <c r="C36" s="950">
        <f t="shared" si="0"/>
        <v>0</v>
      </c>
      <c r="E36" s="943" t="b">
        <f>ISNUMBER(#REF!)</f>
        <v>0</v>
      </c>
      <c r="F36" s="943" t="b">
        <f>ISNUMBER(#REF!)</f>
        <v>0</v>
      </c>
      <c r="G36" s="943" t="b">
        <f>ISNUMBER(#REF!)</f>
        <v>0</v>
      </c>
      <c r="H36" s="943" t="b">
        <f>ISNUMBER(#REF!)</f>
        <v>0</v>
      </c>
      <c r="I36" s="943" t="b">
        <f t="shared" ref="I36:I67" si="4">ISNUMBER(C36)</f>
        <v>1</v>
      </c>
      <c r="J36" s="943" t="b">
        <f>ISNUMBER(#REF!)</f>
        <v>0</v>
      </c>
      <c r="K36" s="943" t="b">
        <f>ISNUMBER(#REF!)</f>
        <v>0</v>
      </c>
      <c r="L36" s="943" t="b">
        <f>ISNUMBER(#REF!)</f>
        <v>0</v>
      </c>
      <c r="M36" s="943" t="b">
        <f>ISNUMBER(#REF!)</f>
        <v>0</v>
      </c>
      <c r="N36" s="943" t="b">
        <f>ISNUMBER(#REF!)</f>
        <v>0</v>
      </c>
      <c r="O36" s="943" t="b">
        <f>ISNUMBER(#REF!)</f>
        <v>0</v>
      </c>
      <c r="P36" s="943" t="b">
        <f>ISNUMBER(#REF!)</f>
        <v>0</v>
      </c>
      <c r="Q36" s="951" t="str">
        <f t="shared" ref="Q36:Q67" si="5">IF(I36=TRUE,"",1)</f>
        <v/>
      </c>
    </row>
    <row r="37" spans="1:17" ht="23.25" customHeight="1">
      <c r="A37" s="968">
        <f t="shared" si="3"/>
        <v>45006.645833333336</v>
      </c>
      <c r="B37" s="949" t="s">
        <v>319</v>
      </c>
      <c r="C37" s="950">
        <f t="shared" si="0"/>
        <v>0</v>
      </c>
      <c r="E37" s="943" t="b">
        <f>ISNUMBER(#REF!)</f>
        <v>0</v>
      </c>
      <c r="F37" s="943" t="b">
        <f>ISNUMBER(#REF!)</f>
        <v>0</v>
      </c>
      <c r="G37" s="943" t="b">
        <f>ISNUMBER(#REF!)</f>
        <v>0</v>
      </c>
      <c r="H37" s="943" t="b">
        <f>ISNUMBER(#REF!)</f>
        <v>0</v>
      </c>
      <c r="I37" s="943" t="b">
        <f t="shared" si="4"/>
        <v>1</v>
      </c>
      <c r="J37" s="943" t="b">
        <f>ISNUMBER(#REF!)</f>
        <v>0</v>
      </c>
      <c r="K37" s="943" t="b">
        <f>ISNUMBER(#REF!)</f>
        <v>0</v>
      </c>
      <c r="L37" s="943" t="b">
        <f>ISNUMBER(#REF!)</f>
        <v>0</v>
      </c>
      <c r="M37" s="943" t="b">
        <f>ISNUMBER(#REF!)</f>
        <v>0</v>
      </c>
      <c r="N37" s="943" t="b">
        <f>ISNUMBER(#REF!)</f>
        <v>0</v>
      </c>
      <c r="O37" s="943" t="b">
        <f>ISNUMBER(#REF!)</f>
        <v>0</v>
      </c>
      <c r="P37" s="943" t="b">
        <f>ISNUMBER(#REF!)</f>
        <v>0</v>
      </c>
      <c r="Q37" s="951" t="str">
        <f t="shared" si="5"/>
        <v/>
      </c>
    </row>
    <row r="38" spans="1:17" ht="23.25" customHeight="1">
      <c r="A38" s="968">
        <f t="shared" si="3"/>
        <v>45006.645833333336</v>
      </c>
      <c r="B38" s="949" t="s">
        <v>320</v>
      </c>
      <c r="C38" s="950">
        <f t="shared" si="0"/>
        <v>-1.0461</v>
      </c>
      <c r="E38" s="943" t="b">
        <f>ISNUMBER(#REF!)</f>
        <v>0</v>
      </c>
      <c r="F38" s="943" t="b">
        <f>ISNUMBER(#REF!)</f>
        <v>0</v>
      </c>
      <c r="G38" s="943" t="b">
        <f>ISNUMBER(#REF!)</f>
        <v>0</v>
      </c>
      <c r="H38" s="943" t="b">
        <f>ISNUMBER(#REF!)</f>
        <v>0</v>
      </c>
      <c r="I38" s="943" t="b">
        <f t="shared" si="4"/>
        <v>1</v>
      </c>
      <c r="J38" s="943" t="b">
        <f>ISNUMBER(#REF!)</f>
        <v>0</v>
      </c>
      <c r="K38" s="943" t="b">
        <f>ISNUMBER(#REF!)</f>
        <v>0</v>
      </c>
      <c r="L38" s="943" t="b">
        <f>ISNUMBER(#REF!)</f>
        <v>0</v>
      </c>
      <c r="M38" s="943" t="b">
        <f>ISNUMBER(#REF!)</f>
        <v>0</v>
      </c>
      <c r="N38" s="943" t="b">
        <f>ISNUMBER(#REF!)</f>
        <v>0</v>
      </c>
      <c r="O38" s="943" t="b">
        <f>ISNUMBER(#REF!)</f>
        <v>0</v>
      </c>
      <c r="P38" s="943" t="b">
        <f>ISNUMBER(#REF!)</f>
        <v>0</v>
      </c>
      <c r="Q38" s="951" t="str">
        <f t="shared" si="5"/>
        <v/>
      </c>
    </row>
    <row r="39" spans="1:17" ht="23.25" customHeight="1">
      <c r="A39" s="968">
        <f t="shared" si="3"/>
        <v>45006.645833333336</v>
      </c>
      <c r="B39" s="949" t="s">
        <v>321</v>
      </c>
      <c r="C39" s="950">
        <f t="shared" si="0"/>
        <v>0</v>
      </c>
      <c r="E39" s="943" t="b">
        <f>ISNUMBER(#REF!)</f>
        <v>0</v>
      </c>
      <c r="F39" s="943" t="b">
        <f>ISNUMBER(#REF!)</f>
        <v>0</v>
      </c>
      <c r="G39" s="943" t="b">
        <f>ISNUMBER(#REF!)</f>
        <v>0</v>
      </c>
      <c r="H39" s="943" t="b">
        <f>ISNUMBER(#REF!)</f>
        <v>0</v>
      </c>
      <c r="I39" s="943" t="b">
        <f t="shared" si="4"/>
        <v>1</v>
      </c>
      <c r="J39" s="943" t="b">
        <f>ISNUMBER(#REF!)</f>
        <v>0</v>
      </c>
      <c r="K39" s="943" t="b">
        <f>ISNUMBER(#REF!)</f>
        <v>0</v>
      </c>
      <c r="L39" s="943" t="b">
        <f>ISNUMBER(#REF!)</f>
        <v>0</v>
      </c>
      <c r="M39" s="943" t="b">
        <f>ISNUMBER(#REF!)</f>
        <v>0</v>
      </c>
      <c r="N39" s="943" t="b">
        <f>ISNUMBER(#REF!)</f>
        <v>0</v>
      </c>
      <c r="O39" s="943" t="b">
        <f>ISNUMBER(#REF!)</f>
        <v>0</v>
      </c>
      <c r="P39" s="943" t="b">
        <f>ISNUMBER(#REF!)</f>
        <v>0</v>
      </c>
      <c r="Q39" s="951" t="str">
        <f t="shared" si="5"/>
        <v/>
      </c>
    </row>
    <row r="40" spans="1:17" ht="23.25" customHeight="1">
      <c r="A40" s="968">
        <f t="shared" si="3"/>
        <v>45006.645833333336</v>
      </c>
      <c r="B40" s="949" t="s">
        <v>322</v>
      </c>
      <c r="C40" s="950">
        <f t="shared" si="0"/>
        <v>0</v>
      </c>
      <c r="E40" s="943" t="b">
        <f>ISNUMBER(#REF!)</f>
        <v>0</v>
      </c>
      <c r="F40" s="943" t="b">
        <f>ISNUMBER(#REF!)</f>
        <v>0</v>
      </c>
      <c r="G40" s="943" t="b">
        <f>ISNUMBER(#REF!)</f>
        <v>0</v>
      </c>
      <c r="H40" s="943" t="b">
        <f>ISNUMBER(#REF!)</f>
        <v>0</v>
      </c>
      <c r="I40" s="943" t="b">
        <f t="shared" si="4"/>
        <v>1</v>
      </c>
      <c r="J40" s="943" t="b">
        <f>ISNUMBER(#REF!)</f>
        <v>0</v>
      </c>
      <c r="K40" s="943" t="b">
        <f>ISNUMBER(#REF!)</f>
        <v>0</v>
      </c>
      <c r="L40" s="943" t="b">
        <f>ISNUMBER(#REF!)</f>
        <v>0</v>
      </c>
      <c r="M40" s="943" t="b">
        <f>ISNUMBER(#REF!)</f>
        <v>0</v>
      </c>
      <c r="N40" s="943" t="b">
        <f>ISNUMBER(#REF!)</f>
        <v>0</v>
      </c>
      <c r="O40" s="943" t="b">
        <f>ISNUMBER(#REF!)</f>
        <v>0</v>
      </c>
      <c r="P40" s="943" t="b">
        <f>ISNUMBER(#REF!)</f>
        <v>0</v>
      </c>
      <c r="Q40" s="951" t="str">
        <f t="shared" si="5"/>
        <v/>
      </c>
    </row>
    <row r="41" spans="1:17" ht="23.25" customHeight="1">
      <c r="A41" s="968">
        <f t="shared" si="3"/>
        <v>45006.645833333336</v>
      </c>
      <c r="B41" s="949" t="s">
        <v>323</v>
      </c>
      <c r="C41" s="950">
        <f t="shared" si="0"/>
        <v>0</v>
      </c>
      <c r="E41" s="943" t="b">
        <f>ISNUMBER(#REF!)</f>
        <v>0</v>
      </c>
      <c r="F41" s="943" t="b">
        <f>ISNUMBER(#REF!)</f>
        <v>0</v>
      </c>
      <c r="G41" s="943" t="b">
        <f>ISNUMBER(#REF!)</f>
        <v>0</v>
      </c>
      <c r="H41" s="943" t="b">
        <f>ISNUMBER(#REF!)</f>
        <v>0</v>
      </c>
      <c r="I41" s="943" t="b">
        <f t="shared" si="4"/>
        <v>1</v>
      </c>
      <c r="J41" s="943" t="b">
        <f>ISNUMBER(#REF!)</f>
        <v>0</v>
      </c>
      <c r="K41" s="943" t="b">
        <f>ISNUMBER(#REF!)</f>
        <v>0</v>
      </c>
      <c r="L41" s="943" t="b">
        <f>ISNUMBER(#REF!)</f>
        <v>0</v>
      </c>
      <c r="M41" s="943" t="b">
        <f>ISNUMBER(#REF!)</f>
        <v>0</v>
      </c>
      <c r="N41" s="943" t="b">
        <f>ISNUMBER(#REF!)</f>
        <v>0</v>
      </c>
      <c r="O41" s="943" t="b">
        <f>ISNUMBER(#REF!)</f>
        <v>0</v>
      </c>
      <c r="P41" s="943" t="b">
        <f>ISNUMBER(#REF!)</f>
        <v>0</v>
      </c>
      <c r="Q41" s="951" t="str">
        <f t="shared" si="5"/>
        <v/>
      </c>
    </row>
    <row r="42" spans="1:17" ht="23.25" customHeight="1">
      <c r="A42" s="968">
        <f t="shared" si="3"/>
        <v>45006.645833333336</v>
      </c>
      <c r="B42" s="949" t="s">
        <v>324</v>
      </c>
      <c r="C42" s="950">
        <f t="shared" si="0"/>
        <v>0</v>
      </c>
      <c r="E42" s="943" t="b">
        <f>ISNUMBER(#REF!)</f>
        <v>0</v>
      </c>
      <c r="F42" s="943" t="b">
        <f>ISNUMBER(#REF!)</f>
        <v>0</v>
      </c>
      <c r="G42" s="943" t="b">
        <f>ISNUMBER(#REF!)</f>
        <v>0</v>
      </c>
      <c r="H42" s="943" t="b">
        <f>ISNUMBER(#REF!)</f>
        <v>0</v>
      </c>
      <c r="I42" s="943" t="b">
        <f t="shared" si="4"/>
        <v>1</v>
      </c>
      <c r="J42" s="943" t="b">
        <f>ISNUMBER(#REF!)</f>
        <v>0</v>
      </c>
      <c r="K42" s="943" t="b">
        <f>ISNUMBER(#REF!)</f>
        <v>0</v>
      </c>
      <c r="L42" s="943" t="b">
        <f>ISNUMBER(#REF!)</f>
        <v>0</v>
      </c>
      <c r="M42" s="943" t="b">
        <f>ISNUMBER(#REF!)</f>
        <v>0</v>
      </c>
      <c r="N42" s="943" t="b">
        <f>ISNUMBER(#REF!)</f>
        <v>0</v>
      </c>
      <c r="O42" s="943" t="b">
        <f>ISNUMBER(#REF!)</f>
        <v>0</v>
      </c>
      <c r="P42" s="943" t="b">
        <f>ISNUMBER(#REF!)</f>
        <v>0</v>
      </c>
      <c r="Q42" s="951" t="str">
        <f t="shared" si="5"/>
        <v/>
      </c>
    </row>
    <row r="43" spans="1:17" ht="23.25" customHeight="1">
      <c r="A43" s="968">
        <f t="shared" si="3"/>
        <v>45006.645833333336</v>
      </c>
      <c r="B43" s="949" t="s">
        <v>325</v>
      </c>
      <c r="C43" s="950">
        <f t="shared" si="0"/>
        <v>0</v>
      </c>
      <c r="E43" s="943" t="b">
        <f>ISNUMBER(#REF!)</f>
        <v>0</v>
      </c>
      <c r="F43" s="943" t="b">
        <f>ISNUMBER(#REF!)</f>
        <v>0</v>
      </c>
      <c r="G43" s="943" t="b">
        <f>ISNUMBER(#REF!)</f>
        <v>0</v>
      </c>
      <c r="H43" s="943" t="b">
        <f>ISNUMBER(#REF!)</f>
        <v>0</v>
      </c>
      <c r="I43" s="943" t="b">
        <f t="shared" si="4"/>
        <v>1</v>
      </c>
      <c r="J43" s="943" t="b">
        <f>ISNUMBER(#REF!)</f>
        <v>0</v>
      </c>
      <c r="K43" s="943" t="b">
        <f>ISNUMBER(#REF!)</f>
        <v>0</v>
      </c>
      <c r="L43" s="943" t="b">
        <f>ISNUMBER(#REF!)</f>
        <v>0</v>
      </c>
      <c r="M43" s="943" t="b">
        <f>ISNUMBER(#REF!)</f>
        <v>0</v>
      </c>
      <c r="N43" s="943" t="b">
        <f>ISNUMBER(#REF!)</f>
        <v>0</v>
      </c>
      <c r="O43" s="943" t="b">
        <f>ISNUMBER(#REF!)</f>
        <v>0</v>
      </c>
      <c r="P43" s="943" t="b">
        <f>ISNUMBER(#REF!)</f>
        <v>0</v>
      </c>
      <c r="Q43" s="951" t="str">
        <f t="shared" si="5"/>
        <v/>
      </c>
    </row>
    <row r="44" spans="1:17" ht="23.25" customHeight="1">
      <c r="A44" s="968">
        <f t="shared" si="3"/>
        <v>45006.645833333336</v>
      </c>
      <c r="B44" s="949" t="s">
        <v>335</v>
      </c>
      <c r="C44" s="950">
        <f t="shared" si="0"/>
        <v>0</v>
      </c>
      <c r="E44" s="943" t="b">
        <f>ISNUMBER(#REF!)</f>
        <v>0</v>
      </c>
      <c r="F44" s="943" t="b">
        <f>ISNUMBER(#REF!)</f>
        <v>0</v>
      </c>
      <c r="G44" s="943" t="b">
        <f>ISNUMBER(#REF!)</f>
        <v>0</v>
      </c>
      <c r="H44" s="943" t="b">
        <f>ISNUMBER(#REF!)</f>
        <v>0</v>
      </c>
      <c r="I44" s="943" t="b">
        <f t="shared" si="4"/>
        <v>1</v>
      </c>
      <c r="J44" s="943" t="b">
        <f>ISNUMBER(#REF!)</f>
        <v>0</v>
      </c>
      <c r="K44" s="943" t="b">
        <f>ISNUMBER(#REF!)</f>
        <v>0</v>
      </c>
      <c r="L44" s="943" t="b">
        <f>ISNUMBER(#REF!)</f>
        <v>0</v>
      </c>
      <c r="M44" s="943" t="b">
        <f>ISNUMBER(#REF!)</f>
        <v>0</v>
      </c>
      <c r="N44" s="943" t="b">
        <f>ISNUMBER(#REF!)</f>
        <v>0</v>
      </c>
      <c r="O44" s="943" t="b">
        <f>ISNUMBER(#REF!)</f>
        <v>0</v>
      </c>
      <c r="P44" s="943" t="b">
        <f>ISNUMBER(#REF!)</f>
        <v>0</v>
      </c>
      <c r="Q44" s="951" t="str">
        <f t="shared" si="5"/>
        <v/>
      </c>
    </row>
    <row r="45" spans="1:17" ht="23.25" customHeight="1">
      <c r="A45" s="968">
        <f t="shared" si="3"/>
        <v>45006.645833333336</v>
      </c>
      <c r="B45" s="949" t="s">
        <v>336</v>
      </c>
      <c r="C45" s="950">
        <f t="shared" si="0"/>
        <v>0</v>
      </c>
      <c r="E45" s="943" t="b">
        <f>ISNUMBER(#REF!)</f>
        <v>0</v>
      </c>
      <c r="F45" s="943" t="b">
        <f>ISNUMBER(#REF!)</f>
        <v>0</v>
      </c>
      <c r="G45" s="943" t="b">
        <f>ISNUMBER(#REF!)</f>
        <v>0</v>
      </c>
      <c r="H45" s="943" t="b">
        <f>ISNUMBER(#REF!)</f>
        <v>0</v>
      </c>
      <c r="I45" s="943" t="b">
        <f t="shared" si="4"/>
        <v>1</v>
      </c>
      <c r="J45" s="943" t="b">
        <f>ISNUMBER(#REF!)</f>
        <v>0</v>
      </c>
      <c r="K45" s="943" t="b">
        <f>ISNUMBER(#REF!)</f>
        <v>0</v>
      </c>
      <c r="L45" s="943" t="b">
        <f>ISNUMBER(#REF!)</f>
        <v>0</v>
      </c>
      <c r="M45" s="943" t="b">
        <f>ISNUMBER(#REF!)</f>
        <v>0</v>
      </c>
      <c r="N45" s="943" t="b">
        <f>ISNUMBER(#REF!)</f>
        <v>0</v>
      </c>
      <c r="O45" s="943" t="b">
        <f>ISNUMBER(#REF!)</f>
        <v>0</v>
      </c>
      <c r="P45" s="943" t="b">
        <f>ISNUMBER(#REF!)</f>
        <v>0</v>
      </c>
      <c r="Q45" s="951" t="str">
        <f t="shared" si="5"/>
        <v/>
      </c>
    </row>
    <row r="46" spans="1:17" s="954" customFormat="1" ht="23.25" customHeight="1">
      <c r="A46" s="981">
        <f t="shared" si="3"/>
        <v>45006.645833333336</v>
      </c>
      <c r="B46" s="952" t="s">
        <v>459</v>
      </c>
      <c r="C46" s="953">
        <f t="shared" ref="C46:C69" si="6">IFERROR(VLOOKUP($B46,RLMLXD,14,0),"")</f>
        <v>0</v>
      </c>
      <c r="E46" s="954" t="b">
        <f>ISNUMBER(#REF!)</f>
        <v>0</v>
      </c>
      <c r="F46" s="954" t="b">
        <f>ISNUMBER(#REF!)</f>
        <v>0</v>
      </c>
      <c r="G46" s="954" t="b">
        <f>ISNUMBER(#REF!)</f>
        <v>0</v>
      </c>
      <c r="H46" s="954" t="b">
        <f>ISNUMBER(#REF!)</f>
        <v>0</v>
      </c>
      <c r="I46" s="954" t="b">
        <f t="shared" si="4"/>
        <v>1</v>
      </c>
      <c r="J46" s="954" t="b">
        <f>ISNUMBER(#REF!)</f>
        <v>0</v>
      </c>
      <c r="K46" s="954" t="b">
        <f>ISNUMBER(#REF!)</f>
        <v>0</v>
      </c>
      <c r="L46" s="954" t="b">
        <f>ISNUMBER(#REF!)</f>
        <v>0</v>
      </c>
      <c r="M46" s="954" t="b">
        <f>ISNUMBER(#REF!)</f>
        <v>0</v>
      </c>
      <c r="N46" s="954" t="b">
        <f>ISNUMBER(#REF!)</f>
        <v>0</v>
      </c>
      <c r="O46" s="954" t="b">
        <f>ISNUMBER(#REF!)</f>
        <v>0</v>
      </c>
      <c r="P46" s="954" t="b">
        <f>ISNUMBER(#REF!)</f>
        <v>0</v>
      </c>
      <c r="Q46" s="952" t="str">
        <f t="shared" si="5"/>
        <v/>
      </c>
    </row>
    <row r="47" spans="1:17" ht="23.25" customHeight="1">
      <c r="A47" s="968">
        <f t="shared" si="3"/>
        <v>45006.645833333336</v>
      </c>
      <c r="B47" s="949" t="s">
        <v>463</v>
      </c>
      <c r="C47" s="950">
        <f t="shared" si="6"/>
        <v>0</v>
      </c>
      <c r="E47" s="943" t="b">
        <f>ISNUMBER(#REF!)</f>
        <v>0</v>
      </c>
      <c r="F47" s="943" t="b">
        <f>ISNUMBER(#REF!)</f>
        <v>0</v>
      </c>
      <c r="G47" s="943" t="b">
        <f>ISNUMBER(#REF!)</f>
        <v>0</v>
      </c>
      <c r="H47" s="943" t="b">
        <f>ISNUMBER(#REF!)</f>
        <v>0</v>
      </c>
      <c r="I47" s="943" t="b">
        <f t="shared" si="4"/>
        <v>1</v>
      </c>
      <c r="J47" s="943" t="b">
        <f>ISNUMBER(#REF!)</f>
        <v>0</v>
      </c>
      <c r="K47" s="943" t="b">
        <f>ISNUMBER(#REF!)</f>
        <v>0</v>
      </c>
      <c r="L47" s="943" t="b">
        <f>ISNUMBER(#REF!)</f>
        <v>0</v>
      </c>
      <c r="M47" s="943" t="b">
        <f>ISNUMBER(#REF!)</f>
        <v>0</v>
      </c>
      <c r="N47" s="943" t="b">
        <f>ISNUMBER(#REF!)</f>
        <v>0</v>
      </c>
      <c r="O47" s="943" t="b">
        <f>ISNUMBER(#REF!)</f>
        <v>0</v>
      </c>
      <c r="P47" s="943" t="b">
        <f>ISNUMBER(#REF!)</f>
        <v>0</v>
      </c>
      <c r="Q47" s="951" t="str">
        <f t="shared" si="5"/>
        <v/>
      </c>
    </row>
    <row r="48" spans="1:17" ht="23.25" customHeight="1">
      <c r="A48" s="968">
        <f t="shared" si="3"/>
        <v>45006.645833333336</v>
      </c>
      <c r="B48" s="949" t="s">
        <v>464</v>
      </c>
      <c r="C48" s="950">
        <f t="shared" si="6"/>
        <v>0</v>
      </c>
      <c r="E48" s="943" t="b">
        <f>ISNUMBER(#REF!)</f>
        <v>0</v>
      </c>
      <c r="F48" s="943" t="b">
        <f>ISNUMBER(#REF!)</f>
        <v>0</v>
      </c>
      <c r="G48" s="943" t="b">
        <f>ISNUMBER(#REF!)</f>
        <v>0</v>
      </c>
      <c r="H48" s="943" t="b">
        <f>ISNUMBER(#REF!)</f>
        <v>0</v>
      </c>
      <c r="I48" s="943" t="b">
        <f t="shared" si="4"/>
        <v>1</v>
      </c>
      <c r="J48" s="943" t="b">
        <f>ISNUMBER(#REF!)</f>
        <v>0</v>
      </c>
      <c r="K48" s="943" t="b">
        <f>ISNUMBER(#REF!)</f>
        <v>0</v>
      </c>
      <c r="L48" s="943" t="b">
        <f>ISNUMBER(#REF!)</f>
        <v>0</v>
      </c>
      <c r="M48" s="943" t="b">
        <f>ISNUMBER(#REF!)</f>
        <v>0</v>
      </c>
      <c r="N48" s="943" t="b">
        <f>ISNUMBER(#REF!)</f>
        <v>0</v>
      </c>
      <c r="O48" s="943" t="b">
        <f>ISNUMBER(#REF!)</f>
        <v>0</v>
      </c>
      <c r="P48" s="943" t="b">
        <f>ISNUMBER(#REF!)</f>
        <v>0</v>
      </c>
      <c r="Q48" s="951" t="str">
        <f t="shared" si="5"/>
        <v/>
      </c>
    </row>
    <row r="49" spans="1:17" ht="23.25" customHeight="1">
      <c r="A49" s="968">
        <f t="shared" si="3"/>
        <v>45006.645833333336</v>
      </c>
      <c r="B49" s="949" t="s">
        <v>467</v>
      </c>
      <c r="C49" s="950">
        <f t="shared" si="6"/>
        <v>0</v>
      </c>
      <c r="E49" s="943" t="b">
        <f>ISNUMBER(#REF!)</f>
        <v>0</v>
      </c>
      <c r="F49" s="943" t="b">
        <f>ISNUMBER(#REF!)</f>
        <v>0</v>
      </c>
      <c r="G49" s="943" t="b">
        <f>ISNUMBER(#REF!)</f>
        <v>0</v>
      </c>
      <c r="H49" s="943" t="b">
        <f>ISNUMBER(#REF!)</f>
        <v>0</v>
      </c>
      <c r="I49" s="943" t="b">
        <f t="shared" si="4"/>
        <v>1</v>
      </c>
      <c r="J49" s="943" t="b">
        <f>ISNUMBER(#REF!)</f>
        <v>0</v>
      </c>
      <c r="K49" s="943" t="b">
        <f>ISNUMBER(#REF!)</f>
        <v>0</v>
      </c>
      <c r="L49" s="943" t="b">
        <f>ISNUMBER(#REF!)</f>
        <v>0</v>
      </c>
      <c r="M49" s="943" t="b">
        <f>ISNUMBER(#REF!)</f>
        <v>0</v>
      </c>
      <c r="N49" s="943" t="b">
        <f>ISNUMBER(#REF!)</f>
        <v>0</v>
      </c>
      <c r="O49" s="943" t="b">
        <f>ISNUMBER(#REF!)</f>
        <v>0</v>
      </c>
      <c r="P49" s="943" t="b">
        <f>ISNUMBER(#REF!)</f>
        <v>0</v>
      </c>
      <c r="Q49" s="951" t="str">
        <f t="shared" si="5"/>
        <v/>
      </c>
    </row>
    <row r="50" spans="1:17" ht="23.25" customHeight="1">
      <c r="A50" s="968">
        <f t="shared" si="3"/>
        <v>45006.645833333336</v>
      </c>
      <c r="B50" s="949" t="s">
        <v>468</v>
      </c>
      <c r="C50" s="950">
        <f t="shared" si="6"/>
        <v>0</v>
      </c>
      <c r="E50" s="943" t="b">
        <f>ISNUMBER(#REF!)</f>
        <v>0</v>
      </c>
      <c r="F50" s="943" t="b">
        <f>ISNUMBER(#REF!)</f>
        <v>0</v>
      </c>
      <c r="G50" s="943" t="b">
        <f>ISNUMBER(#REF!)</f>
        <v>0</v>
      </c>
      <c r="H50" s="943" t="b">
        <f>ISNUMBER(#REF!)</f>
        <v>0</v>
      </c>
      <c r="I50" s="943" t="b">
        <f t="shared" si="4"/>
        <v>1</v>
      </c>
      <c r="J50" s="943" t="b">
        <f>ISNUMBER(#REF!)</f>
        <v>0</v>
      </c>
      <c r="K50" s="943" t="b">
        <f>ISNUMBER(#REF!)</f>
        <v>0</v>
      </c>
      <c r="L50" s="943" t="b">
        <f>ISNUMBER(#REF!)</f>
        <v>0</v>
      </c>
      <c r="M50" s="943" t="b">
        <f>ISNUMBER(#REF!)</f>
        <v>0</v>
      </c>
      <c r="N50" s="943" t="b">
        <f>ISNUMBER(#REF!)</f>
        <v>0</v>
      </c>
      <c r="O50" s="943" t="b">
        <f>ISNUMBER(#REF!)</f>
        <v>0</v>
      </c>
      <c r="P50" s="943" t="b">
        <f>ISNUMBER(#REF!)</f>
        <v>0</v>
      </c>
      <c r="Q50" s="951" t="str">
        <f t="shared" si="5"/>
        <v/>
      </c>
    </row>
    <row r="51" spans="1:17" ht="23.25" customHeight="1">
      <c r="A51" s="968">
        <f t="shared" si="3"/>
        <v>45006.645833333336</v>
      </c>
      <c r="B51" s="949" t="s">
        <v>470</v>
      </c>
      <c r="C51" s="950">
        <f t="shared" si="6"/>
        <v>0</v>
      </c>
      <c r="E51" s="943" t="b">
        <f>ISNUMBER(#REF!)</f>
        <v>0</v>
      </c>
      <c r="F51" s="943" t="b">
        <f>ISNUMBER(#REF!)</f>
        <v>0</v>
      </c>
      <c r="G51" s="943" t="b">
        <f>ISNUMBER(#REF!)</f>
        <v>0</v>
      </c>
      <c r="H51" s="943" t="b">
        <f>ISNUMBER(#REF!)</f>
        <v>0</v>
      </c>
      <c r="I51" s="943" t="b">
        <f t="shared" si="4"/>
        <v>1</v>
      </c>
      <c r="J51" s="943" t="b">
        <f>ISNUMBER(#REF!)</f>
        <v>0</v>
      </c>
      <c r="K51" s="943" t="b">
        <f>ISNUMBER(#REF!)</f>
        <v>0</v>
      </c>
      <c r="L51" s="943" t="b">
        <f>ISNUMBER(#REF!)</f>
        <v>0</v>
      </c>
      <c r="M51" s="943" t="b">
        <f>ISNUMBER(#REF!)</f>
        <v>0</v>
      </c>
      <c r="N51" s="943" t="b">
        <f>ISNUMBER(#REF!)</f>
        <v>0</v>
      </c>
      <c r="O51" s="943" t="b">
        <f>ISNUMBER(#REF!)</f>
        <v>0</v>
      </c>
      <c r="P51" s="943" t="b">
        <f>ISNUMBER(#REF!)</f>
        <v>0</v>
      </c>
      <c r="Q51" s="951" t="str">
        <f t="shared" si="5"/>
        <v/>
      </c>
    </row>
    <row r="52" spans="1:17" ht="23.25" customHeight="1">
      <c r="A52" s="968">
        <f t="shared" si="3"/>
        <v>45006.645833333336</v>
      </c>
      <c r="B52" s="949" t="s">
        <v>472</v>
      </c>
      <c r="C52" s="950">
        <f t="shared" si="6"/>
        <v>0</v>
      </c>
      <c r="E52" s="943" t="b">
        <f>ISNUMBER(#REF!)</f>
        <v>0</v>
      </c>
      <c r="F52" s="943" t="b">
        <f>ISNUMBER(#REF!)</f>
        <v>0</v>
      </c>
      <c r="G52" s="943" t="b">
        <f>ISNUMBER(#REF!)</f>
        <v>0</v>
      </c>
      <c r="H52" s="943" t="b">
        <f>ISNUMBER(#REF!)</f>
        <v>0</v>
      </c>
      <c r="I52" s="943" t="b">
        <f t="shared" si="4"/>
        <v>1</v>
      </c>
      <c r="J52" s="943" t="b">
        <f>ISNUMBER(#REF!)</f>
        <v>0</v>
      </c>
      <c r="K52" s="943" t="b">
        <f>ISNUMBER(#REF!)</f>
        <v>0</v>
      </c>
      <c r="L52" s="943" t="b">
        <f>ISNUMBER(#REF!)</f>
        <v>0</v>
      </c>
      <c r="M52" s="943" t="b">
        <f>ISNUMBER(#REF!)</f>
        <v>0</v>
      </c>
      <c r="N52" s="943" t="b">
        <f>ISNUMBER(#REF!)</f>
        <v>0</v>
      </c>
      <c r="O52" s="943" t="b">
        <f>ISNUMBER(#REF!)</f>
        <v>0</v>
      </c>
      <c r="P52" s="943" t="b">
        <f>ISNUMBER(#REF!)</f>
        <v>0</v>
      </c>
      <c r="Q52" s="951" t="str">
        <f t="shared" si="5"/>
        <v/>
      </c>
    </row>
    <row r="53" spans="1:17" ht="23.25" customHeight="1">
      <c r="A53" s="968">
        <f t="shared" si="3"/>
        <v>45006.645833333336</v>
      </c>
      <c r="B53" s="949" t="s">
        <v>473</v>
      </c>
      <c r="C53" s="950">
        <f t="shared" si="6"/>
        <v>0</v>
      </c>
      <c r="E53" s="943" t="b">
        <f>ISNUMBER(#REF!)</f>
        <v>0</v>
      </c>
      <c r="F53" s="943" t="b">
        <f>ISNUMBER(#REF!)</f>
        <v>0</v>
      </c>
      <c r="G53" s="943" t="b">
        <f>ISNUMBER(#REF!)</f>
        <v>0</v>
      </c>
      <c r="H53" s="943" t="b">
        <f>ISNUMBER(#REF!)</f>
        <v>0</v>
      </c>
      <c r="I53" s="943" t="b">
        <f t="shared" si="4"/>
        <v>1</v>
      </c>
      <c r="J53" s="943" t="b">
        <f>ISNUMBER(#REF!)</f>
        <v>0</v>
      </c>
      <c r="K53" s="943" t="b">
        <f>ISNUMBER(#REF!)</f>
        <v>0</v>
      </c>
      <c r="L53" s="943" t="b">
        <f>ISNUMBER(#REF!)</f>
        <v>0</v>
      </c>
      <c r="M53" s="943" t="b">
        <f>ISNUMBER(#REF!)</f>
        <v>0</v>
      </c>
      <c r="N53" s="943" t="b">
        <f>ISNUMBER(#REF!)</f>
        <v>0</v>
      </c>
      <c r="O53" s="943" t="b">
        <f>ISNUMBER(#REF!)</f>
        <v>0</v>
      </c>
      <c r="P53" s="943" t="b">
        <f>ISNUMBER(#REF!)</f>
        <v>0</v>
      </c>
      <c r="Q53" s="951" t="str">
        <f t="shared" si="5"/>
        <v/>
      </c>
    </row>
    <row r="54" spans="1:17" ht="23.25" customHeight="1">
      <c r="A54" s="968">
        <f t="shared" si="3"/>
        <v>45006.645833333336</v>
      </c>
      <c r="B54" s="949" t="s">
        <v>474</v>
      </c>
      <c r="C54" s="950">
        <f t="shared" si="6"/>
        <v>0</v>
      </c>
      <c r="E54" s="943" t="b">
        <f>ISNUMBER(#REF!)</f>
        <v>0</v>
      </c>
      <c r="F54" s="943" t="b">
        <f>ISNUMBER(#REF!)</f>
        <v>0</v>
      </c>
      <c r="G54" s="943" t="b">
        <f>ISNUMBER(#REF!)</f>
        <v>0</v>
      </c>
      <c r="H54" s="943" t="b">
        <f>ISNUMBER(#REF!)</f>
        <v>0</v>
      </c>
      <c r="I54" s="943" t="b">
        <f t="shared" si="4"/>
        <v>1</v>
      </c>
      <c r="J54" s="943" t="b">
        <f>ISNUMBER(#REF!)</f>
        <v>0</v>
      </c>
      <c r="K54" s="943" t="b">
        <f>ISNUMBER(#REF!)</f>
        <v>0</v>
      </c>
      <c r="L54" s="943" t="b">
        <f>ISNUMBER(#REF!)</f>
        <v>0</v>
      </c>
      <c r="M54" s="943" t="b">
        <f>ISNUMBER(#REF!)</f>
        <v>0</v>
      </c>
      <c r="N54" s="943" t="b">
        <f>ISNUMBER(#REF!)</f>
        <v>0</v>
      </c>
      <c r="O54" s="943" t="b">
        <f>ISNUMBER(#REF!)</f>
        <v>0</v>
      </c>
      <c r="P54" s="943" t="b">
        <f>ISNUMBER(#REF!)</f>
        <v>0</v>
      </c>
      <c r="Q54" s="951" t="str">
        <f t="shared" si="5"/>
        <v/>
      </c>
    </row>
    <row r="55" spans="1:17" ht="23.25" customHeight="1">
      <c r="A55" s="968">
        <f t="shared" si="3"/>
        <v>45006.645833333336</v>
      </c>
      <c r="B55" s="949" t="s">
        <v>477</v>
      </c>
      <c r="C55" s="950">
        <f t="shared" si="6"/>
        <v>0</v>
      </c>
      <c r="E55" s="943" t="b">
        <f>ISNUMBER(#REF!)</f>
        <v>0</v>
      </c>
      <c r="F55" s="943" t="b">
        <f>ISNUMBER(#REF!)</f>
        <v>0</v>
      </c>
      <c r="G55" s="943" t="b">
        <f>ISNUMBER(#REF!)</f>
        <v>0</v>
      </c>
      <c r="H55" s="943" t="b">
        <f>ISNUMBER(#REF!)</f>
        <v>0</v>
      </c>
      <c r="I55" s="943" t="b">
        <f t="shared" si="4"/>
        <v>1</v>
      </c>
      <c r="J55" s="943" t="b">
        <f>ISNUMBER(#REF!)</f>
        <v>0</v>
      </c>
      <c r="K55" s="943" t="b">
        <f>ISNUMBER(#REF!)</f>
        <v>0</v>
      </c>
      <c r="L55" s="943" t="b">
        <f>ISNUMBER(#REF!)</f>
        <v>0</v>
      </c>
      <c r="M55" s="943" t="b">
        <f>ISNUMBER(#REF!)</f>
        <v>0</v>
      </c>
      <c r="N55" s="943" t="b">
        <f>ISNUMBER(#REF!)</f>
        <v>0</v>
      </c>
      <c r="O55" s="943" t="b">
        <f>ISNUMBER(#REF!)</f>
        <v>0</v>
      </c>
      <c r="P55" s="943" t="b">
        <f>ISNUMBER(#REF!)</f>
        <v>0</v>
      </c>
      <c r="Q55" s="951" t="str">
        <f t="shared" si="5"/>
        <v/>
      </c>
    </row>
    <row r="56" spans="1:17" ht="23.25" customHeight="1">
      <c r="A56" s="968">
        <f t="shared" si="3"/>
        <v>45006.645833333336</v>
      </c>
      <c r="B56" s="949" t="s">
        <v>982</v>
      </c>
      <c r="C56" s="950">
        <f t="shared" si="6"/>
        <v>0</v>
      </c>
      <c r="E56" s="943" t="b">
        <f>ISNUMBER(#REF!)</f>
        <v>0</v>
      </c>
      <c r="F56" s="943" t="b">
        <f>ISNUMBER(#REF!)</f>
        <v>0</v>
      </c>
      <c r="G56" s="943" t="b">
        <f>ISNUMBER(#REF!)</f>
        <v>0</v>
      </c>
      <c r="H56" s="943" t="b">
        <f>ISNUMBER(#REF!)</f>
        <v>0</v>
      </c>
      <c r="I56" s="943" t="b">
        <f t="shared" si="4"/>
        <v>1</v>
      </c>
      <c r="J56" s="943" t="b">
        <f>ISNUMBER(#REF!)</f>
        <v>0</v>
      </c>
      <c r="K56" s="943" t="b">
        <f>ISNUMBER(#REF!)</f>
        <v>0</v>
      </c>
      <c r="L56" s="943" t="b">
        <f>ISNUMBER(#REF!)</f>
        <v>0</v>
      </c>
      <c r="M56" s="943" t="b">
        <f>ISNUMBER(#REF!)</f>
        <v>0</v>
      </c>
      <c r="N56" s="943" t="b">
        <f>ISNUMBER(#REF!)</f>
        <v>0</v>
      </c>
      <c r="O56" s="943" t="b">
        <f>ISNUMBER(#REF!)</f>
        <v>0</v>
      </c>
      <c r="P56" s="943" t="b">
        <f>ISNUMBER(#REF!)</f>
        <v>0</v>
      </c>
      <c r="Q56" s="951" t="str">
        <f t="shared" si="5"/>
        <v/>
      </c>
    </row>
    <row r="57" spans="1:17" ht="23.25" customHeight="1">
      <c r="A57" s="968">
        <f t="shared" si="3"/>
        <v>45006.645833333336</v>
      </c>
      <c r="B57" s="949" t="s">
        <v>983</v>
      </c>
      <c r="C57" s="950">
        <f t="shared" si="6"/>
        <v>0</v>
      </c>
      <c r="E57" s="943" t="b">
        <f>ISNUMBER(#REF!)</f>
        <v>0</v>
      </c>
      <c r="F57" s="943" t="b">
        <f>ISNUMBER(#REF!)</f>
        <v>0</v>
      </c>
      <c r="G57" s="943" t="b">
        <f>ISNUMBER(#REF!)</f>
        <v>0</v>
      </c>
      <c r="H57" s="943" t="b">
        <f>ISNUMBER(#REF!)</f>
        <v>0</v>
      </c>
      <c r="I57" s="943" t="b">
        <f t="shared" si="4"/>
        <v>1</v>
      </c>
      <c r="J57" s="943" t="b">
        <f>ISNUMBER(#REF!)</f>
        <v>0</v>
      </c>
      <c r="K57" s="943" t="b">
        <f>ISNUMBER(#REF!)</f>
        <v>0</v>
      </c>
      <c r="L57" s="943" t="b">
        <f>ISNUMBER(#REF!)</f>
        <v>0</v>
      </c>
      <c r="M57" s="943" t="b">
        <f>ISNUMBER(#REF!)</f>
        <v>0</v>
      </c>
      <c r="N57" s="943" t="b">
        <f>ISNUMBER(#REF!)</f>
        <v>0</v>
      </c>
      <c r="O57" s="943" t="b">
        <f>ISNUMBER(#REF!)</f>
        <v>0</v>
      </c>
      <c r="P57" s="943" t="b">
        <f>ISNUMBER(#REF!)</f>
        <v>0</v>
      </c>
      <c r="Q57" s="951" t="str">
        <f t="shared" si="5"/>
        <v/>
      </c>
    </row>
    <row r="58" spans="1:17" ht="23.25" customHeight="1">
      <c r="A58" s="968">
        <f t="shared" si="3"/>
        <v>45006.645833333336</v>
      </c>
      <c r="B58" s="949" t="s">
        <v>987</v>
      </c>
      <c r="C58" s="950">
        <f t="shared" si="6"/>
        <v>0</v>
      </c>
      <c r="E58" s="943" t="b">
        <f>ISNUMBER(#REF!)</f>
        <v>0</v>
      </c>
      <c r="F58" s="943" t="b">
        <f>ISNUMBER(#REF!)</f>
        <v>0</v>
      </c>
      <c r="G58" s="943" t="b">
        <f>ISNUMBER(#REF!)</f>
        <v>0</v>
      </c>
      <c r="H58" s="943" t="b">
        <f>ISNUMBER(#REF!)</f>
        <v>0</v>
      </c>
      <c r="I58" s="943" t="b">
        <f t="shared" si="4"/>
        <v>1</v>
      </c>
      <c r="J58" s="943" t="b">
        <f>ISNUMBER(#REF!)</f>
        <v>0</v>
      </c>
      <c r="K58" s="943" t="b">
        <f>ISNUMBER(#REF!)</f>
        <v>0</v>
      </c>
      <c r="L58" s="943" t="b">
        <f>ISNUMBER(#REF!)</f>
        <v>0</v>
      </c>
      <c r="M58" s="943" t="b">
        <f>ISNUMBER(#REF!)</f>
        <v>0</v>
      </c>
      <c r="N58" s="943" t="b">
        <f>ISNUMBER(#REF!)</f>
        <v>0</v>
      </c>
      <c r="O58" s="943" t="b">
        <f>ISNUMBER(#REF!)</f>
        <v>0</v>
      </c>
      <c r="P58" s="943" t="b">
        <f>ISNUMBER(#REF!)</f>
        <v>0</v>
      </c>
      <c r="Q58" s="951" t="str">
        <f t="shared" si="5"/>
        <v/>
      </c>
    </row>
    <row r="59" spans="1:17" ht="23.25" customHeight="1">
      <c r="A59" s="968">
        <f t="shared" si="3"/>
        <v>45006.645833333336</v>
      </c>
      <c r="B59" s="949" t="s">
        <v>989</v>
      </c>
      <c r="C59" s="950">
        <f t="shared" si="6"/>
        <v>0</v>
      </c>
      <c r="E59" s="943" t="b">
        <f>ISNUMBER(#REF!)</f>
        <v>0</v>
      </c>
      <c r="F59" s="943" t="b">
        <f>ISNUMBER(#REF!)</f>
        <v>0</v>
      </c>
      <c r="G59" s="943" t="b">
        <f>ISNUMBER(#REF!)</f>
        <v>0</v>
      </c>
      <c r="H59" s="943" t="b">
        <f>ISNUMBER(#REF!)</f>
        <v>0</v>
      </c>
      <c r="I59" s="943" t="b">
        <f t="shared" si="4"/>
        <v>1</v>
      </c>
      <c r="J59" s="943" t="b">
        <f>ISNUMBER(#REF!)</f>
        <v>0</v>
      </c>
      <c r="K59" s="943" t="b">
        <f>ISNUMBER(#REF!)</f>
        <v>0</v>
      </c>
      <c r="L59" s="943" t="b">
        <f>ISNUMBER(#REF!)</f>
        <v>0</v>
      </c>
      <c r="M59" s="943" t="b">
        <f>ISNUMBER(#REF!)</f>
        <v>0</v>
      </c>
      <c r="N59" s="943" t="b">
        <f>ISNUMBER(#REF!)</f>
        <v>0</v>
      </c>
      <c r="O59" s="943" t="b">
        <f>ISNUMBER(#REF!)</f>
        <v>0</v>
      </c>
      <c r="P59" s="943" t="b">
        <f>ISNUMBER(#REF!)</f>
        <v>0</v>
      </c>
      <c r="Q59" s="951" t="str">
        <f t="shared" si="5"/>
        <v/>
      </c>
    </row>
    <row r="60" spans="1:17" ht="23.25" customHeight="1">
      <c r="A60" s="968">
        <f t="shared" si="3"/>
        <v>45006.645833333336</v>
      </c>
      <c r="B60" s="949" t="s">
        <v>990</v>
      </c>
      <c r="C60" s="950">
        <f t="shared" si="6"/>
        <v>0</v>
      </c>
      <c r="E60" s="943" t="b">
        <f>ISNUMBER(#REF!)</f>
        <v>0</v>
      </c>
      <c r="F60" s="943" t="b">
        <f>ISNUMBER(#REF!)</f>
        <v>0</v>
      </c>
      <c r="G60" s="943" t="b">
        <f>ISNUMBER(#REF!)</f>
        <v>0</v>
      </c>
      <c r="H60" s="943" t="b">
        <f>ISNUMBER(#REF!)</f>
        <v>0</v>
      </c>
      <c r="I60" s="943" t="b">
        <f t="shared" si="4"/>
        <v>1</v>
      </c>
      <c r="J60" s="943" t="b">
        <f>ISNUMBER(#REF!)</f>
        <v>0</v>
      </c>
      <c r="K60" s="943" t="b">
        <f>ISNUMBER(#REF!)</f>
        <v>0</v>
      </c>
      <c r="L60" s="943" t="b">
        <f>ISNUMBER(#REF!)</f>
        <v>0</v>
      </c>
      <c r="M60" s="943" t="b">
        <f>ISNUMBER(#REF!)</f>
        <v>0</v>
      </c>
      <c r="N60" s="943" t="b">
        <f>ISNUMBER(#REF!)</f>
        <v>0</v>
      </c>
      <c r="O60" s="943" t="b">
        <f>ISNUMBER(#REF!)</f>
        <v>0</v>
      </c>
      <c r="P60" s="943" t="b">
        <f>ISNUMBER(#REF!)</f>
        <v>0</v>
      </c>
      <c r="Q60" s="951" t="str">
        <f t="shared" si="5"/>
        <v/>
      </c>
    </row>
    <row r="61" spans="1:17" ht="23.25" customHeight="1">
      <c r="A61" s="968">
        <f t="shared" si="3"/>
        <v>45006.645833333336</v>
      </c>
      <c r="B61" s="949" t="s">
        <v>985</v>
      </c>
      <c r="C61" s="950">
        <f t="shared" si="6"/>
        <v>0</v>
      </c>
      <c r="E61" s="943" t="b">
        <f>ISNUMBER(#REF!)</f>
        <v>0</v>
      </c>
      <c r="F61" s="943" t="b">
        <f>ISNUMBER(#REF!)</f>
        <v>0</v>
      </c>
      <c r="G61" s="943" t="b">
        <f>ISNUMBER(#REF!)</f>
        <v>0</v>
      </c>
      <c r="H61" s="943" t="b">
        <f>ISNUMBER(#REF!)</f>
        <v>0</v>
      </c>
      <c r="I61" s="943" t="b">
        <f t="shared" si="4"/>
        <v>1</v>
      </c>
      <c r="J61" s="943" t="b">
        <f>ISNUMBER(#REF!)</f>
        <v>0</v>
      </c>
      <c r="K61" s="943" t="b">
        <f>ISNUMBER(#REF!)</f>
        <v>0</v>
      </c>
      <c r="L61" s="943" t="b">
        <f>ISNUMBER(#REF!)</f>
        <v>0</v>
      </c>
      <c r="M61" s="943" t="b">
        <f>ISNUMBER(#REF!)</f>
        <v>0</v>
      </c>
      <c r="N61" s="943" t="b">
        <f>ISNUMBER(#REF!)</f>
        <v>0</v>
      </c>
      <c r="O61" s="943" t="b">
        <f>ISNUMBER(#REF!)</f>
        <v>0</v>
      </c>
      <c r="P61" s="943" t="b">
        <f>ISNUMBER(#REF!)</f>
        <v>0</v>
      </c>
      <c r="Q61" s="951" t="str">
        <f t="shared" si="5"/>
        <v/>
      </c>
    </row>
    <row r="62" spans="1:17" ht="23.25" customHeight="1">
      <c r="A62" s="968">
        <f t="shared" si="3"/>
        <v>45006.645833333336</v>
      </c>
      <c r="B62" s="949" t="s">
        <v>986</v>
      </c>
      <c r="C62" s="950">
        <f t="shared" si="6"/>
        <v>0</v>
      </c>
      <c r="E62" s="943" t="b">
        <f>ISNUMBER(#REF!)</f>
        <v>0</v>
      </c>
      <c r="F62" s="943" t="b">
        <f>ISNUMBER(#REF!)</f>
        <v>0</v>
      </c>
      <c r="G62" s="943" t="b">
        <f>ISNUMBER(#REF!)</f>
        <v>0</v>
      </c>
      <c r="H62" s="943" t="b">
        <f>ISNUMBER(#REF!)</f>
        <v>0</v>
      </c>
      <c r="I62" s="943" t="b">
        <f t="shared" si="4"/>
        <v>1</v>
      </c>
      <c r="J62" s="943" t="b">
        <f>ISNUMBER(#REF!)</f>
        <v>0</v>
      </c>
      <c r="K62" s="943" t="b">
        <f>ISNUMBER(#REF!)</f>
        <v>0</v>
      </c>
      <c r="L62" s="943" t="b">
        <f>ISNUMBER(#REF!)</f>
        <v>0</v>
      </c>
      <c r="M62" s="943" t="b">
        <f>ISNUMBER(#REF!)</f>
        <v>0</v>
      </c>
      <c r="N62" s="943" t="b">
        <f>ISNUMBER(#REF!)</f>
        <v>0</v>
      </c>
      <c r="O62" s="943" t="b">
        <f>ISNUMBER(#REF!)</f>
        <v>0</v>
      </c>
      <c r="P62" s="943" t="b">
        <f>ISNUMBER(#REF!)</f>
        <v>0</v>
      </c>
      <c r="Q62" s="951" t="str">
        <f t="shared" si="5"/>
        <v/>
      </c>
    </row>
    <row r="63" spans="1:17" ht="23.25" customHeight="1">
      <c r="A63" s="968">
        <f t="shared" si="3"/>
        <v>45006.645833333336</v>
      </c>
      <c r="B63" s="949" t="s">
        <v>916</v>
      </c>
      <c r="C63" s="950">
        <f t="shared" si="6"/>
        <v>0</v>
      </c>
      <c r="E63" s="943" t="b">
        <f>ISNUMBER(#REF!)</f>
        <v>0</v>
      </c>
      <c r="F63" s="943" t="b">
        <f>ISNUMBER(#REF!)</f>
        <v>0</v>
      </c>
      <c r="G63" s="943" t="b">
        <f>ISNUMBER(#REF!)</f>
        <v>0</v>
      </c>
      <c r="H63" s="943" t="b">
        <f>ISNUMBER(#REF!)</f>
        <v>0</v>
      </c>
      <c r="I63" s="943" t="b">
        <f t="shared" si="4"/>
        <v>1</v>
      </c>
      <c r="J63" s="943" t="b">
        <f>ISNUMBER(#REF!)</f>
        <v>0</v>
      </c>
      <c r="K63" s="943" t="b">
        <f>ISNUMBER(#REF!)</f>
        <v>0</v>
      </c>
      <c r="L63" s="943" t="b">
        <f>ISNUMBER(#REF!)</f>
        <v>0</v>
      </c>
      <c r="M63" s="943" t="b">
        <f>ISNUMBER(#REF!)</f>
        <v>0</v>
      </c>
      <c r="N63" s="943" t="b">
        <f>ISNUMBER(#REF!)</f>
        <v>0</v>
      </c>
      <c r="O63" s="943" t="b">
        <f>ISNUMBER(#REF!)</f>
        <v>0</v>
      </c>
      <c r="P63" s="943" t="b">
        <f>ISNUMBER(#REF!)</f>
        <v>0</v>
      </c>
      <c r="Q63" s="951" t="str">
        <f t="shared" si="5"/>
        <v/>
      </c>
    </row>
    <row r="64" spans="1:17" ht="23.25" customHeight="1">
      <c r="A64" s="968">
        <f t="shared" si="3"/>
        <v>45006.645833333336</v>
      </c>
      <c r="B64" s="949" t="s">
        <v>915</v>
      </c>
      <c r="C64" s="950">
        <f t="shared" si="6"/>
        <v>0</v>
      </c>
      <c r="E64" s="943" t="b">
        <f>ISNUMBER(#REF!)</f>
        <v>0</v>
      </c>
      <c r="F64" s="943" t="b">
        <f>ISNUMBER(#REF!)</f>
        <v>0</v>
      </c>
      <c r="G64" s="943" t="b">
        <f>ISNUMBER(#REF!)</f>
        <v>0</v>
      </c>
      <c r="H64" s="943" t="b">
        <f>ISNUMBER(#REF!)</f>
        <v>0</v>
      </c>
      <c r="I64" s="943" t="b">
        <f t="shared" si="4"/>
        <v>1</v>
      </c>
      <c r="J64" s="943" t="b">
        <f>ISNUMBER(#REF!)</f>
        <v>0</v>
      </c>
      <c r="K64" s="943" t="b">
        <f>ISNUMBER(#REF!)</f>
        <v>0</v>
      </c>
      <c r="L64" s="943" t="b">
        <f>ISNUMBER(#REF!)</f>
        <v>0</v>
      </c>
      <c r="M64" s="943" t="b">
        <f>ISNUMBER(#REF!)</f>
        <v>0</v>
      </c>
      <c r="N64" s="943" t="b">
        <f>ISNUMBER(#REF!)</f>
        <v>0</v>
      </c>
      <c r="O64" s="943" t="b">
        <f>ISNUMBER(#REF!)</f>
        <v>0</v>
      </c>
      <c r="P64" s="943" t="b">
        <f>ISNUMBER(#REF!)</f>
        <v>0</v>
      </c>
      <c r="Q64" s="951" t="str">
        <f t="shared" si="5"/>
        <v/>
      </c>
    </row>
    <row r="65" spans="1:17" ht="23.25" customHeight="1">
      <c r="A65" s="968">
        <f t="shared" si="3"/>
        <v>45006.645833333336</v>
      </c>
      <c r="B65" s="949" t="s">
        <v>917</v>
      </c>
      <c r="C65" s="950">
        <f t="shared" si="6"/>
        <v>0</v>
      </c>
      <c r="E65" s="943" t="b">
        <f>ISNUMBER(#REF!)</f>
        <v>0</v>
      </c>
      <c r="F65" s="943" t="b">
        <f>ISNUMBER(#REF!)</f>
        <v>0</v>
      </c>
      <c r="G65" s="943" t="b">
        <f>ISNUMBER(#REF!)</f>
        <v>0</v>
      </c>
      <c r="H65" s="943" t="b">
        <f>ISNUMBER(#REF!)</f>
        <v>0</v>
      </c>
      <c r="I65" s="943" t="b">
        <f t="shared" si="4"/>
        <v>1</v>
      </c>
      <c r="J65" s="943" t="b">
        <f>ISNUMBER(#REF!)</f>
        <v>0</v>
      </c>
      <c r="K65" s="943" t="b">
        <f>ISNUMBER(#REF!)</f>
        <v>0</v>
      </c>
      <c r="L65" s="943" t="b">
        <f>ISNUMBER(#REF!)</f>
        <v>0</v>
      </c>
      <c r="M65" s="943" t="b">
        <f>ISNUMBER(#REF!)</f>
        <v>0</v>
      </c>
      <c r="N65" s="943" t="b">
        <f>ISNUMBER(#REF!)</f>
        <v>0</v>
      </c>
      <c r="O65" s="943" t="b">
        <f>ISNUMBER(#REF!)</f>
        <v>0</v>
      </c>
      <c r="P65" s="943" t="b">
        <f>ISNUMBER(#REF!)</f>
        <v>0</v>
      </c>
      <c r="Q65" s="951" t="str">
        <f t="shared" si="5"/>
        <v/>
      </c>
    </row>
    <row r="66" spans="1:17" ht="23.25" customHeight="1">
      <c r="A66" s="968">
        <f t="shared" si="3"/>
        <v>45006.645833333336</v>
      </c>
      <c r="B66" s="949" t="s">
        <v>918</v>
      </c>
      <c r="C66" s="950">
        <f t="shared" si="6"/>
        <v>0</v>
      </c>
      <c r="E66" s="943" t="b">
        <f>ISNUMBER(#REF!)</f>
        <v>0</v>
      </c>
      <c r="F66" s="943" t="b">
        <f>ISNUMBER(#REF!)</f>
        <v>0</v>
      </c>
      <c r="G66" s="943" t="b">
        <f>ISNUMBER(#REF!)</f>
        <v>0</v>
      </c>
      <c r="H66" s="943" t="b">
        <f>ISNUMBER(#REF!)</f>
        <v>0</v>
      </c>
      <c r="I66" s="943" t="b">
        <f t="shared" si="4"/>
        <v>1</v>
      </c>
      <c r="J66" s="943" t="b">
        <f>ISNUMBER(#REF!)</f>
        <v>0</v>
      </c>
      <c r="K66" s="943" t="b">
        <f>ISNUMBER(#REF!)</f>
        <v>0</v>
      </c>
      <c r="L66" s="943" t="b">
        <f>ISNUMBER(#REF!)</f>
        <v>0</v>
      </c>
      <c r="M66" s="943" t="b">
        <f>ISNUMBER(#REF!)</f>
        <v>0</v>
      </c>
      <c r="N66" s="943" t="b">
        <f>ISNUMBER(#REF!)</f>
        <v>0</v>
      </c>
      <c r="O66" s="943" t="b">
        <f>ISNUMBER(#REF!)</f>
        <v>0</v>
      </c>
      <c r="P66" s="943" t="b">
        <f>ISNUMBER(#REF!)</f>
        <v>0</v>
      </c>
      <c r="Q66" s="951" t="str">
        <f t="shared" si="5"/>
        <v/>
      </c>
    </row>
    <row r="67" spans="1:17" ht="23.25" customHeight="1">
      <c r="A67" s="968">
        <f t="shared" si="3"/>
        <v>45006.645833333336</v>
      </c>
      <c r="B67" s="949" t="s">
        <v>919</v>
      </c>
      <c r="C67" s="950">
        <f t="shared" si="6"/>
        <v>0</v>
      </c>
      <c r="E67" s="943" t="b">
        <f>ISNUMBER(#REF!)</f>
        <v>0</v>
      </c>
      <c r="F67" s="943" t="b">
        <f>ISNUMBER(#REF!)</f>
        <v>0</v>
      </c>
      <c r="G67" s="943" t="b">
        <f>ISNUMBER(#REF!)</f>
        <v>0</v>
      </c>
      <c r="H67" s="943" t="b">
        <f>ISNUMBER(#REF!)</f>
        <v>0</v>
      </c>
      <c r="I67" s="943" t="b">
        <f t="shared" si="4"/>
        <v>1</v>
      </c>
      <c r="J67" s="943" t="b">
        <f>ISNUMBER(#REF!)</f>
        <v>0</v>
      </c>
      <c r="K67" s="943" t="b">
        <f>ISNUMBER(#REF!)</f>
        <v>0</v>
      </c>
      <c r="L67" s="943" t="b">
        <f>ISNUMBER(#REF!)</f>
        <v>0</v>
      </c>
      <c r="M67" s="943" t="b">
        <f>ISNUMBER(#REF!)</f>
        <v>0</v>
      </c>
      <c r="N67" s="943" t="b">
        <f>ISNUMBER(#REF!)</f>
        <v>0</v>
      </c>
      <c r="O67" s="943" t="b">
        <f>ISNUMBER(#REF!)</f>
        <v>0</v>
      </c>
      <c r="P67" s="943" t="b">
        <f>ISNUMBER(#REF!)</f>
        <v>0</v>
      </c>
      <c r="Q67" s="951" t="str">
        <f t="shared" si="5"/>
        <v/>
      </c>
    </row>
    <row r="68" spans="1:17" ht="23.25" customHeight="1">
      <c r="A68" s="968">
        <f t="shared" si="3"/>
        <v>45006.645833333336</v>
      </c>
      <c r="B68" s="949" t="s">
        <v>920</v>
      </c>
      <c r="C68" s="950">
        <f t="shared" si="6"/>
        <v>0</v>
      </c>
      <c r="E68" s="943" t="b">
        <f>ISNUMBER(#REF!)</f>
        <v>0</v>
      </c>
      <c r="F68" s="943" t="b">
        <f>ISNUMBER(#REF!)</f>
        <v>0</v>
      </c>
      <c r="G68" s="943" t="b">
        <f>ISNUMBER(#REF!)</f>
        <v>0</v>
      </c>
      <c r="H68" s="943" t="b">
        <f>ISNUMBER(#REF!)</f>
        <v>0</v>
      </c>
      <c r="I68" s="943" t="b">
        <f t="shared" ref="I68:I83" si="7">ISNUMBER(C68)</f>
        <v>1</v>
      </c>
      <c r="J68" s="943" t="b">
        <f>ISNUMBER(#REF!)</f>
        <v>0</v>
      </c>
      <c r="K68" s="943" t="b">
        <f>ISNUMBER(#REF!)</f>
        <v>0</v>
      </c>
      <c r="L68" s="943" t="b">
        <f>ISNUMBER(#REF!)</f>
        <v>0</v>
      </c>
      <c r="M68" s="943" t="b">
        <f>ISNUMBER(#REF!)</f>
        <v>0</v>
      </c>
      <c r="N68" s="943" t="b">
        <f>ISNUMBER(#REF!)</f>
        <v>0</v>
      </c>
      <c r="O68" s="943" t="b">
        <f>ISNUMBER(#REF!)</f>
        <v>0</v>
      </c>
      <c r="P68" s="943" t="b">
        <f>ISNUMBER(#REF!)</f>
        <v>0</v>
      </c>
      <c r="Q68" s="951" t="str">
        <f t="shared" ref="Q68:Q83" si="8">IF(I68=TRUE,"",1)</f>
        <v/>
      </c>
    </row>
    <row r="69" spans="1:17" ht="23.25" customHeight="1">
      <c r="A69" s="968">
        <f t="shared" si="3"/>
        <v>45006.645833333336</v>
      </c>
      <c r="B69" s="949" t="s">
        <v>921</v>
      </c>
      <c r="C69" s="950">
        <f t="shared" si="6"/>
        <v>0</v>
      </c>
      <c r="E69" s="943" t="b">
        <f>ISNUMBER(#REF!)</f>
        <v>0</v>
      </c>
      <c r="F69" s="943" t="b">
        <f>ISNUMBER(#REF!)</f>
        <v>0</v>
      </c>
      <c r="G69" s="943" t="b">
        <f>ISNUMBER(#REF!)</f>
        <v>0</v>
      </c>
      <c r="H69" s="943" t="b">
        <f>ISNUMBER(#REF!)</f>
        <v>0</v>
      </c>
      <c r="I69" s="943" t="b">
        <f t="shared" si="7"/>
        <v>1</v>
      </c>
      <c r="J69" s="943" t="b">
        <f>ISNUMBER(#REF!)</f>
        <v>0</v>
      </c>
      <c r="K69" s="943" t="b">
        <f>ISNUMBER(#REF!)</f>
        <v>0</v>
      </c>
      <c r="L69" s="943" t="b">
        <f>ISNUMBER(#REF!)</f>
        <v>0</v>
      </c>
      <c r="M69" s="943" t="b">
        <f>ISNUMBER(#REF!)</f>
        <v>0</v>
      </c>
      <c r="N69" s="943" t="b">
        <f>ISNUMBER(#REF!)</f>
        <v>0</v>
      </c>
      <c r="O69" s="943" t="b">
        <f>ISNUMBER(#REF!)</f>
        <v>0</v>
      </c>
      <c r="P69" s="943" t="b">
        <f>ISNUMBER(#REF!)</f>
        <v>0</v>
      </c>
      <c r="Q69" s="951" t="str">
        <f t="shared" si="8"/>
        <v/>
      </c>
    </row>
    <row r="70" spans="1:17" ht="23.25" customHeight="1">
      <c r="A70" s="968">
        <f t="shared" ref="A70:A83" si="9">IF(B70="","",$A$4)</f>
        <v>45006.645833333336</v>
      </c>
      <c r="B70" s="949" t="s">
        <v>562</v>
      </c>
      <c r="C70" s="950">
        <f t="shared" ref="C70:C83" si="10">IFERROR(VLOOKUP($B70,RLMLXD,20,0),"")</f>
        <v>0</v>
      </c>
      <c r="E70" s="955" t="b">
        <f>ISNUMBER(#REF!)</f>
        <v>0</v>
      </c>
      <c r="F70" s="955" t="b">
        <f>ISNUMBER(#REF!)</f>
        <v>0</v>
      </c>
      <c r="G70" s="955" t="b">
        <f>ISNUMBER(#REF!)</f>
        <v>0</v>
      </c>
      <c r="H70" s="955" t="b">
        <f>ISNUMBER(#REF!)</f>
        <v>0</v>
      </c>
      <c r="I70" s="943" t="b">
        <f t="shared" si="7"/>
        <v>1</v>
      </c>
      <c r="J70" s="943" t="b">
        <f>ISNUMBER(#REF!)</f>
        <v>0</v>
      </c>
      <c r="K70" s="943" t="b">
        <f>ISNUMBER(#REF!)</f>
        <v>0</v>
      </c>
      <c r="L70" s="943" t="b">
        <f>ISNUMBER(#REF!)</f>
        <v>0</v>
      </c>
      <c r="M70" s="943" t="b">
        <f>ISNUMBER(#REF!)</f>
        <v>0</v>
      </c>
      <c r="N70" s="943" t="b">
        <f>ISNUMBER(#REF!)</f>
        <v>0</v>
      </c>
      <c r="O70" s="943" t="b">
        <f>ISNUMBER(#REF!)</f>
        <v>0</v>
      </c>
      <c r="P70" s="943" t="b">
        <f>ISNUMBER(#REF!)</f>
        <v>0</v>
      </c>
      <c r="Q70" s="951" t="str">
        <f t="shared" si="8"/>
        <v/>
      </c>
    </row>
    <row r="71" spans="1:17" ht="23.25" customHeight="1">
      <c r="A71" s="968">
        <f t="shared" si="9"/>
        <v>45006.645833333336</v>
      </c>
      <c r="B71" s="949" t="s">
        <v>566</v>
      </c>
      <c r="C71" s="950">
        <f t="shared" si="10"/>
        <v>0</v>
      </c>
      <c r="E71" s="955" t="b">
        <f>ISNUMBER(#REF!)</f>
        <v>0</v>
      </c>
      <c r="F71" s="956" t="b">
        <f>ISNUMBER(#REF!)</f>
        <v>0</v>
      </c>
      <c r="G71" s="955" t="b">
        <f>ISNUMBER(#REF!)</f>
        <v>0</v>
      </c>
      <c r="H71" s="943" t="b">
        <f>ISNUMBER(#REF!)</f>
        <v>0</v>
      </c>
      <c r="I71" s="943" t="b">
        <f t="shared" si="7"/>
        <v>1</v>
      </c>
      <c r="J71" s="943" t="b">
        <f>ISNUMBER(#REF!)</f>
        <v>0</v>
      </c>
      <c r="K71" s="943" t="b">
        <f>ISNUMBER(#REF!)</f>
        <v>0</v>
      </c>
      <c r="L71" s="943" t="b">
        <f>ISNUMBER(#REF!)</f>
        <v>0</v>
      </c>
      <c r="M71" s="943" t="b">
        <f>ISNUMBER(#REF!)</f>
        <v>0</v>
      </c>
      <c r="N71" s="943" t="b">
        <f>ISNUMBER(#REF!)</f>
        <v>0</v>
      </c>
      <c r="O71" s="943" t="b">
        <f>ISNUMBER(#REF!)</f>
        <v>0</v>
      </c>
      <c r="P71" s="943" t="b">
        <f>ISNUMBER(#REF!)</f>
        <v>0</v>
      </c>
      <c r="Q71" s="951" t="str">
        <f t="shared" si="8"/>
        <v/>
      </c>
    </row>
    <row r="72" spans="1:17" ht="23.25" customHeight="1">
      <c r="A72" s="968">
        <f t="shared" si="9"/>
        <v>45006.645833333336</v>
      </c>
      <c r="B72" s="949" t="s">
        <v>568</v>
      </c>
      <c r="C72" s="950">
        <f t="shared" si="10"/>
        <v>0</v>
      </c>
      <c r="E72" s="955" t="b">
        <f>ISNUMBER(#REF!)</f>
        <v>0</v>
      </c>
      <c r="F72" s="956" t="b">
        <f>ISNUMBER(#REF!)</f>
        <v>0</v>
      </c>
      <c r="G72" s="955" t="b">
        <f>ISNUMBER(#REF!)</f>
        <v>0</v>
      </c>
      <c r="H72" s="943" t="b">
        <f>ISNUMBER(#REF!)</f>
        <v>0</v>
      </c>
      <c r="I72" s="943" t="b">
        <f t="shared" si="7"/>
        <v>1</v>
      </c>
      <c r="J72" s="943" t="b">
        <f>ISNUMBER(#REF!)</f>
        <v>0</v>
      </c>
      <c r="K72" s="943" t="b">
        <f>ISNUMBER(#REF!)</f>
        <v>0</v>
      </c>
      <c r="L72" s="943" t="b">
        <f>ISNUMBER(#REF!)</f>
        <v>0</v>
      </c>
      <c r="M72" s="943" t="b">
        <f>ISNUMBER(#REF!)</f>
        <v>0</v>
      </c>
      <c r="N72" s="943" t="b">
        <f>ISNUMBER(#REF!)</f>
        <v>0</v>
      </c>
      <c r="O72" s="943" t="b">
        <f>ISNUMBER(#REF!)</f>
        <v>0</v>
      </c>
      <c r="P72" s="943" t="b">
        <f>ISNUMBER(#REF!)</f>
        <v>0</v>
      </c>
      <c r="Q72" s="951" t="str">
        <f t="shared" si="8"/>
        <v/>
      </c>
    </row>
    <row r="73" spans="1:17" ht="23.25" customHeight="1">
      <c r="A73" s="968">
        <f t="shared" si="9"/>
        <v>45006.645833333336</v>
      </c>
      <c r="B73" s="949" t="s">
        <v>571</v>
      </c>
      <c r="C73" s="950">
        <f t="shared" si="10"/>
        <v>0</v>
      </c>
      <c r="E73" s="943" t="b">
        <f>ISNUMBER(#REF!)</f>
        <v>0</v>
      </c>
      <c r="F73" s="943" t="b">
        <f>ISNUMBER(#REF!)</f>
        <v>0</v>
      </c>
      <c r="G73" s="943" t="b">
        <f>ISNUMBER(#REF!)</f>
        <v>0</v>
      </c>
      <c r="H73" s="943" t="b">
        <f>ISNUMBER(#REF!)</f>
        <v>0</v>
      </c>
      <c r="I73" s="943" t="b">
        <f t="shared" si="7"/>
        <v>1</v>
      </c>
      <c r="J73" s="943" t="b">
        <f>ISNUMBER(#REF!)</f>
        <v>0</v>
      </c>
      <c r="K73" s="943" t="b">
        <f>ISNUMBER(#REF!)</f>
        <v>0</v>
      </c>
      <c r="L73" s="943" t="b">
        <f>ISNUMBER(#REF!)</f>
        <v>0</v>
      </c>
      <c r="M73" s="943" t="b">
        <f>ISNUMBER(#REF!)</f>
        <v>0</v>
      </c>
      <c r="N73" s="943" t="b">
        <f>ISNUMBER(#REF!)</f>
        <v>0</v>
      </c>
      <c r="O73" s="943" t="b">
        <f>ISNUMBER(#REF!)</f>
        <v>0</v>
      </c>
      <c r="P73" s="943" t="b">
        <f>ISNUMBER(#REF!)</f>
        <v>0</v>
      </c>
      <c r="Q73" s="951" t="str">
        <f t="shared" si="8"/>
        <v/>
      </c>
    </row>
    <row r="74" spans="1:17" ht="23.25" customHeight="1">
      <c r="A74" s="968">
        <f t="shared" si="9"/>
        <v>45006.645833333336</v>
      </c>
      <c r="B74" s="949" t="s">
        <v>573</v>
      </c>
      <c r="C74" s="950">
        <f t="shared" si="10"/>
        <v>0</v>
      </c>
      <c r="E74" s="943" t="b">
        <f>ISNUMBER(#REF!)</f>
        <v>0</v>
      </c>
      <c r="F74" s="943" t="b">
        <f>ISNUMBER(#REF!)</f>
        <v>0</v>
      </c>
      <c r="G74" s="943" t="b">
        <f>ISNUMBER(#REF!)</f>
        <v>0</v>
      </c>
      <c r="H74" s="943" t="b">
        <f>ISNUMBER(#REF!)</f>
        <v>0</v>
      </c>
      <c r="I74" s="943" t="b">
        <f t="shared" si="7"/>
        <v>1</v>
      </c>
      <c r="J74" s="943" t="b">
        <f>ISNUMBER(#REF!)</f>
        <v>0</v>
      </c>
      <c r="K74" s="943" t="b">
        <f>ISNUMBER(#REF!)</f>
        <v>0</v>
      </c>
      <c r="L74" s="943" t="b">
        <f>ISNUMBER(#REF!)</f>
        <v>0</v>
      </c>
      <c r="M74" s="943" t="b">
        <f>ISNUMBER(#REF!)</f>
        <v>0</v>
      </c>
      <c r="N74" s="943" t="b">
        <f>ISNUMBER(#REF!)</f>
        <v>0</v>
      </c>
      <c r="O74" s="943" t="b">
        <f>ISNUMBER(#REF!)</f>
        <v>0</v>
      </c>
      <c r="P74" s="943" t="b">
        <f>ISNUMBER(#REF!)</f>
        <v>0</v>
      </c>
      <c r="Q74" s="951" t="str">
        <f t="shared" si="8"/>
        <v/>
      </c>
    </row>
    <row r="75" spans="1:17" ht="23.25" customHeight="1">
      <c r="A75" s="968">
        <f t="shared" si="9"/>
        <v>45006.645833333336</v>
      </c>
      <c r="B75" s="949" t="s">
        <v>575</v>
      </c>
      <c r="C75" s="950">
        <f t="shared" si="10"/>
        <v>0</v>
      </c>
      <c r="E75" s="943" t="b">
        <f>ISNUMBER(#REF!)</f>
        <v>0</v>
      </c>
      <c r="F75" s="943" t="b">
        <f>ISNUMBER(#REF!)</f>
        <v>0</v>
      </c>
      <c r="G75" s="943" t="b">
        <f>ISNUMBER(#REF!)</f>
        <v>0</v>
      </c>
      <c r="H75" s="943" t="b">
        <f>ISNUMBER(#REF!)</f>
        <v>0</v>
      </c>
      <c r="I75" s="943" t="b">
        <f t="shared" si="7"/>
        <v>1</v>
      </c>
      <c r="J75" s="943" t="b">
        <f>ISNUMBER(#REF!)</f>
        <v>0</v>
      </c>
      <c r="K75" s="943" t="b">
        <f>ISNUMBER(#REF!)</f>
        <v>0</v>
      </c>
      <c r="L75" s="943" t="b">
        <f>ISNUMBER(#REF!)</f>
        <v>0</v>
      </c>
      <c r="M75" s="943" t="b">
        <f>ISNUMBER(#REF!)</f>
        <v>0</v>
      </c>
      <c r="N75" s="943" t="b">
        <f>ISNUMBER(#REF!)</f>
        <v>0</v>
      </c>
      <c r="O75" s="943" t="b">
        <f>ISNUMBER(#REF!)</f>
        <v>0</v>
      </c>
      <c r="P75" s="943" t="b">
        <f>ISNUMBER(#REF!)</f>
        <v>0</v>
      </c>
      <c r="Q75" s="951" t="str">
        <f t="shared" si="8"/>
        <v/>
      </c>
    </row>
    <row r="76" spans="1:17" ht="23.25" customHeight="1">
      <c r="A76" s="968">
        <f t="shared" si="9"/>
        <v>45006.645833333336</v>
      </c>
      <c r="B76" s="949" t="s">
        <v>576</v>
      </c>
      <c r="C76" s="950">
        <f t="shared" si="10"/>
        <v>0</v>
      </c>
      <c r="E76" s="943" t="b">
        <f>ISNUMBER(#REF!)</f>
        <v>0</v>
      </c>
      <c r="F76" s="943" t="b">
        <f>ISNUMBER(#REF!)</f>
        <v>0</v>
      </c>
      <c r="G76" s="943" t="b">
        <f>ISNUMBER(#REF!)</f>
        <v>0</v>
      </c>
      <c r="H76" s="943" t="b">
        <f>ISNUMBER(#REF!)</f>
        <v>0</v>
      </c>
      <c r="I76" s="943" t="b">
        <f t="shared" si="7"/>
        <v>1</v>
      </c>
      <c r="J76" s="943" t="b">
        <f>ISNUMBER(#REF!)</f>
        <v>0</v>
      </c>
      <c r="K76" s="943" t="b">
        <f>ISNUMBER(#REF!)</f>
        <v>0</v>
      </c>
      <c r="L76" s="943" t="b">
        <f>ISNUMBER(#REF!)</f>
        <v>0</v>
      </c>
      <c r="M76" s="943" t="b">
        <f>ISNUMBER(#REF!)</f>
        <v>0</v>
      </c>
      <c r="N76" s="943" t="b">
        <f>ISNUMBER(#REF!)</f>
        <v>0</v>
      </c>
      <c r="O76" s="943" t="b">
        <f>ISNUMBER(#REF!)</f>
        <v>0</v>
      </c>
      <c r="P76" s="943" t="b">
        <f>ISNUMBER(#REF!)</f>
        <v>0</v>
      </c>
      <c r="Q76" s="951" t="str">
        <f t="shared" si="8"/>
        <v/>
      </c>
    </row>
    <row r="77" spans="1:17" ht="23.25" customHeight="1">
      <c r="A77" s="968">
        <f t="shared" si="9"/>
        <v>45006.645833333336</v>
      </c>
      <c r="B77" s="949" t="s">
        <v>577</v>
      </c>
      <c r="C77" s="950">
        <f t="shared" si="10"/>
        <v>0</v>
      </c>
      <c r="E77" s="943" t="b">
        <f>ISNUMBER(#REF!)</f>
        <v>0</v>
      </c>
      <c r="F77" s="943" t="b">
        <f>ISNUMBER(#REF!)</f>
        <v>0</v>
      </c>
      <c r="G77" s="943" t="b">
        <f>ISNUMBER(#REF!)</f>
        <v>0</v>
      </c>
      <c r="H77" s="943" t="b">
        <f>ISNUMBER(#REF!)</f>
        <v>0</v>
      </c>
      <c r="I77" s="943" t="b">
        <f t="shared" si="7"/>
        <v>1</v>
      </c>
      <c r="J77" s="943" t="b">
        <f>ISNUMBER(#REF!)</f>
        <v>0</v>
      </c>
      <c r="K77" s="943" t="b">
        <f>ISNUMBER(#REF!)</f>
        <v>0</v>
      </c>
      <c r="L77" s="943" t="b">
        <f>ISNUMBER(#REF!)</f>
        <v>0</v>
      </c>
      <c r="M77" s="943" t="b">
        <f>ISNUMBER(#REF!)</f>
        <v>0</v>
      </c>
      <c r="N77" s="943" t="b">
        <f>ISNUMBER(#REF!)</f>
        <v>0</v>
      </c>
      <c r="O77" s="943" t="b">
        <f>ISNUMBER(#REF!)</f>
        <v>0</v>
      </c>
      <c r="P77" s="943" t="b">
        <f>ISNUMBER(#REF!)</f>
        <v>0</v>
      </c>
      <c r="Q77" s="951" t="str">
        <f t="shared" si="8"/>
        <v/>
      </c>
    </row>
    <row r="78" spans="1:17" ht="23.25" customHeight="1">
      <c r="A78" s="968">
        <f t="shared" si="9"/>
        <v>45006.645833333336</v>
      </c>
      <c r="B78" s="949" t="s">
        <v>578</v>
      </c>
      <c r="C78" s="950">
        <f t="shared" si="10"/>
        <v>0</v>
      </c>
      <c r="E78" s="943" t="b">
        <f>ISNUMBER(#REF!)</f>
        <v>0</v>
      </c>
      <c r="F78" s="943" t="b">
        <f>ISNUMBER(#REF!)</f>
        <v>0</v>
      </c>
      <c r="G78" s="943" t="b">
        <f>ISNUMBER(#REF!)</f>
        <v>0</v>
      </c>
      <c r="H78" s="943" t="b">
        <f>ISNUMBER(#REF!)</f>
        <v>0</v>
      </c>
      <c r="I78" s="943" t="b">
        <f t="shared" si="7"/>
        <v>1</v>
      </c>
      <c r="J78" s="943" t="b">
        <f>ISNUMBER(#REF!)</f>
        <v>0</v>
      </c>
      <c r="K78" s="943" t="b">
        <f>ISNUMBER(#REF!)</f>
        <v>0</v>
      </c>
      <c r="L78" s="943" t="b">
        <f>ISNUMBER(#REF!)</f>
        <v>0</v>
      </c>
      <c r="M78" s="943" t="b">
        <f>ISNUMBER(#REF!)</f>
        <v>0</v>
      </c>
      <c r="N78" s="943" t="b">
        <f>ISNUMBER(#REF!)</f>
        <v>0</v>
      </c>
      <c r="O78" s="943" t="b">
        <f>ISNUMBER(#REF!)</f>
        <v>0</v>
      </c>
      <c r="P78" s="943" t="b">
        <f>ISNUMBER(#REF!)</f>
        <v>0</v>
      </c>
      <c r="Q78" s="951" t="str">
        <f t="shared" si="8"/>
        <v/>
      </c>
    </row>
    <row r="79" spans="1:17" ht="23.25" customHeight="1">
      <c r="A79" s="968">
        <f t="shared" si="9"/>
        <v>45006.645833333336</v>
      </c>
      <c r="B79" s="949" t="s">
        <v>579</v>
      </c>
      <c r="C79" s="950">
        <f t="shared" si="10"/>
        <v>0</v>
      </c>
      <c r="E79" s="943" t="b">
        <f>ISNUMBER(#REF!)</f>
        <v>0</v>
      </c>
      <c r="F79" s="943" t="b">
        <f>ISNUMBER(#REF!)</f>
        <v>0</v>
      </c>
      <c r="G79" s="943" t="b">
        <f>ISNUMBER(#REF!)</f>
        <v>0</v>
      </c>
      <c r="H79" s="943" t="b">
        <f>ISNUMBER(#REF!)</f>
        <v>0</v>
      </c>
      <c r="I79" s="943" t="b">
        <f t="shared" si="7"/>
        <v>1</v>
      </c>
      <c r="J79" s="943" t="b">
        <f>ISNUMBER(#REF!)</f>
        <v>0</v>
      </c>
      <c r="K79" s="943" t="b">
        <f>ISNUMBER(#REF!)</f>
        <v>0</v>
      </c>
      <c r="L79" s="943" t="b">
        <f>ISNUMBER(#REF!)</f>
        <v>0</v>
      </c>
      <c r="M79" s="943" t="b">
        <f>ISNUMBER(#REF!)</f>
        <v>0</v>
      </c>
      <c r="N79" s="943" t="b">
        <f>ISNUMBER(#REF!)</f>
        <v>0</v>
      </c>
      <c r="O79" s="943" t="b">
        <f>ISNUMBER(#REF!)</f>
        <v>0</v>
      </c>
      <c r="P79" s="943" t="b">
        <f>ISNUMBER(#REF!)</f>
        <v>0</v>
      </c>
      <c r="Q79" s="951" t="str">
        <f t="shared" si="8"/>
        <v/>
      </c>
    </row>
    <row r="80" spans="1:17" ht="23.25" customHeight="1">
      <c r="A80" s="968">
        <f t="shared" si="9"/>
        <v>45006.645833333336</v>
      </c>
      <c r="B80" s="949" t="s">
        <v>582</v>
      </c>
      <c r="C80" s="950">
        <f t="shared" si="10"/>
        <v>0</v>
      </c>
      <c r="E80" s="943" t="b">
        <f>ISNUMBER(#REF!)</f>
        <v>0</v>
      </c>
      <c r="F80" s="943" t="b">
        <f>ISNUMBER(#REF!)</f>
        <v>0</v>
      </c>
      <c r="G80" s="943" t="b">
        <f>ISNUMBER(#REF!)</f>
        <v>0</v>
      </c>
      <c r="H80" s="943" t="b">
        <f>ISNUMBER(#REF!)</f>
        <v>0</v>
      </c>
      <c r="I80" s="943" t="b">
        <f t="shared" si="7"/>
        <v>1</v>
      </c>
      <c r="J80" s="943" t="b">
        <f>ISNUMBER(#REF!)</f>
        <v>0</v>
      </c>
      <c r="K80" s="943" t="b">
        <f>ISNUMBER(#REF!)</f>
        <v>0</v>
      </c>
      <c r="L80" s="943" t="b">
        <f>ISNUMBER(#REF!)</f>
        <v>0</v>
      </c>
      <c r="M80" s="943" t="b">
        <f>ISNUMBER(#REF!)</f>
        <v>0</v>
      </c>
      <c r="N80" s="943" t="b">
        <f>ISNUMBER(#REF!)</f>
        <v>0</v>
      </c>
      <c r="O80" s="943" t="b">
        <f>ISNUMBER(#REF!)</f>
        <v>0</v>
      </c>
      <c r="P80" s="943" t="b">
        <f>ISNUMBER(#REF!)</f>
        <v>0</v>
      </c>
      <c r="Q80" s="951" t="str">
        <f t="shared" si="8"/>
        <v/>
      </c>
    </row>
    <row r="81" spans="1:17" ht="23.25" customHeight="1">
      <c r="A81" s="968">
        <f t="shared" si="9"/>
        <v>45006.645833333336</v>
      </c>
      <c r="B81" s="949" t="s">
        <v>584</v>
      </c>
      <c r="C81" s="950">
        <f t="shared" si="10"/>
        <v>0</v>
      </c>
      <c r="E81" s="943" t="b">
        <f>ISNUMBER(#REF!)</f>
        <v>0</v>
      </c>
      <c r="F81" s="943" t="b">
        <f>ISNUMBER(#REF!)</f>
        <v>0</v>
      </c>
      <c r="G81" s="943" t="b">
        <f>ISNUMBER(#REF!)</f>
        <v>0</v>
      </c>
      <c r="H81" s="943" t="b">
        <f>ISNUMBER(#REF!)</f>
        <v>0</v>
      </c>
      <c r="I81" s="943" t="b">
        <f t="shared" si="7"/>
        <v>1</v>
      </c>
      <c r="J81" s="943" t="b">
        <f>ISNUMBER(#REF!)</f>
        <v>0</v>
      </c>
      <c r="K81" s="943" t="b">
        <f>ISNUMBER(#REF!)</f>
        <v>0</v>
      </c>
      <c r="L81" s="943" t="b">
        <f>ISNUMBER(#REF!)</f>
        <v>0</v>
      </c>
      <c r="M81" s="943" t="b">
        <f>ISNUMBER(#REF!)</f>
        <v>0</v>
      </c>
      <c r="N81" s="943" t="b">
        <f>ISNUMBER(#REF!)</f>
        <v>0</v>
      </c>
      <c r="O81" s="943" t="b">
        <f>ISNUMBER(#REF!)</f>
        <v>0</v>
      </c>
      <c r="P81" s="943" t="b">
        <f>ISNUMBER(#REF!)</f>
        <v>0</v>
      </c>
      <c r="Q81" s="951" t="str">
        <f t="shared" si="8"/>
        <v/>
      </c>
    </row>
    <row r="82" spans="1:17" ht="23.25" customHeight="1">
      <c r="A82" s="968">
        <f t="shared" si="9"/>
        <v>45006.645833333336</v>
      </c>
      <c r="B82" s="949" t="s">
        <v>587</v>
      </c>
      <c r="C82" s="950">
        <f t="shared" si="10"/>
        <v>0</v>
      </c>
      <c r="E82" s="943" t="b">
        <f>ISNUMBER(#REF!)</f>
        <v>0</v>
      </c>
      <c r="F82" s="943" t="b">
        <f>ISNUMBER(#REF!)</f>
        <v>0</v>
      </c>
      <c r="G82" s="943" t="b">
        <f>ISNUMBER(#REF!)</f>
        <v>0</v>
      </c>
      <c r="H82" s="943" t="b">
        <f>ISNUMBER(#REF!)</f>
        <v>0</v>
      </c>
      <c r="I82" s="943" t="b">
        <f t="shared" si="7"/>
        <v>1</v>
      </c>
      <c r="J82" s="943" t="b">
        <f>ISNUMBER(#REF!)</f>
        <v>0</v>
      </c>
      <c r="K82" s="943" t="b">
        <f>ISNUMBER(#REF!)</f>
        <v>0</v>
      </c>
      <c r="L82" s="943" t="b">
        <f>ISNUMBER(#REF!)</f>
        <v>0</v>
      </c>
      <c r="M82" s="943" t="b">
        <f>ISNUMBER(#REF!)</f>
        <v>0</v>
      </c>
      <c r="N82" s="943" t="b">
        <f>ISNUMBER(#REF!)</f>
        <v>0</v>
      </c>
      <c r="O82" s="943" t="b">
        <f>ISNUMBER(#REF!)</f>
        <v>0</v>
      </c>
      <c r="P82" s="943" t="b">
        <f>ISNUMBER(#REF!)</f>
        <v>0</v>
      </c>
      <c r="Q82" s="951" t="str">
        <f t="shared" si="8"/>
        <v/>
      </c>
    </row>
    <row r="83" spans="1:17" ht="23.25" customHeight="1">
      <c r="A83" s="968">
        <f t="shared" si="9"/>
        <v>45006.645833333336</v>
      </c>
      <c r="B83" s="949" t="s">
        <v>590</v>
      </c>
      <c r="C83" s="950">
        <f t="shared" si="10"/>
        <v>0</v>
      </c>
      <c r="E83" s="943" t="b">
        <f>ISNUMBER(#REF!)</f>
        <v>0</v>
      </c>
      <c r="F83" s="943" t="b">
        <f>ISNUMBER(#REF!)</f>
        <v>0</v>
      </c>
      <c r="G83" s="943" t="b">
        <f>ISNUMBER(#REF!)</f>
        <v>0</v>
      </c>
      <c r="H83" s="943" t="b">
        <f>ISNUMBER(#REF!)</f>
        <v>0</v>
      </c>
      <c r="I83" s="943" t="b">
        <f t="shared" si="7"/>
        <v>1</v>
      </c>
      <c r="J83" s="943" t="b">
        <f>ISNUMBER(#REF!)</f>
        <v>0</v>
      </c>
      <c r="K83" s="943" t="b">
        <f>ISNUMBER(#REF!)</f>
        <v>0</v>
      </c>
      <c r="L83" s="943" t="b">
        <f>ISNUMBER(#REF!)</f>
        <v>0</v>
      </c>
      <c r="M83" s="943" t="b">
        <f>ISNUMBER(#REF!)</f>
        <v>0</v>
      </c>
      <c r="N83" s="943" t="b">
        <f>ISNUMBER(#REF!)</f>
        <v>0</v>
      </c>
      <c r="O83" s="943" t="b">
        <f>ISNUMBER(#REF!)</f>
        <v>0</v>
      </c>
      <c r="P83" s="943" t="b">
        <f>ISNUMBER(#REF!)</f>
        <v>0</v>
      </c>
      <c r="Q83" s="951" t="str">
        <f t="shared" si="8"/>
        <v/>
      </c>
    </row>
  </sheetData>
  <phoneticPr fontId="6"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33"/>
  <sheetViews>
    <sheetView zoomScale="55" zoomScaleNormal="55" workbookViewId="0"/>
  </sheetViews>
  <sheetFormatPr defaultRowHeight="23.25" customHeight="1"/>
  <cols>
    <col min="1" max="1" width="34.75" style="967" customWidth="1"/>
    <col min="2" max="2" width="23.625" style="957" customWidth="1"/>
    <col min="3" max="3" width="29" style="958" customWidth="1"/>
    <col min="4" max="4" width="9" style="943"/>
    <col min="5" max="16" width="9" style="943" hidden="1" customWidth="1"/>
    <col min="17" max="16384" width="9" style="943"/>
  </cols>
  <sheetData>
    <row r="1" spans="1:17" ht="78" customHeight="1">
      <c r="A1" s="963" t="s">
        <v>351</v>
      </c>
      <c r="B1" s="941"/>
      <c r="C1" s="942"/>
    </row>
    <row r="2" spans="1:17" s="946" customFormat="1" ht="23.25" customHeight="1">
      <c r="A2" s="966" t="s">
        <v>352</v>
      </c>
      <c r="B2" s="944" t="s">
        <v>353</v>
      </c>
      <c r="C2" s="945" t="s">
        <v>364</v>
      </c>
      <c r="E2" s="947">
        <v>1</v>
      </c>
      <c r="F2" s="947" t="s">
        <v>876</v>
      </c>
      <c r="G2" s="947">
        <v>2</v>
      </c>
      <c r="H2" s="947" t="s">
        <v>876</v>
      </c>
      <c r="I2" s="947">
        <v>3</v>
      </c>
      <c r="J2" s="947" t="s">
        <v>876</v>
      </c>
      <c r="K2" s="947">
        <v>4</v>
      </c>
      <c r="L2" s="947" t="s">
        <v>876</v>
      </c>
      <c r="M2" s="947">
        <v>5</v>
      </c>
      <c r="N2" s="947" t="s">
        <v>876</v>
      </c>
      <c r="O2" s="947">
        <v>6</v>
      </c>
      <c r="P2" s="959" t="s">
        <v>876</v>
      </c>
      <c r="Q2" s="948">
        <v>3</v>
      </c>
    </row>
    <row r="3" spans="1:17" s="946" customFormat="1" ht="23.25" customHeight="1">
      <c r="A3" s="966" t="s">
        <v>376</v>
      </c>
      <c r="B3" s="944" t="s">
        <v>377</v>
      </c>
      <c r="C3" s="945" t="s">
        <v>385</v>
      </c>
      <c r="Q3" s="960"/>
    </row>
    <row r="4" spans="1:17" ht="23.25" customHeight="1">
      <c r="A4" s="965">
        <f>MENU!Y15</f>
        <v>45006.708333333336</v>
      </c>
      <c r="B4" s="949" t="s">
        <v>268</v>
      </c>
      <c r="C4" s="950"/>
      <c r="E4" s="943" t="b">
        <f>ISNUMBER(#REF!)</f>
        <v>0</v>
      </c>
      <c r="F4" s="943" t="b">
        <f>ISNUMBER(#REF!)</f>
        <v>0</v>
      </c>
      <c r="G4" s="943" t="b">
        <f>ISNUMBER(#REF!)</f>
        <v>0</v>
      </c>
      <c r="H4" s="943" t="b">
        <f>ISNUMBER(#REF!)</f>
        <v>0</v>
      </c>
      <c r="I4" s="943" t="b">
        <f t="shared" ref="I4:I26" si="0">ISNUMBER(C4)</f>
        <v>0</v>
      </c>
      <c r="J4" s="943" t="b">
        <f>ISNUMBER(#REF!)</f>
        <v>0</v>
      </c>
      <c r="K4" s="943" t="b">
        <f>ISNUMBER(#REF!)</f>
        <v>0</v>
      </c>
      <c r="L4" s="943" t="b">
        <f>ISNUMBER(#REF!)</f>
        <v>0</v>
      </c>
      <c r="M4" s="943" t="b">
        <f>ISNUMBER(#REF!)</f>
        <v>0</v>
      </c>
      <c r="N4" s="943" t="b">
        <f>ISNUMBER(#REF!)</f>
        <v>0</v>
      </c>
      <c r="O4" s="943" t="b">
        <f>ISNUMBER(#REF!)</f>
        <v>0</v>
      </c>
      <c r="P4" s="943" t="b">
        <f>ISNUMBER(#REF!)</f>
        <v>0</v>
      </c>
      <c r="Q4" s="951">
        <f t="shared" ref="Q4:Q26" si="1">IF(I4=TRUE,"",1)</f>
        <v>1</v>
      </c>
    </row>
    <row r="5" spans="1:17" s="954" customFormat="1" ht="23.25" customHeight="1">
      <c r="A5" s="981">
        <f t="shared" ref="A5:A28" si="2">IF(B5="","",$A$4)</f>
        <v>45006.708333333336</v>
      </c>
      <c r="B5" s="952" t="s">
        <v>459</v>
      </c>
      <c r="C5" s="953">
        <f t="shared" ref="C5:C33" si="3">IFERROR(VLOOKUP($B5,RLMLXD,20,0),"")</f>
        <v>0</v>
      </c>
      <c r="E5" s="954" t="b">
        <f>ISNUMBER(#REF!)</f>
        <v>0</v>
      </c>
      <c r="F5" s="954" t="b">
        <f>ISNUMBER(#REF!)</f>
        <v>0</v>
      </c>
      <c r="G5" s="954" t="b">
        <f>ISNUMBER(#REF!)</f>
        <v>0</v>
      </c>
      <c r="H5" s="954" t="b">
        <f>ISNUMBER(#REF!)</f>
        <v>0</v>
      </c>
      <c r="I5" s="954" t="b">
        <f t="shared" si="0"/>
        <v>1</v>
      </c>
      <c r="J5" s="954" t="b">
        <f>ISNUMBER(#REF!)</f>
        <v>0</v>
      </c>
      <c r="K5" s="954" t="b">
        <f>ISNUMBER(#REF!)</f>
        <v>0</v>
      </c>
      <c r="L5" s="954" t="b">
        <f>ISNUMBER(#REF!)</f>
        <v>0</v>
      </c>
      <c r="M5" s="954" t="b">
        <f>ISNUMBER(#REF!)</f>
        <v>0</v>
      </c>
      <c r="N5" s="954" t="b">
        <f>ISNUMBER(#REF!)</f>
        <v>0</v>
      </c>
      <c r="O5" s="954" t="b">
        <f>ISNUMBER(#REF!)</f>
        <v>0</v>
      </c>
      <c r="P5" s="954" t="b">
        <f>ISNUMBER(#REF!)</f>
        <v>0</v>
      </c>
      <c r="Q5" s="952" t="str">
        <f t="shared" si="1"/>
        <v/>
      </c>
    </row>
    <row r="6" spans="1:17" ht="23.25" customHeight="1">
      <c r="A6" s="968">
        <f t="shared" si="2"/>
        <v>45006.708333333336</v>
      </c>
      <c r="B6" s="949" t="s">
        <v>463</v>
      </c>
      <c r="C6" s="950">
        <f t="shared" si="3"/>
        <v>0</v>
      </c>
      <c r="E6" s="943" t="b">
        <f>ISNUMBER(#REF!)</f>
        <v>0</v>
      </c>
      <c r="F6" s="943" t="b">
        <f>ISNUMBER(#REF!)</f>
        <v>0</v>
      </c>
      <c r="G6" s="943" t="b">
        <f>ISNUMBER(#REF!)</f>
        <v>0</v>
      </c>
      <c r="H6" s="943" t="b">
        <f>ISNUMBER(#REF!)</f>
        <v>0</v>
      </c>
      <c r="I6" s="943" t="b">
        <f t="shared" si="0"/>
        <v>1</v>
      </c>
      <c r="J6" s="943" t="b">
        <f>ISNUMBER(#REF!)</f>
        <v>0</v>
      </c>
      <c r="K6" s="943" t="b">
        <f>ISNUMBER(#REF!)</f>
        <v>0</v>
      </c>
      <c r="L6" s="943" t="b">
        <f>ISNUMBER(#REF!)</f>
        <v>0</v>
      </c>
      <c r="M6" s="943" t="b">
        <f>ISNUMBER(#REF!)</f>
        <v>0</v>
      </c>
      <c r="N6" s="943" t="b">
        <f>ISNUMBER(#REF!)</f>
        <v>0</v>
      </c>
      <c r="O6" s="943" t="b">
        <f>ISNUMBER(#REF!)</f>
        <v>0</v>
      </c>
      <c r="P6" s="943" t="b">
        <f>ISNUMBER(#REF!)</f>
        <v>0</v>
      </c>
      <c r="Q6" s="951" t="str">
        <f t="shared" si="1"/>
        <v/>
      </c>
    </row>
    <row r="7" spans="1:17" ht="23.25" customHeight="1">
      <c r="A7" s="968">
        <f t="shared" si="2"/>
        <v>45006.708333333336</v>
      </c>
      <c r="B7" s="949" t="s">
        <v>464</v>
      </c>
      <c r="C7" s="950">
        <f t="shared" si="3"/>
        <v>0</v>
      </c>
      <c r="E7" s="943" t="b">
        <f>ISNUMBER(#REF!)</f>
        <v>0</v>
      </c>
      <c r="F7" s="943" t="b">
        <f>ISNUMBER(#REF!)</f>
        <v>0</v>
      </c>
      <c r="G7" s="943" t="b">
        <f>ISNUMBER(#REF!)</f>
        <v>0</v>
      </c>
      <c r="H7" s="943" t="b">
        <f>ISNUMBER(#REF!)</f>
        <v>0</v>
      </c>
      <c r="I7" s="943" t="b">
        <f t="shared" si="0"/>
        <v>1</v>
      </c>
      <c r="J7" s="943" t="b">
        <f>ISNUMBER(#REF!)</f>
        <v>0</v>
      </c>
      <c r="K7" s="943" t="b">
        <f>ISNUMBER(#REF!)</f>
        <v>0</v>
      </c>
      <c r="L7" s="943" t="b">
        <f>ISNUMBER(#REF!)</f>
        <v>0</v>
      </c>
      <c r="M7" s="943" t="b">
        <f>ISNUMBER(#REF!)</f>
        <v>0</v>
      </c>
      <c r="N7" s="943" t="b">
        <f>ISNUMBER(#REF!)</f>
        <v>0</v>
      </c>
      <c r="O7" s="943" t="b">
        <f>ISNUMBER(#REF!)</f>
        <v>0</v>
      </c>
      <c r="P7" s="943" t="b">
        <f>ISNUMBER(#REF!)</f>
        <v>0</v>
      </c>
      <c r="Q7" s="951" t="str">
        <f t="shared" si="1"/>
        <v/>
      </c>
    </row>
    <row r="8" spans="1:17" ht="23.25" customHeight="1">
      <c r="A8" s="968">
        <f t="shared" si="2"/>
        <v>45006.708333333336</v>
      </c>
      <c r="B8" s="949" t="s">
        <v>467</v>
      </c>
      <c r="C8" s="950">
        <f t="shared" si="3"/>
        <v>0</v>
      </c>
      <c r="E8" s="943" t="b">
        <f>ISNUMBER(#REF!)</f>
        <v>0</v>
      </c>
      <c r="F8" s="943" t="b">
        <f>ISNUMBER(#REF!)</f>
        <v>0</v>
      </c>
      <c r="G8" s="943" t="b">
        <f>ISNUMBER(#REF!)</f>
        <v>0</v>
      </c>
      <c r="H8" s="943" t="b">
        <f>ISNUMBER(#REF!)</f>
        <v>0</v>
      </c>
      <c r="I8" s="943" t="b">
        <f t="shared" si="0"/>
        <v>1</v>
      </c>
      <c r="J8" s="943" t="b">
        <f>ISNUMBER(#REF!)</f>
        <v>0</v>
      </c>
      <c r="K8" s="943" t="b">
        <f>ISNUMBER(#REF!)</f>
        <v>0</v>
      </c>
      <c r="L8" s="943" t="b">
        <f>ISNUMBER(#REF!)</f>
        <v>0</v>
      </c>
      <c r="M8" s="943" t="b">
        <f>ISNUMBER(#REF!)</f>
        <v>0</v>
      </c>
      <c r="N8" s="943" t="b">
        <f>ISNUMBER(#REF!)</f>
        <v>0</v>
      </c>
      <c r="O8" s="943" t="b">
        <f>ISNUMBER(#REF!)</f>
        <v>0</v>
      </c>
      <c r="P8" s="943" t="b">
        <f>ISNUMBER(#REF!)</f>
        <v>0</v>
      </c>
      <c r="Q8" s="951" t="str">
        <f t="shared" si="1"/>
        <v/>
      </c>
    </row>
    <row r="9" spans="1:17" ht="23.25" customHeight="1">
      <c r="A9" s="968">
        <f t="shared" si="2"/>
        <v>45006.708333333336</v>
      </c>
      <c r="B9" s="949" t="s">
        <v>468</v>
      </c>
      <c r="C9" s="950">
        <f t="shared" si="3"/>
        <v>0</v>
      </c>
      <c r="E9" s="943" t="b">
        <f>ISNUMBER(#REF!)</f>
        <v>0</v>
      </c>
      <c r="F9" s="943" t="b">
        <f>ISNUMBER(#REF!)</f>
        <v>0</v>
      </c>
      <c r="G9" s="943" t="b">
        <f>ISNUMBER(#REF!)</f>
        <v>0</v>
      </c>
      <c r="H9" s="943" t="b">
        <f>ISNUMBER(#REF!)</f>
        <v>0</v>
      </c>
      <c r="I9" s="943" t="b">
        <f t="shared" si="0"/>
        <v>1</v>
      </c>
      <c r="J9" s="943" t="b">
        <f>ISNUMBER(#REF!)</f>
        <v>0</v>
      </c>
      <c r="K9" s="943" t="b">
        <f>ISNUMBER(#REF!)</f>
        <v>0</v>
      </c>
      <c r="L9" s="943" t="b">
        <f>ISNUMBER(#REF!)</f>
        <v>0</v>
      </c>
      <c r="M9" s="943" t="b">
        <f>ISNUMBER(#REF!)</f>
        <v>0</v>
      </c>
      <c r="N9" s="943" t="b">
        <f>ISNUMBER(#REF!)</f>
        <v>0</v>
      </c>
      <c r="O9" s="943" t="b">
        <f>ISNUMBER(#REF!)</f>
        <v>0</v>
      </c>
      <c r="P9" s="943" t="b">
        <f>ISNUMBER(#REF!)</f>
        <v>0</v>
      </c>
      <c r="Q9" s="951" t="str">
        <f t="shared" si="1"/>
        <v/>
      </c>
    </row>
    <row r="10" spans="1:17" ht="23.25" customHeight="1">
      <c r="A10" s="968">
        <f t="shared" si="2"/>
        <v>45006.708333333336</v>
      </c>
      <c r="B10" s="949" t="s">
        <v>470</v>
      </c>
      <c r="C10" s="950">
        <f t="shared" si="3"/>
        <v>0</v>
      </c>
      <c r="E10" s="943" t="b">
        <f>ISNUMBER(#REF!)</f>
        <v>0</v>
      </c>
      <c r="F10" s="943" t="b">
        <f>ISNUMBER(#REF!)</f>
        <v>0</v>
      </c>
      <c r="G10" s="943" t="b">
        <f>ISNUMBER(#REF!)</f>
        <v>0</v>
      </c>
      <c r="H10" s="943" t="b">
        <f>ISNUMBER(#REF!)</f>
        <v>0</v>
      </c>
      <c r="I10" s="943" t="b">
        <f t="shared" si="0"/>
        <v>1</v>
      </c>
      <c r="J10" s="943" t="b">
        <f>ISNUMBER(#REF!)</f>
        <v>0</v>
      </c>
      <c r="K10" s="943" t="b">
        <f>ISNUMBER(#REF!)</f>
        <v>0</v>
      </c>
      <c r="L10" s="943" t="b">
        <f>ISNUMBER(#REF!)</f>
        <v>0</v>
      </c>
      <c r="M10" s="943" t="b">
        <f>ISNUMBER(#REF!)</f>
        <v>0</v>
      </c>
      <c r="N10" s="943" t="b">
        <f>ISNUMBER(#REF!)</f>
        <v>0</v>
      </c>
      <c r="O10" s="943" t="b">
        <f>ISNUMBER(#REF!)</f>
        <v>0</v>
      </c>
      <c r="P10" s="943" t="b">
        <f>ISNUMBER(#REF!)</f>
        <v>0</v>
      </c>
      <c r="Q10" s="951" t="str">
        <f t="shared" si="1"/>
        <v/>
      </c>
    </row>
    <row r="11" spans="1:17" ht="23.25" customHeight="1">
      <c r="A11" s="968">
        <f t="shared" si="2"/>
        <v>45006.708333333336</v>
      </c>
      <c r="B11" s="949" t="s">
        <v>472</v>
      </c>
      <c r="C11" s="950">
        <f t="shared" si="3"/>
        <v>0</v>
      </c>
      <c r="E11" s="943" t="b">
        <f>ISNUMBER(#REF!)</f>
        <v>0</v>
      </c>
      <c r="F11" s="943" t="b">
        <f>ISNUMBER(#REF!)</f>
        <v>0</v>
      </c>
      <c r="G11" s="943" t="b">
        <f>ISNUMBER(#REF!)</f>
        <v>0</v>
      </c>
      <c r="H11" s="943" t="b">
        <f>ISNUMBER(#REF!)</f>
        <v>0</v>
      </c>
      <c r="I11" s="943" t="b">
        <f t="shared" si="0"/>
        <v>1</v>
      </c>
      <c r="J11" s="943" t="b">
        <f>ISNUMBER(#REF!)</f>
        <v>0</v>
      </c>
      <c r="K11" s="943" t="b">
        <f>ISNUMBER(#REF!)</f>
        <v>0</v>
      </c>
      <c r="L11" s="943" t="b">
        <f>ISNUMBER(#REF!)</f>
        <v>0</v>
      </c>
      <c r="M11" s="943" t="b">
        <f>ISNUMBER(#REF!)</f>
        <v>0</v>
      </c>
      <c r="N11" s="943" t="b">
        <f>ISNUMBER(#REF!)</f>
        <v>0</v>
      </c>
      <c r="O11" s="943" t="b">
        <f>ISNUMBER(#REF!)</f>
        <v>0</v>
      </c>
      <c r="P11" s="943" t="b">
        <f>ISNUMBER(#REF!)</f>
        <v>0</v>
      </c>
      <c r="Q11" s="951" t="str">
        <f t="shared" si="1"/>
        <v/>
      </c>
    </row>
    <row r="12" spans="1:17" ht="23.25" customHeight="1">
      <c r="A12" s="968">
        <f t="shared" si="2"/>
        <v>45006.708333333336</v>
      </c>
      <c r="B12" s="949" t="s">
        <v>473</v>
      </c>
      <c r="C12" s="950">
        <f t="shared" si="3"/>
        <v>0</v>
      </c>
      <c r="E12" s="943" t="b">
        <f>ISNUMBER(#REF!)</f>
        <v>0</v>
      </c>
      <c r="F12" s="943" t="b">
        <f>ISNUMBER(#REF!)</f>
        <v>0</v>
      </c>
      <c r="G12" s="943" t="b">
        <f>ISNUMBER(#REF!)</f>
        <v>0</v>
      </c>
      <c r="H12" s="943" t="b">
        <f>ISNUMBER(#REF!)</f>
        <v>0</v>
      </c>
      <c r="I12" s="943" t="b">
        <f t="shared" si="0"/>
        <v>1</v>
      </c>
      <c r="J12" s="943" t="b">
        <f>ISNUMBER(#REF!)</f>
        <v>0</v>
      </c>
      <c r="K12" s="943" t="b">
        <f>ISNUMBER(#REF!)</f>
        <v>0</v>
      </c>
      <c r="L12" s="943" t="b">
        <f>ISNUMBER(#REF!)</f>
        <v>0</v>
      </c>
      <c r="M12" s="943" t="b">
        <f>ISNUMBER(#REF!)</f>
        <v>0</v>
      </c>
      <c r="N12" s="943" t="b">
        <f>ISNUMBER(#REF!)</f>
        <v>0</v>
      </c>
      <c r="O12" s="943" t="b">
        <f>ISNUMBER(#REF!)</f>
        <v>0</v>
      </c>
      <c r="P12" s="943" t="b">
        <f>ISNUMBER(#REF!)</f>
        <v>0</v>
      </c>
      <c r="Q12" s="951" t="str">
        <f t="shared" si="1"/>
        <v/>
      </c>
    </row>
    <row r="13" spans="1:17" ht="23.25" customHeight="1">
      <c r="A13" s="968">
        <f t="shared" si="2"/>
        <v>45006.708333333336</v>
      </c>
      <c r="B13" s="949" t="s">
        <v>474</v>
      </c>
      <c r="C13" s="950">
        <f t="shared" si="3"/>
        <v>0</v>
      </c>
      <c r="E13" s="943" t="b">
        <f>ISNUMBER(#REF!)</f>
        <v>0</v>
      </c>
      <c r="F13" s="943" t="b">
        <f>ISNUMBER(#REF!)</f>
        <v>0</v>
      </c>
      <c r="G13" s="943" t="b">
        <f>ISNUMBER(#REF!)</f>
        <v>0</v>
      </c>
      <c r="H13" s="943" t="b">
        <f>ISNUMBER(#REF!)</f>
        <v>0</v>
      </c>
      <c r="I13" s="943" t="b">
        <f t="shared" si="0"/>
        <v>1</v>
      </c>
      <c r="J13" s="943" t="b">
        <f>ISNUMBER(#REF!)</f>
        <v>0</v>
      </c>
      <c r="K13" s="943" t="b">
        <f>ISNUMBER(#REF!)</f>
        <v>0</v>
      </c>
      <c r="L13" s="943" t="b">
        <f>ISNUMBER(#REF!)</f>
        <v>0</v>
      </c>
      <c r="M13" s="943" t="b">
        <f>ISNUMBER(#REF!)</f>
        <v>0</v>
      </c>
      <c r="N13" s="943" t="b">
        <f>ISNUMBER(#REF!)</f>
        <v>0</v>
      </c>
      <c r="O13" s="943" t="b">
        <f>ISNUMBER(#REF!)</f>
        <v>0</v>
      </c>
      <c r="P13" s="943" t="b">
        <f>ISNUMBER(#REF!)</f>
        <v>0</v>
      </c>
      <c r="Q13" s="951" t="str">
        <f t="shared" si="1"/>
        <v/>
      </c>
    </row>
    <row r="14" spans="1:17" ht="23.25" customHeight="1">
      <c r="A14" s="968">
        <f t="shared" si="2"/>
        <v>45006.708333333336</v>
      </c>
      <c r="B14" s="949" t="s">
        <v>477</v>
      </c>
      <c r="C14" s="950">
        <f t="shared" si="3"/>
        <v>0</v>
      </c>
      <c r="E14" s="943" t="b">
        <f>ISNUMBER(#REF!)</f>
        <v>0</v>
      </c>
      <c r="F14" s="943" t="b">
        <f>ISNUMBER(#REF!)</f>
        <v>0</v>
      </c>
      <c r="G14" s="943" t="b">
        <f>ISNUMBER(#REF!)</f>
        <v>0</v>
      </c>
      <c r="H14" s="943" t="b">
        <f>ISNUMBER(#REF!)</f>
        <v>0</v>
      </c>
      <c r="I14" s="943" t="b">
        <f t="shared" si="0"/>
        <v>1</v>
      </c>
      <c r="J14" s="943" t="b">
        <f>ISNUMBER(#REF!)</f>
        <v>0</v>
      </c>
      <c r="K14" s="943" t="b">
        <f>ISNUMBER(#REF!)</f>
        <v>0</v>
      </c>
      <c r="L14" s="943" t="b">
        <f>ISNUMBER(#REF!)</f>
        <v>0</v>
      </c>
      <c r="M14" s="943" t="b">
        <f>ISNUMBER(#REF!)</f>
        <v>0</v>
      </c>
      <c r="N14" s="943" t="b">
        <f>ISNUMBER(#REF!)</f>
        <v>0</v>
      </c>
      <c r="O14" s="943" t="b">
        <f>ISNUMBER(#REF!)</f>
        <v>0</v>
      </c>
      <c r="P14" s="943" t="b">
        <f>ISNUMBER(#REF!)</f>
        <v>0</v>
      </c>
      <c r="Q14" s="951" t="str">
        <f t="shared" si="1"/>
        <v/>
      </c>
    </row>
    <row r="15" spans="1:17" ht="23.25" customHeight="1">
      <c r="A15" s="968">
        <f t="shared" si="2"/>
        <v>45006.708333333336</v>
      </c>
      <c r="B15" s="949" t="s">
        <v>982</v>
      </c>
      <c r="C15" s="950">
        <f t="shared" si="3"/>
        <v>0</v>
      </c>
      <c r="E15" s="943" t="b">
        <f>ISNUMBER(#REF!)</f>
        <v>0</v>
      </c>
      <c r="F15" s="943" t="b">
        <f>ISNUMBER(#REF!)</f>
        <v>0</v>
      </c>
      <c r="G15" s="943" t="b">
        <f>ISNUMBER(#REF!)</f>
        <v>0</v>
      </c>
      <c r="H15" s="943" t="b">
        <f>ISNUMBER(#REF!)</f>
        <v>0</v>
      </c>
      <c r="I15" s="943" t="b">
        <f t="shared" si="0"/>
        <v>1</v>
      </c>
      <c r="J15" s="943" t="b">
        <f>ISNUMBER(#REF!)</f>
        <v>0</v>
      </c>
      <c r="K15" s="943" t="b">
        <f>ISNUMBER(#REF!)</f>
        <v>0</v>
      </c>
      <c r="L15" s="943" t="b">
        <f>ISNUMBER(#REF!)</f>
        <v>0</v>
      </c>
      <c r="M15" s="943" t="b">
        <f>ISNUMBER(#REF!)</f>
        <v>0</v>
      </c>
      <c r="N15" s="943" t="b">
        <f>ISNUMBER(#REF!)</f>
        <v>0</v>
      </c>
      <c r="O15" s="943" t="b">
        <f>ISNUMBER(#REF!)</f>
        <v>0</v>
      </c>
      <c r="P15" s="943" t="b">
        <f>ISNUMBER(#REF!)</f>
        <v>0</v>
      </c>
      <c r="Q15" s="951" t="str">
        <f t="shared" si="1"/>
        <v/>
      </c>
    </row>
    <row r="16" spans="1:17" ht="23.25" customHeight="1">
      <c r="A16" s="968">
        <f t="shared" si="2"/>
        <v>45006.708333333336</v>
      </c>
      <c r="B16" s="949" t="s">
        <v>983</v>
      </c>
      <c r="C16" s="950">
        <f t="shared" si="3"/>
        <v>0</v>
      </c>
      <c r="E16" s="943" t="b">
        <f>ISNUMBER(#REF!)</f>
        <v>0</v>
      </c>
      <c r="F16" s="943" t="b">
        <f>ISNUMBER(#REF!)</f>
        <v>0</v>
      </c>
      <c r="G16" s="943" t="b">
        <f>ISNUMBER(#REF!)</f>
        <v>0</v>
      </c>
      <c r="H16" s="943" t="b">
        <f>ISNUMBER(#REF!)</f>
        <v>0</v>
      </c>
      <c r="I16" s="943" t="b">
        <f t="shared" si="0"/>
        <v>1</v>
      </c>
      <c r="J16" s="943" t="b">
        <f>ISNUMBER(#REF!)</f>
        <v>0</v>
      </c>
      <c r="K16" s="943" t="b">
        <f>ISNUMBER(#REF!)</f>
        <v>0</v>
      </c>
      <c r="L16" s="943" t="b">
        <f>ISNUMBER(#REF!)</f>
        <v>0</v>
      </c>
      <c r="M16" s="943" t="b">
        <f>ISNUMBER(#REF!)</f>
        <v>0</v>
      </c>
      <c r="N16" s="943" t="b">
        <f>ISNUMBER(#REF!)</f>
        <v>0</v>
      </c>
      <c r="O16" s="943" t="b">
        <f>ISNUMBER(#REF!)</f>
        <v>0</v>
      </c>
      <c r="P16" s="943" t="b">
        <f>ISNUMBER(#REF!)</f>
        <v>0</v>
      </c>
      <c r="Q16" s="951" t="str">
        <f t="shared" si="1"/>
        <v/>
      </c>
    </row>
    <row r="17" spans="1:17" ht="23.25" customHeight="1">
      <c r="A17" s="968">
        <f t="shared" si="2"/>
        <v>45006.708333333336</v>
      </c>
      <c r="B17" s="949" t="s">
        <v>987</v>
      </c>
      <c r="C17" s="950">
        <f t="shared" si="3"/>
        <v>0</v>
      </c>
      <c r="E17" s="943" t="b">
        <f>ISNUMBER(#REF!)</f>
        <v>0</v>
      </c>
      <c r="F17" s="943" t="b">
        <f>ISNUMBER(#REF!)</f>
        <v>0</v>
      </c>
      <c r="G17" s="943" t="b">
        <f>ISNUMBER(#REF!)</f>
        <v>0</v>
      </c>
      <c r="H17" s="943" t="b">
        <f>ISNUMBER(#REF!)</f>
        <v>0</v>
      </c>
      <c r="I17" s="943" t="b">
        <f t="shared" si="0"/>
        <v>1</v>
      </c>
      <c r="J17" s="943" t="b">
        <f>ISNUMBER(#REF!)</f>
        <v>0</v>
      </c>
      <c r="K17" s="943" t="b">
        <f>ISNUMBER(#REF!)</f>
        <v>0</v>
      </c>
      <c r="L17" s="943" t="b">
        <f>ISNUMBER(#REF!)</f>
        <v>0</v>
      </c>
      <c r="M17" s="943" t="b">
        <f>ISNUMBER(#REF!)</f>
        <v>0</v>
      </c>
      <c r="N17" s="943" t="b">
        <f>ISNUMBER(#REF!)</f>
        <v>0</v>
      </c>
      <c r="O17" s="943" t="b">
        <f>ISNUMBER(#REF!)</f>
        <v>0</v>
      </c>
      <c r="P17" s="943" t="b">
        <f>ISNUMBER(#REF!)</f>
        <v>0</v>
      </c>
      <c r="Q17" s="951" t="str">
        <f t="shared" si="1"/>
        <v/>
      </c>
    </row>
    <row r="18" spans="1:17" ht="23.25" customHeight="1">
      <c r="A18" s="968">
        <f t="shared" si="2"/>
        <v>45006.708333333336</v>
      </c>
      <c r="B18" s="949" t="s">
        <v>989</v>
      </c>
      <c r="C18" s="950">
        <f t="shared" si="3"/>
        <v>0</v>
      </c>
      <c r="E18" s="943" t="b">
        <f>ISNUMBER(#REF!)</f>
        <v>0</v>
      </c>
      <c r="F18" s="943" t="b">
        <f>ISNUMBER(#REF!)</f>
        <v>0</v>
      </c>
      <c r="G18" s="943" t="b">
        <f>ISNUMBER(#REF!)</f>
        <v>0</v>
      </c>
      <c r="H18" s="943" t="b">
        <f>ISNUMBER(#REF!)</f>
        <v>0</v>
      </c>
      <c r="I18" s="943" t="b">
        <f t="shared" si="0"/>
        <v>1</v>
      </c>
      <c r="J18" s="943" t="b">
        <f>ISNUMBER(#REF!)</f>
        <v>0</v>
      </c>
      <c r="K18" s="943" t="b">
        <f>ISNUMBER(#REF!)</f>
        <v>0</v>
      </c>
      <c r="L18" s="943" t="b">
        <f>ISNUMBER(#REF!)</f>
        <v>0</v>
      </c>
      <c r="M18" s="943" t="b">
        <f>ISNUMBER(#REF!)</f>
        <v>0</v>
      </c>
      <c r="N18" s="943" t="b">
        <f>ISNUMBER(#REF!)</f>
        <v>0</v>
      </c>
      <c r="O18" s="943" t="b">
        <f>ISNUMBER(#REF!)</f>
        <v>0</v>
      </c>
      <c r="P18" s="943" t="b">
        <f>ISNUMBER(#REF!)</f>
        <v>0</v>
      </c>
      <c r="Q18" s="951" t="str">
        <f t="shared" si="1"/>
        <v/>
      </c>
    </row>
    <row r="19" spans="1:17" ht="23.25" customHeight="1">
      <c r="A19" s="968">
        <f t="shared" si="2"/>
        <v>45006.708333333336</v>
      </c>
      <c r="B19" s="949" t="s">
        <v>990</v>
      </c>
      <c r="C19" s="950">
        <f t="shared" si="3"/>
        <v>0</v>
      </c>
      <c r="E19" s="943" t="b">
        <f>ISNUMBER(#REF!)</f>
        <v>0</v>
      </c>
      <c r="F19" s="943" t="b">
        <f>ISNUMBER(#REF!)</f>
        <v>0</v>
      </c>
      <c r="G19" s="943" t="b">
        <f>ISNUMBER(#REF!)</f>
        <v>0</v>
      </c>
      <c r="H19" s="943" t="b">
        <f>ISNUMBER(#REF!)</f>
        <v>0</v>
      </c>
      <c r="I19" s="943" t="b">
        <f t="shared" si="0"/>
        <v>1</v>
      </c>
      <c r="J19" s="943" t="b">
        <f>ISNUMBER(#REF!)</f>
        <v>0</v>
      </c>
      <c r="K19" s="943" t="b">
        <f>ISNUMBER(#REF!)</f>
        <v>0</v>
      </c>
      <c r="L19" s="943" t="b">
        <f>ISNUMBER(#REF!)</f>
        <v>0</v>
      </c>
      <c r="M19" s="943" t="b">
        <f>ISNUMBER(#REF!)</f>
        <v>0</v>
      </c>
      <c r="N19" s="943" t="b">
        <f>ISNUMBER(#REF!)</f>
        <v>0</v>
      </c>
      <c r="O19" s="943" t="b">
        <f>ISNUMBER(#REF!)</f>
        <v>0</v>
      </c>
      <c r="P19" s="943" t="b">
        <f>ISNUMBER(#REF!)</f>
        <v>0</v>
      </c>
      <c r="Q19" s="951" t="str">
        <f t="shared" si="1"/>
        <v/>
      </c>
    </row>
    <row r="20" spans="1:17" ht="23.25" customHeight="1">
      <c r="A20" s="968">
        <f t="shared" si="2"/>
        <v>45006.708333333336</v>
      </c>
      <c r="B20" s="949" t="s">
        <v>985</v>
      </c>
      <c r="C20" s="950">
        <f t="shared" si="3"/>
        <v>0</v>
      </c>
      <c r="E20" s="943" t="b">
        <f>ISNUMBER(#REF!)</f>
        <v>0</v>
      </c>
      <c r="F20" s="943" t="b">
        <f>ISNUMBER(#REF!)</f>
        <v>0</v>
      </c>
      <c r="G20" s="943" t="b">
        <f>ISNUMBER(#REF!)</f>
        <v>0</v>
      </c>
      <c r="H20" s="943" t="b">
        <f>ISNUMBER(#REF!)</f>
        <v>0</v>
      </c>
      <c r="I20" s="943" t="b">
        <f t="shared" si="0"/>
        <v>1</v>
      </c>
      <c r="J20" s="943" t="b">
        <f>ISNUMBER(#REF!)</f>
        <v>0</v>
      </c>
      <c r="K20" s="943" t="b">
        <f>ISNUMBER(#REF!)</f>
        <v>0</v>
      </c>
      <c r="L20" s="943" t="b">
        <f>ISNUMBER(#REF!)</f>
        <v>0</v>
      </c>
      <c r="M20" s="943" t="b">
        <f>ISNUMBER(#REF!)</f>
        <v>0</v>
      </c>
      <c r="N20" s="943" t="b">
        <f>ISNUMBER(#REF!)</f>
        <v>0</v>
      </c>
      <c r="O20" s="943" t="b">
        <f>ISNUMBER(#REF!)</f>
        <v>0</v>
      </c>
      <c r="P20" s="943" t="b">
        <f>ISNUMBER(#REF!)</f>
        <v>0</v>
      </c>
      <c r="Q20" s="951" t="str">
        <f t="shared" si="1"/>
        <v/>
      </c>
    </row>
    <row r="21" spans="1:17" ht="23.25" customHeight="1">
      <c r="A21" s="968">
        <f t="shared" si="2"/>
        <v>45006.708333333336</v>
      </c>
      <c r="B21" s="949" t="s">
        <v>986</v>
      </c>
      <c r="C21" s="950">
        <f t="shared" si="3"/>
        <v>0</v>
      </c>
      <c r="E21" s="943" t="b">
        <f>ISNUMBER(#REF!)</f>
        <v>0</v>
      </c>
      <c r="F21" s="943" t="b">
        <f>ISNUMBER(#REF!)</f>
        <v>0</v>
      </c>
      <c r="G21" s="943" t="b">
        <f>ISNUMBER(#REF!)</f>
        <v>0</v>
      </c>
      <c r="H21" s="943" t="b">
        <f>ISNUMBER(#REF!)</f>
        <v>0</v>
      </c>
      <c r="I21" s="943" t="b">
        <f t="shared" si="0"/>
        <v>1</v>
      </c>
      <c r="J21" s="943" t="b">
        <f>ISNUMBER(#REF!)</f>
        <v>0</v>
      </c>
      <c r="K21" s="943" t="b">
        <f>ISNUMBER(#REF!)</f>
        <v>0</v>
      </c>
      <c r="L21" s="943" t="b">
        <f>ISNUMBER(#REF!)</f>
        <v>0</v>
      </c>
      <c r="M21" s="943" t="b">
        <f>ISNUMBER(#REF!)</f>
        <v>0</v>
      </c>
      <c r="N21" s="943" t="b">
        <f>ISNUMBER(#REF!)</f>
        <v>0</v>
      </c>
      <c r="O21" s="943" t="b">
        <f>ISNUMBER(#REF!)</f>
        <v>0</v>
      </c>
      <c r="P21" s="943" t="b">
        <f>ISNUMBER(#REF!)</f>
        <v>0</v>
      </c>
      <c r="Q21" s="951" t="str">
        <f t="shared" si="1"/>
        <v/>
      </c>
    </row>
    <row r="22" spans="1:17" ht="23.25" customHeight="1">
      <c r="A22" s="968">
        <f t="shared" si="2"/>
        <v>45006.708333333336</v>
      </c>
      <c r="B22" s="949" t="s">
        <v>916</v>
      </c>
      <c r="C22" s="950">
        <f t="shared" si="3"/>
        <v>0</v>
      </c>
      <c r="E22" s="943" t="b">
        <f>ISNUMBER(#REF!)</f>
        <v>0</v>
      </c>
      <c r="F22" s="943" t="b">
        <f>ISNUMBER(#REF!)</f>
        <v>0</v>
      </c>
      <c r="G22" s="943" t="b">
        <f>ISNUMBER(#REF!)</f>
        <v>0</v>
      </c>
      <c r="H22" s="943" t="b">
        <f>ISNUMBER(#REF!)</f>
        <v>0</v>
      </c>
      <c r="I22" s="943" t="b">
        <f t="shared" si="0"/>
        <v>1</v>
      </c>
      <c r="J22" s="943" t="b">
        <f>ISNUMBER(#REF!)</f>
        <v>0</v>
      </c>
      <c r="K22" s="943" t="b">
        <f>ISNUMBER(#REF!)</f>
        <v>0</v>
      </c>
      <c r="L22" s="943" t="b">
        <f>ISNUMBER(#REF!)</f>
        <v>0</v>
      </c>
      <c r="M22" s="943" t="b">
        <f>ISNUMBER(#REF!)</f>
        <v>0</v>
      </c>
      <c r="N22" s="943" t="b">
        <f>ISNUMBER(#REF!)</f>
        <v>0</v>
      </c>
      <c r="O22" s="943" t="b">
        <f>ISNUMBER(#REF!)</f>
        <v>0</v>
      </c>
      <c r="P22" s="943" t="b">
        <f>ISNUMBER(#REF!)</f>
        <v>0</v>
      </c>
      <c r="Q22" s="951" t="str">
        <f t="shared" si="1"/>
        <v/>
      </c>
    </row>
    <row r="23" spans="1:17" ht="23.25" customHeight="1">
      <c r="A23" s="968">
        <f t="shared" si="2"/>
        <v>45006.708333333336</v>
      </c>
      <c r="B23" s="949" t="s">
        <v>915</v>
      </c>
      <c r="C23" s="950">
        <f t="shared" si="3"/>
        <v>0</v>
      </c>
      <c r="E23" s="943" t="b">
        <f>ISNUMBER(#REF!)</f>
        <v>0</v>
      </c>
      <c r="F23" s="943" t="b">
        <f>ISNUMBER(#REF!)</f>
        <v>0</v>
      </c>
      <c r="G23" s="943" t="b">
        <f>ISNUMBER(#REF!)</f>
        <v>0</v>
      </c>
      <c r="H23" s="943" t="b">
        <f>ISNUMBER(#REF!)</f>
        <v>0</v>
      </c>
      <c r="I23" s="943" t="b">
        <f t="shared" si="0"/>
        <v>1</v>
      </c>
      <c r="J23" s="943" t="b">
        <f>ISNUMBER(#REF!)</f>
        <v>0</v>
      </c>
      <c r="K23" s="943" t="b">
        <f>ISNUMBER(#REF!)</f>
        <v>0</v>
      </c>
      <c r="L23" s="943" t="b">
        <f>ISNUMBER(#REF!)</f>
        <v>0</v>
      </c>
      <c r="M23" s="943" t="b">
        <f>ISNUMBER(#REF!)</f>
        <v>0</v>
      </c>
      <c r="N23" s="943" t="b">
        <f>ISNUMBER(#REF!)</f>
        <v>0</v>
      </c>
      <c r="O23" s="943" t="b">
        <f>ISNUMBER(#REF!)</f>
        <v>0</v>
      </c>
      <c r="P23" s="943" t="b">
        <f>ISNUMBER(#REF!)</f>
        <v>0</v>
      </c>
      <c r="Q23" s="951" t="str">
        <f t="shared" si="1"/>
        <v/>
      </c>
    </row>
    <row r="24" spans="1:17" ht="23.25" customHeight="1">
      <c r="A24" s="968">
        <f t="shared" si="2"/>
        <v>45006.708333333336</v>
      </c>
      <c r="B24" s="949" t="s">
        <v>917</v>
      </c>
      <c r="C24" s="950">
        <f t="shared" si="3"/>
        <v>0</v>
      </c>
      <c r="E24" s="943" t="b">
        <f>ISNUMBER(#REF!)</f>
        <v>0</v>
      </c>
      <c r="F24" s="943" t="b">
        <f>ISNUMBER(#REF!)</f>
        <v>0</v>
      </c>
      <c r="G24" s="943" t="b">
        <f>ISNUMBER(#REF!)</f>
        <v>0</v>
      </c>
      <c r="H24" s="943" t="b">
        <f>ISNUMBER(#REF!)</f>
        <v>0</v>
      </c>
      <c r="I24" s="943" t="b">
        <f t="shared" si="0"/>
        <v>1</v>
      </c>
      <c r="J24" s="943" t="b">
        <f>ISNUMBER(#REF!)</f>
        <v>0</v>
      </c>
      <c r="K24" s="943" t="b">
        <f>ISNUMBER(#REF!)</f>
        <v>0</v>
      </c>
      <c r="L24" s="943" t="b">
        <f>ISNUMBER(#REF!)</f>
        <v>0</v>
      </c>
      <c r="M24" s="943" t="b">
        <f>ISNUMBER(#REF!)</f>
        <v>0</v>
      </c>
      <c r="N24" s="943" t="b">
        <f>ISNUMBER(#REF!)</f>
        <v>0</v>
      </c>
      <c r="O24" s="943" t="b">
        <f>ISNUMBER(#REF!)</f>
        <v>0</v>
      </c>
      <c r="P24" s="943" t="b">
        <f>ISNUMBER(#REF!)</f>
        <v>0</v>
      </c>
      <c r="Q24" s="951" t="str">
        <f t="shared" si="1"/>
        <v/>
      </c>
    </row>
    <row r="25" spans="1:17" ht="23.25" customHeight="1">
      <c r="A25" s="968">
        <f t="shared" si="2"/>
        <v>45006.708333333336</v>
      </c>
      <c r="B25" s="949" t="s">
        <v>918</v>
      </c>
      <c r="C25" s="950">
        <f t="shared" si="3"/>
        <v>0</v>
      </c>
      <c r="E25" s="943" t="b">
        <f>ISNUMBER(#REF!)</f>
        <v>0</v>
      </c>
      <c r="F25" s="943" t="b">
        <f>ISNUMBER(#REF!)</f>
        <v>0</v>
      </c>
      <c r="G25" s="943" t="b">
        <f>ISNUMBER(#REF!)</f>
        <v>0</v>
      </c>
      <c r="H25" s="943" t="b">
        <f>ISNUMBER(#REF!)</f>
        <v>0</v>
      </c>
      <c r="I25" s="943" t="b">
        <f t="shared" si="0"/>
        <v>1</v>
      </c>
      <c r="J25" s="943" t="b">
        <f>ISNUMBER(#REF!)</f>
        <v>0</v>
      </c>
      <c r="K25" s="943" t="b">
        <f>ISNUMBER(#REF!)</f>
        <v>0</v>
      </c>
      <c r="L25" s="943" t="b">
        <f>ISNUMBER(#REF!)</f>
        <v>0</v>
      </c>
      <c r="M25" s="943" t="b">
        <f>ISNUMBER(#REF!)</f>
        <v>0</v>
      </c>
      <c r="N25" s="943" t="b">
        <f>ISNUMBER(#REF!)</f>
        <v>0</v>
      </c>
      <c r="O25" s="943" t="b">
        <f>ISNUMBER(#REF!)</f>
        <v>0</v>
      </c>
      <c r="P25" s="943" t="b">
        <f>ISNUMBER(#REF!)</f>
        <v>0</v>
      </c>
      <c r="Q25" s="951" t="str">
        <f t="shared" si="1"/>
        <v/>
      </c>
    </row>
    <row r="26" spans="1:17" ht="23.25" customHeight="1">
      <c r="A26" s="968">
        <f t="shared" si="2"/>
        <v>45006.708333333336</v>
      </c>
      <c r="B26" s="949" t="s">
        <v>919</v>
      </c>
      <c r="C26" s="950">
        <f t="shared" si="3"/>
        <v>0</v>
      </c>
      <c r="E26" s="943" t="b">
        <f>ISNUMBER(#REF!)</f>
        <v>0</v>
      </c>
      <c r="F26" s="943" t="b">
        <f>ISNUMBER(#REF!)</f>
        <v>0</v>
      </c>
      <c r="G26" s="943" t="b">
        <f>ISNUMBER(#REF!)</f>
        <v>0</v>
      </c>
      <c r="H26" s="943" t="b">
        <f>ISNUMBER(#REF!)</f>
        <v>0</v>
      </c>
      <c r="I26" s="943" t="b">
        <f t="shared" si="0"/>
        <v>1</v>
      </c>
      <c r="J26" s="943" t="b">
        <f>ISNUMBER(#REF!)</f>
        <v>0</v>
      </c>
      <c r="K26" s="943" t="b">
        <f>ISNUMBER(#REF!)</f>
        <v>0</v>
      </c>
      <c r="L26" s="943" t="b">
        <f>ISNUMBER(#REF!)</f>
        <v>0</v>
      </c>
      <c r="M26" s="943" t="b">
        <f>ISNUMBER(#REF!)</f>
        <v>0</v>
      </c>
      <c r="N26" s="943" t="b">
        <f>ISNUMBER(#REF!)</f>
        <v>0</v>
      </c>
      <c r="O26" s="943" t="b">
        <f>ISNUMBER(#REF!)</f>
        <v>0</v>
      </c>
      <c r="P26" s="943" t="b">
        <f>ISNUMBER(#REF!)</f>
        <v>0</v>
      </c>
      <c r="Q26" s="951" t="str">
        <f t="shared" si="1"/>
        <v/>
      </c>
    </row>
    <row r="27" spans="1:17" ht="23.25" customHeight="1">
      <c r="A27" s="968">
        <f t="shared" si="2"/>
        <v>45006.708333333336</v>
      </c>
      <c r="B27" s="949" t="s">
        <v>920</v>
      </c>
      <c r="C27" s="950">
        <f t="shared" si="3"/>
        <v>0</v>
      </c>
      <c r="E27" s="943" t="b">
        <f>ISNUMBER(#REF!)</f>
        <v>0</v>
      </c>
      <c r="F27" s="943" t="b">
        <f>ISNUMBER(#REF!)</f>
        <v>0</v>
      </c>
      <c r="G27" s="943" t="b">
        <f>ISNUMBER(#REF!)</f>
        <v>0</v>
      </c>
      <c r="H27" s="943" t="b">
        <f>ISNUMBER(#REF!)</f>
        <v>0</v>
      </c>
      <c r="I27" s="943" t="b">
        <f t="shared" ref="I27:I33" si="4">ISNUMBER(C27)</f>
        <v>1</v>
      </c>
      <c r="J27" s="943" t="b">
        <f>ISNUMBER(#REF!)</f>
        <v>0</v>
      </c>
      <c r="K27" s="943" t="b">
        <f>ISNUMBER(#REF!)</f>
        <v>0</v>
      </c>
      <c r="L27" s="943" t="b">
        <f>ISNUMBER(#REF!)</f>
        <v>0</v>
      </c>
      <c r="M27" s="943" t="b">
        <f>ISNUMBER(#REF!)</f>
        <v>0</v>
      </c>
      <c r="N27" s="943" t="b">
        <f>ISNUMBER(#REF!)</f>
        <v>0</v>
      </c>
      <c r="O27" s="943" t="b">
        <f>ISNUMBER(#REF!)</f>
        <v>0</v>
      </c>
      <c r="P27" s="943" t="b">
        <f>ISNUMBER(#REF!)</f>
        <v>0</v>
      </c>
      <c r="Q27" s="951" t="str">
        <f t="shared" ref="Q27:Q33" si="5">IF(I27=TRUE,"",1)</f>
        <v/>
      </c>
    </row>
    <row r="28" spans="1:17" ht="23.25" customHeight="1">
      <c r="A28" s="968">
        <f t="shared" si="2"/>
        <v>45006.708333333336</v>
      </c>
      <c r="B28" s="949" t="s">
        <v>921</v>
      </c>
      <c r="C28" s="950">
        <f t="shared" si="3"/>
        <v>0</v>
      </c>
      <c r="E28" s="943" t="b">
        <f>ISNUMBER(#REF!)</f>
        <v>0</v>
      </c>
      <c r="F28" s="943" t="b">
        <f>ISNUMBER(#REF!)</f>
        <v>0</v>
      </c>
      <c r="G28" s="943" t="b">
        <f>ISNUMBER(#REF!)</f>
        <v>0</v>
      </c>
      <c r="H28" s="943" t="b">
        <f>ISNUMBER(#REF!)</f>
        <v>0</v>
      </c>
      <c r="I28" s="943" t="b">
        <f t="shared" si="4"/>
        <v>1</v>
      </c>
      <c r="J28" s="943" t="b">
        <f>ISNUMBER(#REF!)</f>
        <v>0</v>
      </c>
      <c r="K28" s="943" t="b">
        <f>ISNUMBER(#REF!)</f>
        <v>0</v>
      </c>
      <c r="L28" s="943" t="b">
        <f>ISNUMBER(#REF!)</f>
        <v>0</v>
      </c>
      <c r="M28" s="943" t="b">
        <f>ISNUMBER(#REF!)</f>
        <v>0</v>
      </c>
      <c r="N28" s="943" t="b">
        <f>ISNUMBER(#REF!)</f>
        <v>0</v>
      </c>
      <c r="O28" s="943" t="b">
        <f>ISNUMBER(#REF!)</f>
        <v>0</v>
      </c>
      <c r="P28" s="943" t="b">
        <f>ISNUMBER(#REF!)</f>
        <v>0</v>
      </c>
      <c r="Q28" s="951" t="str">
        <f t="shared" si="5"/>
        <v/>
      </c>
    </row>
    <row r="29" spans="1:17" ht="23.25" customHeight="1">
      <c r="A29" s="975">
        <f t="shared" ref="A29:A33" si="6">IF(B29="","",$A$4)</f>
        <v>45006.708333333336</v>
      </c>
      <c r="B29" s="976" t="s">
        <v>530</v>
      </c>
      <c r="C29" s="950">
        <f t="shared" si="3"/>
        <v>0</v>
      </c>
      <c r="D29" s="978"/>
      <c r="E29" s="978" t="b">
        <f>ISNUMBER(#REF!)</f>
        <v>0</v>
      </c>
      <c r="F29" s="978" t="b">
        <f>ISNUMBER(#REF!)</f>
        <v>0</v>
      </c>
      <c r="G29" s="978" t="b">
        <f>ISNUMBER(#REF!)</f>
        <v>0</v>
      </c>
      <c r="H29" s="978" t="b">
        <f>ISNUMBER(#REF!)</f>
        <v>0</v>
      </c>
      <c r="I29" s="978" t="b">
        <f t="shared" si="4"/>
        <v>1</v>
      </c>
      <c r="J29" s="978" t="b">
        <f>ISNUMBER(#REF!)</f>
        <v>0</v>
      </c>
      <c r="K29" s="978" t="b">
        <f>ISNUMBER(#REF!)</f>
        <v>0</v>
      </c>
      <c r="L29" s="978" t="b">
        <f>ISNUMBER(#REF!)</f>
        <v>0</v>
      </c>
      <c r="M29" s="978" t="b">
        <f>ISNUMBER(#REF!)</f>
        <v>0</v>
      </c>
      <c r="N29" s="978" t="b">
        <f>ISNUMBER(#REF!)</f>
        <v>0</v>
      </c>
      <c r="O29" s="978" t="b">
        <f>ISNUMBER(#REF!)</f>
        <v>0</v>
      </c>
      <c r="P29" s="978" t="b">
        <f>ISNUMBER(#REF!)</f>
        <v>0</v>
      </c>
      <c r="Q29" s="976" t="str">
        <f t="shared" si="5"/>
        <v/>
      </c>
    </row>
    <row r="30" spans="1:17" ht="23.25" customHeight="1">
      <c r="A30" s="975">
        <f t="shared" si="6"/>
        <v>45006.708333333336</v>
      </c>
      <c r="B30" s="976" t="s">
        <v>535</v>
      </c>
      <c r="C30" s="950" t="str">
        <f t="shared" si="3"/>
        <v/>
      </c>
      <c r="D30" s="978"/>
      <c r="E30" s="978" t="b">
        <f>ISNUMBER(#REF!)</f>
        <v>0</v>
      </c>
      <c r="F30" s="978" t="b">
        <f>ISNUMBER(#REF!)</f>
        <v>0</v>
      </c>
      <c r="G30" s="978" t="b">
        <f>ISNUMBER(#REF!)</f>
        <v>0</v>
      </c>
      <c r="H30" s="978" t="b">
        <f>ISNUMBER(#REF!)</f>
        <v>0</v>
      </c>
      <c r="I30" s="978" t="b">
        <f t="shared" si="4"/>
        <v>0</v>
      </c>
      <c r="J30" s="978" t="b">
        <f>ISNUMBER(#REF!)</f>
        <v>0</v>
      </c>
      <c r="K30" s="978" t="b">
        <f>ISNUMBER(#REF!)</f>
        <v>0</v>
      </c>
      <c r="L30" s="978" t="b">
        <f>ISNUMBER(#REF!)</f>
        <v>0</v>
      </c>
      <c r="M30" s="978" t="b">
        <f>ISNUMBER(#REF!)</f>
        <v>0</v>
      </c>
      <c r="N30" s="978" t="b">
        <f>ISNUMBER(#REF!)</f>
        <v>0</v>
      </c>
      <c r="O30" s="978" t="b">
        <f>ISNUMBER(#REF!)</f>
        <v>0</v>
      </c>
      <c r="P30" s="978" t="b">
        <f>ISNUMBER(#REF!)</f>
        <v>0</v>
      </c>
      <c r="Q30" s="976">
        <f t="shared" si="5"/>
        <v>1</v>
      </c>
    </row>
    <row r="31" spans="1:17" ht="23.25" customHeight="1">
      <c r="A31" s="975">
        <f t="shared" si="6"/>
        <v>45006.708333333336</v>
      </c>
      <c r="B31" s="976" t="s">
        <v>536</v>
      </c>
      <c r="C31" s="950" t="str">
        <f t="shared" si="3"/>
        <v/>
      </c>
      <c r="D31" s="978"/>
      <c r="E31" s="978" t="b">
        <f>ISNUMBER(#REF!)</f>
        <v>0</v>
      </c>
      <c r="F31" s="978" t="b">
        <f>ISNUMBER(#REF!)</f>
        <v>0</v>
      </c>
      <c r="G31" s="978" t="b">
        <f>ISNUMBER(#REF!)</f>
        <v>0</v>
      </c>
      <c r="H31" s="978" t="b">
        <f>ISNUMBER(#REF!)</f>
        <v>0</v>
      </c>
      <c r="I31" s="978" t="b">
        <f t="shared" si="4"/>
        <v>0</v>
      </c>
      <c r="J31" s="978" t="b">
        <f>ISNUMBER(#REF!)</f>
        <v>0</v>
      </c>
      <c r="K31" s="978" t="b">
        <f>ISNUMBER(#REF!)</f>
        <v>0</v>
      </c>
      <c r="L31" s="978" t="b">
        <f>ISNUMBER(#REF!)</f>
        <v>0</v>
      </c>
      <c r="M31" s="978" t="b">
        <f>ISNUMBER(#REF!)</f>
        <v>0</v>
      </c>
      <c r="N31" s="978" t="b">
        <f>ISNUMBER(#REF!)</f>
        <v>0</v>
      </c>
      <c r="O31" s="978" t="b">
        <f>ISNUMBER(#REF!)</f>
        <v>0</v>
      </c>
      <c r="P31" s="978" t="b">
        <f>ISNUMBER(#REF!)</f>
        <v>0</v>
      </c>
      <c r="Q31" s="976">
        <f t="shared" si="5"/>
        <v>1</v>
      </c>
    </row>
    <row r="32" spans="1:17" ht="23.25" customHeight="1">
      <c r="A32" s="975">
        <f t="shared" si="6"/>
        <v>45006.708333333336</v>
      </c>
      <c r="B32" s="976" t="s">
        <v>539</v>
      </c>
      <c r="C32" s="950" t="str">
        <f t="shared" si="3"/>
        <v/>
      </c>
      <c r="D32" s="978"/>
      <c r="E32" s="978" t="b">
        <f>ISNUMBER(#REF!)</f>
        <v>0</v>
      </c>
      <c r="F32" s="978" t="b">
        <f>ISNUMBER(#REF!)</f>
        <v>0</v>
      </c>
      <c r="G32" s="978" t="b">
        <f>ISNUMBER(#REF!)</f>
        <v>0</v>
      </c>
      <c r="H32" s="978" t="b">
        <f>ISNUMBER(#REF!)</f>
        <v>0</v>
      </c>
      <c r="I32" s="978" t="b">
        <f t="shared" si="4"/>
        <v>0</v>
      </c>
      <c r="J32" s="978" t="b">
        <f>ISNUMBER(#REF!)</f>
        <v>0</v>
      </c>
      <c r="K32" s="978" t="b">
        <f>ISNUMBER(#REF!)</f>
        <v>0</v>
      </c>
      <c r="L32" s="978" t="b">
        <f>ISNUMBER(#REF!)</f>
        <v>0</v>
      </c>
      <c r="M32" s="978" t="b">
        <f>ISNUMBER(#REF!)</f>
        <v>0</v>
      </c>
      <c r="N32" s="978" t="b">
        <f>ISNUMBER(#REF!)</f>
        <v>0</v>
      </c>
      <c r="O32" s="978" t="b">
        <f>ISNUMBER(#REF!)</f>
        <v>0</v>
      </c>
      <c r="P32" s="978" t="b">
        <f>ISNUMBER(#REF!)</f>
        <v>0</v>
      </c>
      <c r="Q32" s="976">
        <f t="shared" si="5"/>
        <v>1</v>
      </c>
    </row>
    <row r="33" spans="1:17" ht="23.25" customHeight="1">
      <c r="A33" s="975">
        <f t="shared" si="6"/>
        <v>45006.708333333336</v>
      </c>
      <c r="B33" s="976" t="s">
        <v>540</v>
      </c>
      <c r="C33" s="950" t="str">
        <f t="shared" si="3"/>
        <v/>
      </c>
      <c r="D33" s="978"/>
      <c r="E33" s="978" t="b">
        <f>ISNUMBER(#REF!)</f>
        <v>0</v>
      </c>
      <c r="F33" s="978" t="b">
        <f>ISNUMBER(#REF!)</f>
        <v>0</v>
      </c>
      <c r="G33" s="978" t="b">
        <f>ISNUMBER(#REF!)</f>
        <v>0</v>
      </c>
      <c r="H33" s="978" t="b">
        <f>ISNUMBER(#REF!)</f>
        <v>0</v>
      </c>
      <c r="I33" s="978" t="b">
        <f t="shared" si="4"/>
        <v>0</v>
      </c>
      <c r="J33" s="978" t="b">
        <f>ISNUMBER(#REF!)</f>
        <v>0</v>
      </c>
      <c r="K33" s="978" t="b">
        <f>ISNUMBER(#REF!)</f>
        <v>0</v>
      </c>
      <c r="L33" s="978" t="b">
        <f>ISNUMBER(#REF!)</f>
        <v>0</v>
      </c>
      <c r="M33" s="978" t="b">
        <f>ISNUMBER(#REF!)</f>
        <v>0</v>
      </c>
      <c r="N33" s="978" t="b">
        <f>ISNUMBER(#REF!)</f>
        <v>0</v>
      </c>
      <c r="O33" s="978" t="b">
        <f>ISNUMBER(#REF!)</f>
        <v>0</v>
      </c>
      <c r="P33" s="978" t="b">
        <f>ISNUMBER(#REF!)</f>
        <v>0</v>
      </c>
      <c r="Q33" s="976">
        <f t="shared" si="5"/>
        <v>1</v>
      </c>
    </row>
  </sheetData>
  <phoneticPr fontId="6"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83"/>
  <sheetViews>
    <sheetView zoomScale="70" zoomScaleNormal="70" workbookViewId="0">
      <selection activeCell="C4" sqref="C4:C45"/>
    </sheetView>
  </sheetViews>
  <sheetFormatPr defaultRowHeight="21" customHeight="1"/>
  <cols>
    <col min="1" max="1" width="24.75" style="970" customWidth="1"/>
    <col min="2" max="2" width="26.875" style="352" customWidth="1"/>
    <col min="3" max="3" width="27.125" style="874" customWidth="1"/>
    <col min="4" max="4" width="9" style="349"/>
    <col min="5" max="16" width="9" style="349" hidden="1" customWidth="1"/>
    <col min="17" max="16384" width="9" style="349"/>
  </cols>
  <sheetData>
    <row r="1" spans="1:17" ht="50.25" customHeight="1">
      <c r="A1" s="938" t="s">
        <v>351</v>
      </c>
      <c r="B1" s="852"/>
      <c r="C1" s="870"/>
    </row>
    <row r="2" spans="1:17" s="354" customFormat="1" ht="21" customHeight="1">
      <c r="A2" s="969" t="s">
        <v>352</v>
      </c>
      <c r="B2" s="351" t="s">
        <v>353</v>
      </c>
      <c r="C2" s="871" t="s">
        <v>367</v>
      </c>
      <c r="E2" s="865">
        <v>1</v>
      </c>
      <c r="F2" s="865" t="s">
        <v>876</v>
      </c>
      <c r="G2" s="865">
        <v>2</v>
      </c>
      <c r="H2" s="865" t="s">
        <v>876</v>
      </c>
      <c r="I2" s="865">
        <v>3</v>
      </c>
      <c r="J2" s="865" t="s">
        <v>876</v>
      </c>
      <c r="K2" s="865">
        <v>4</v>
      </c>
      <c r="L2" s="865" t="s">
        <v>876</v>
      </c>
      <c r="M2" s="865">
        <v>5</v>
      </c>
      <c r="N2" s="865" t="s">
        <v>876</v>
      </c>
      <c r="O2" s="865">
        <v>6</v>
      </c>
      <c r="P2" s="865" t="s">
        <v>876</v>
      </c>
      <c r="Q2" s="883">
        <v>4</v>
      </c>
    </row>
    <row r="3" spans="1:17" s="354" customFormat="1" ht="21" customHeight="1">
      <c r="A3" s="969" t="s">
        <v>376</v>
      </c>
      <c r="B3" s="351" t="s">
        <v>377</v>
      </c>
      <c r="C3" s="871" t="s">
        <v>386</v>
      </c>
      <c r="Q3" s="940"/>
    </row>
    <row r="4" spans="1:17" s="356" customFormat="1" ht="21" customHeight="1">
      <c r="A4" s="965">
        <f>MENU!Y18</f>
        <v>45006.864583333336</v>
      </c>
      <c r="B4" s="355" t="s">
        <v>268</v>
      </c>
      <c r="C4" s="868">
        <f t="shared" ref="C4:C45" si="0">IFERROR(VLOOKUP($B4,_XM_XT_THUCTE,27,0),"")</f>
        <v>0</v>
      </c>
      <c r="E4" s="356" t="b">
        <f>ISNUMBER(#REF!)</f>
        <v>0</v>
      </c>
      <c r="F4" s="356" t="b">
        <f>ISNUMBER(#REF!)</f>
        <v>0</v>
      </c>
      <c r="G4" s="356" t="b">
        <f>ISNUMBER(#REF!)</f>
        <v>0</v>
      </c>
      <c r="H4" s="356" t="b">
        <f>ISNUMBER(#REF!)</f>
        <v>0</v>
      </c>
      <c r="I4" s="356" t="b">
        <f>ISNUMBER(#REF!)</f>
        <v>0</v>
      </c>
      <c r="J4" s="356" t="b">
        <f>ISNUMBER(#REF!)</f>
        <v>0</v>
      </c>
      <c r="K4" s="356" t="b">
        <f t="shared" ref="K4:K35" si="1">ISNUMBER(C4)</f>
        <v>1</v>
      </c>
      <c r="L4" s="356" t="b">
        <f>ISNUMBER(#REF!)</f>
        <v>0</v>
      </c>
      <c r="M4" s="356" t="b">
        <f>ISNUMBER(#REF!)</f>
        <v>0</v>
      </c>
      <c r="N4" s="356" t="b">
        <f>ISNUMBER(#REF!)</f>
        <v>0</v>
      </c>
      <c r="O4" s="356" t="b">
        <f>ISNUMBER(#REF!)</f>
        <v>0</v>
      </c>
      <c r="P4" s="356" t="b">
        <f>ISNUMBER(#REF!)</f>
        <v>0</v>
      </c>
      <c r="Q4" s="939" t="str">
        <f t="shared" ref="Q4:Q35" si="2">IF(K4=TRUE,"",1)</f>
        <v/>
      </c>
    </row>
    <row r="5" spans="1:17" s="356" customFormat="1" ht="21" customHeight="1">
      <c r="A5" s="968">
        <f>$A$4</f>
        <v>45006.864583333336</v>
      </c>
      <c r="B5" s="355" t="s">
        <v>269</v>
      </c>
      <c r="C5" s="868">
        <f t="shared" si="0"/>
        <v>0</v>
      </c>
      <c r="E5" s="356" t="b">
        <f>ISNUMBER(#REF!)</f>
        <v>0</v>
      </c>
      <c r="F5" s="356" t="b">
        <f>ISNUMBER(#REF!)</f>
        <v>0</v>
      </c>
      <c r="G5" s="356" t="b">
        <f>ISNUMBER(#REF!)</f>
        <v>0</v>
      </c>
      <c r="H5" s="356" t="b">
        <f>ISNUMBER(#REF!)</f>
        <v>0</v>
      </c>
      <c r="I5" s="356" t="b">
        <f>ISNUMBER(#REF!)</f>
        <v>0</v>
      </c>
      <c r="J5" s="356" t="b">
        <f>ISNUMBER(#REF!)</f>
        <v>0</v>
      </c>
      <c r="K5" s="356" t="b">
        <f t="shared" si="1"/>
        <v>1</v>
      </c>
      <c r="L5" s="356" t="b">
        <f>ISNUMBER(#REF!)</f>
        <v>0</v>
      </c>
      <c r="M5" s="356" t="b">
        <f>ISNUMBER(#REF!)</f>
        <v>0</v>
      </c>
      <c r="N5" s="356" t="b">
        <f>ISNUMBER(#REF!)</f>
        <v>0</v>
      </c>
      <c r="O5" s="356" t="b">
        <f>ISNUMBER(#REF!)</f>
        <v>0</v>
      </c>
      <c r="P5" s="356" t="b">
        <f>ISNUMBER(#REF!)</f>
        <v>0</v>
      </c>
      <c r="Q5" s="939" t="str">
        <f t="shared" si="2"/>
        <v/>
      </c>
    </row>
    <row r="6" spans="1:17" s="356" customFormat="1" ht="21" customHeight="1">
      <c r="A6" s="968">
        <f t="shared" ref="A6:A69" si="3">$A$4</f>
        <v>45006.864583333336</v>
      </c>
      <c r="B6" s="355" t="s">
        <v>270</v>
      </c>
      <c r="C6" s="868">
        <f t="shared" si="0"/>
        <v>0</v>
      </c>
      <c r="E6" s="356" t="b">
        <f>ISNUMBER(#REF!)</f>
        <v>0</v>
      </c>
      <c r="F6" s="356" t="b">
        <f>ISNUMBER(#REF!)</f>
        <v>0</v>
      </c>
      <c r="G6" s="356" t="b">
        <f>ISNUMBER(#REF!)</f>
        <v>0</v>
      </c>
      <c r="H6" s="356" t="b">
        <f>ISNUMBER(#REF!)</f>
        <v>0</v>
      </c>
      <c r="I6" s="356" t="b">
        <f>ISNUMBER(#REF!)</f>
        <v>0</v>
      </c>
      <c r="J6" s="356" t="b">
        <f>ISNUMBER(#REF!)</f>
        <v>0</v>
      </c>
      <c r="K6" s="356" t="b">
        <f t="shared" si="1"/>
        <v>1</v>
      </c>
      <c r="L6" s="356" t="b">
        <f>ISNUMBER(#REF!)</f>
        <v>0</v>
      </c>
      <c r="M6" s="356" t="b">
        <f>ISNUMBER(#REF!)</f>
        <v>0</v>
      </c>
      <c r="N6" s="356" t="b">
        <f>ISNUMBER(#REF!)</f>
        <v>0</v>
      </c>
      <c r="O6" s="356" t="b">
        <f>ISNUMBER(#REF!)</f>
        <v>0</v>
      </c>
      <c r="P6" s="356" t="b">
        <f>ISNUMBER(#REF!)</f>
        <v>0</v>
      </c>
      <c r="Q6" s="939" t="str">
        <f t="shared" si="2"/>
        <v/>
      </c>
    </row>
    <row r="7" spans="1:17" s="356" customFormat="1" ht="21" customHeight="1">
      <c r="A7" s="968">
        <f t="shared" si="3"/>
        <v>45006.864583333336</v>
      </c>
      <c r="B7" s="355" t="s">
        <v>271</v>
      </c>
      <c r="C7" s="868">
        <f t="shared" si="0"/>
        <v>0</v>
      </c>
      <c r="E7" s="356" t="b">
        <f>ISNUMBER(#REF!)</f>
        <v>0</v>
      </c>
      <c r="F7" s="356" t="b">
        <f>ISNUMBER(#REF!)</f>
        <v>0</v>
      </c>
      <c r="G7" s="356" t="b">
        <f>ISNUMBER(#REF!)</f>
        <v>0</v>
      </c>
      <c r="H7" s="356" t="b">
        <f>ISNUMBER(#REF!)</f>
        <v>0</v>
      </c>
      <c r="I7" s="356" t="b">
        <f>ISNUMBER(#REF!)</f>
        <v>0</v>
      </c>
      <c r="J7" s="356" t="b">
        <f>ISNUMBER(#REF!)</f>
        <v>0</v>
      </c>
      <c r="K7" s="356" t="b">
        <f t="shared" si="1"/>
        <v>1</v>
      </c>
      <c r="L7" s="356" t="b">
        <f>ISNUMBER(#REF!)</f>
        <v>0</v>
      </c>
      <c r="M7" s="356" t="b">
        <f>ISNUMBER(#REF!)</f>
        <v>0</v>
      </c>
      <c r="N7" s="356" t="b">
        <f>ISNUMBER(#REF!)</f>
        <v>0</v>
      </c>
      <c r="O7" s="356" t="b">
        <f>ISNUMBER(#REF!)</f>
        <v>0</v>
      </c>
      <c r="P7" s="356" t="b">
        <f>ISNUMBER(#REF!)</f>
        <v>0</v>
      </c>
      <c r="Q7" s="939" t="str">
        <f t="shared" si="2"/>
        <v/>
      </c>
    </row>
    <row r="8" spans="1:17" s="356" customFormat="1" ht="21" customHeight="1">
      <c r="A8" s="968">
        <f t="shared" si="3"/>
        <v>45006.864583333336</v>
      </c>
      <c r="B8" s="355" t="s">
        <v>272</v>
      </c>
      <c r="C8" s="868">
        <f t="shared" si="0"/>
        <v>0</v>
      </c>
      <c r="E8" s="356" t="b">
        <f>ISNUMBER(#REF!)</f>
        <v>0</v>
      </c>
      <c r="F8" s="356" t="b">
        <f>ISNUMBER(#REF!)</f>
        <v>0</v>
      </c>
      <c r="G8" s="356" t="b">
        <f>ISNUMBER(#REF!)</f>
        <v>0</v>
      </c>
      <c r="H8" s="356" t="b">
        <f>ISNUMBER(#REF!)</f>
        <v>0</v>
      </c>
      <c r="I8" s="356" t="b">
        <f>ISNUMBER(#REF!)</f>
        <v>0</v>
      </c>
      <c r="J8" s="356" t="b">
        <f>ISNUMBER(#REF!)</f>
        <v>0</v>
      </c>
      <c r="K8" s="356" t="b">
        <f t="shared" si="1"/>
        <v>1</v>
      </c>
      <c r="L8" s="356" t="b">
        <f>ISNUMBER(#REF!)</f>
        <v>0</v>
      </c>
      <c r="M8" s="356" t="b">
        <f>ISNUMBER(#REF!)</f>
        <v>0</v>
      </c>
      <c r="N8" s="356" t="b">
        <f>ISNUMBER(#REF!)</f>
        <v>0</v>
      </c>
      <c r="O8" s="356" t="b">
        <f>ISNUMBER(#REF!)</f>
        <v>0</v>
      </c>
      <c r="P8" s="356" t="b">
        <f>ISNUMBER(#REF!)</f>
        <v>0</v>
      </c>
      <c r="Q8" s="939" t="str">
        <f t="shared" si="2"/>
        <v/>
      </c>
    </row>
    <row r="9" spans="1:17" s="356" customFormat="1" ht="21" customHeight="1">
      <c r="A9" s="968">
        <f t="shared" si="3"/>
        <v>45006.864583333336</v>
      </c>
      <c r="B9" s="355" t="s">
        <v>273</v>
      </c>
      <c r="C9" s="868">
        <f t="shared" si="0"/>
        <v>0</v>
      </c>
      <c r="E9" s="356" t="b">
        <f>ISNUMBER(#REF!)</f>
        <v>0</v>
      </c>
      <c r="F9" s="356" t="b">
        <f>ISNUMBER(#REF!)</f>
        <v>0</v>
      </c>
      <c r="G9" s="356" t="b">
        <f>ISNUMBER(#REF!)</f>
        <v>0</v>
      </c>
      <c r="H9" s="356" t="b">
        <f>ISNUMBER(#REF!)</f>
        <v>0</v>
      </c>
      <c r="I9" s="356" t="b">
        <f>ISNUMBER(#REF!)</f>
        <v>0</v>
      </c>
      <c r="J9" s="356" t="b">
        <f>ISNUMBER(#REF!)</f>
        <v>0</v>
      </c>
      <c r="K9" s="356" t="b">
        <f t="shared" si="1"/>
        <v>1</v>
      </c>
      <c r="L9" s="356" t="b">
        <f>ISNUMBER(#REF!)</f>
        <v>0</v>
      </c>
      <c r="M9" s="356" t="b">
        <f>ISNUMBER(#REF!)</f>
        <v>0</v>
      </c>
      <c r="N9" s="356" t="b">
        <f>ISNUMBER(#REF!)</f>
        <v>0</v>
      </c>
      <c r="O9" s="356" t="b">
        <f>ISNUMBER(#REF!)</f>
        <v>0</v>
      </c>
      <c r="P9" s="356" t="b">
        <f>ISNUMBER(#REF!)</f>
        <v>0</v>
      </c>
      <c r="Q9" s="939" t="str">
        <f t="shared" si="2"/>
        <v/>
      </c>
    </row>
    <row r="10" spans="1:17" s="356" customFormat="1" ht="21" customHeight="1">
      <c r="A10" s="968">
        <f t="shared" si="3"/>
        <v>45006.864583333336</v>
      </c>
      <c r="B10" s="355" t="s">
        <v>279</v>
      </c>
      <c r="C10" s="868">
        <f t="shared" si="0"/>
        <v>0</v>
      </c>
      <c r="E10" s="356" t="b">
        <f>ISNUMBER(#REF!)</f>
        <v>0</v>
      </c>
      <c r="F10" s="356" t="b">
        <f>ISNUMBER(#REF!)</f>
        <v>0</v>
      </c>
      <c r="G10" s="356" t="b">
        <f>ISNUMBER(#REF!)</f>
        <v>0</v>
      </c>
      <c r="H10" s="356" t="b">
        <f>ISNUMBER(#REF!)</f>
        <v>0</v>
      </c>
      <c r="I10" s="356" t="b">
        <f>ISNUMBER(#REF!)</f>
        <v>0</v>
      </c>
      <c r="J10" s="356" t="b">
        <f>ISNUMBER(#REF!)</f>
        <v>0</v>
      </c>
      <c r="K10" s="356" t="b">
        <f t="shared" si="1"/>
        <v>1</v>
      </c>
      <c r="L10" s="356" t="b">
        <f>ISNUMBER(#REF!)</f>
        <v>0</v>
      </c>
      <c r="M10" s="356" t="b">
        <f>ISNUMBER(#REF!)</f>
        <v>0</v>
      </c>
      <c r="N10" s="356" t="b">
        <f>ISNUMBER(#REF!)</f>
        <v>0</v>
      </c>
      <c r="O10" s="356" t="b">
        <f>ISNUMBER(#REF!)</f>
        <v>0</v>
      </c>
      <c r="P10" s="356" t="b">
        <f>ISNUMBER(#REF!)</f>
        <v>0</v>
      </c>
      <c r="Q10" s="939" t="str">
        <f t="shared" si="2"/>
        <v/>
      </c>
    </row>
    <row r="11" spans="1:17" s="356" customFormat="1" ht="21" customHeight="1">
      <c r="A11" s="968">
        <f t="shared" si="3"/>
        <v>45006.864583333336</v>
      </c>
      <c r="B11" s="355" t="s">
        <v>281</v>
      </c>
      <c r="C11" s="868">
        <f t="shared" si="0"/>
        <v>0</v>
      </c>
      <c r="E11" s="356" t="b">
        <f>ISNUMBER(#REF!)</f>
        <v>0</v>
      </c>
      <c r="F11" s="356" t="b">
        <f>ISNUMBER(#REF!)</f>
        <v>0</v>
      </c>
      <c r="G11" s="356" t="b">
        <f>ISNUMBER(#REF!)</f>
        <v>0</v>
      </c>
      <c r="H11" s="356" t="b">
        <f>ISNUMBER(#REF!)</f>
        <v>0</v>
      </c>
      <c r="I11" s="356" t="b">
        <f>ISNUMBER(#REF!)</f>
        <v>0</v>
      </c>
      <c r="J11" s="356" t="b">
        <f>ISNUMBER(#REF!)</f>
        <v>0</v>
      </c>
      <c r="K11" s="356" t="b">
        <f t="shared" si="1"/>
        <v>1</v>
      </c>
      <c r="L11" s="356" t="b">
        <f>ISNUMBER(#REF!)</f>
        <v>0</v>
      </c>
      <c r="M11" s="356" t="b">
        <f>ISNUMBER(#REF!)</f>
        <v>0</v>
      </c>
      <c r="N11" s="356" t="b">
        <f>ISNUMBER(#REF!)</f>
        <v>0</v>
      </c>
      <c r="O11" s="356" t="b">
        <f>ISNUMBER(#REF!)</f>
        <v>0</v>
      </c>
      <c r="P11" s="356" t="b">
        <f>ISNUMBER(#REF!)</f>
        <v>0</v>
      </c>
      <c r="Q11" s="939" t="str">
        <f t="shared" si="2"/>
        <v/>
      </c>
    </row>
    <row r="12" spans="1:17" s="356" customFormat="1" ht="21" customHeight="1">
      <c r="A12" s="968">
        <f t="shared" si="3"/>
        <v>45006.864583333336</v>
      </c>
      <c r="B12" s="355" t="s">
        <v>274</v>
      </c>
      <c r="C12" s="868">
        <f t="shared" si="0"/>
        <v>0</v>
      </c>
      <c r="E12" s="356" t="b">
        <f>ISNUMBER(#REF!)</f>
        <v>0</v>
      </c>
      <c r="F12" s="356" t="b">
        <f>ISNUMBER(#REF!)</f>
        <v>0</v>
      </c>
      <c r="G12" s="356" t="b">
        <f>ISNUMBER(#REF!)</f>
        <v>0</v>
      </c>
      <c r="H12" s="356" t="b">
        <f>ISNUMBER(#REF!)</f>
        <v>0</v>
      </c>
      <c r="I12" s="356" t="b">
        <f>ISNUMBER(#REF!)</f>
        <v>0</v>
      </c>
      <c r="J12" s="356" t="b">
        <f>ISNUMBER(#REF!)</f>
        <v>0</v>
      </c>
      <c r="K12" s="356" t="b">
        <f t="shared" si="1"/>
        <v>1</v>
      </c>
      <c r="L12" s="356" t="b">
        <f>ISNUMBER(#REF!)</f>
        <v>0</v>
      </c>
      <c r="M12" s="356" t="b">
        <f>ISNUMBER(#REF!)</f>
        <v>0</v>
      </c>
      <c r="N12" s="356" t="b">
        <f>ISNUMBER(#REF!)</f>
        <v>0</v>
      </c>
      <c r="O12" s="356" t="b">
        <f>ISNUMBER(#REF!)</f>
        <v>0</v>
      </c>
      <c r="P12" s="356" t="b">
        <f>ISNUMBER(#REF!)</f>
        <v>0</v>
      </c>
      <c r="Q12" s="939" t="str">
        <f t="shared" si="2"/>
        <v/>
      </c>
    </row>
    <row r="13" spans="1:17" s="356" customFormat="1" ht="21" customHeight="1">
      <c r="A13" s="968">
        <f t="shared" si="3"/>
        <v>45006.864583333336</v>
      </c>
      <c r="B13" s="355" t="s">
        <v>275</v>
      </c>
      <c r="C13" s="868">
        <f t="shared" si="0"/>
        <v>0</v>
      </c>
      <c r="E13" s="356" t="b">
        <f>ISNUMBER(#REF!)</f>
        <v>0</v>
      </c>
      <c r="F13" s="356" t="b">
        <f>ISNUMBER(#REF!)</f>
        <v>0</v>
      </c>
      <c r="G13" s="356" t="b">
        <f>ISNUMBER(#REF!)</f>
        <v>0</v>
      </c>
      <c r="H13" s="356" t="b">
        <f>ISNUMBER(#REF!)</f>
        <v>0</v>
      </c>
      <c r="I13" s="356" t="b">
        <f>ISNUMBER(#REF!)</f>
        <v>0</v>
      </c>
      <c r="J13" s="356" t="b">
        <f>ISNUMBER(#REF!)</f>
        <v>0</v>
      </c>
      <c r="K13" s="356" t="b">
        <f t="shared" si="1"/>
        <v>1</v>
      </c>
      <c r="L13" s="356" t="b">
        <f>ISNUMBER(#REF!)</f>
        <v>0</v>
      </c>
      <c r="M13" s="356" t="b">
        <f>ISNUMBER(#REF!)</f>
        <v>0</v>
      </c>
      <c r="N13" s="356" t="b">
        <f>ISNUMBER(#REF!)</f>
        <v>0</v>
      </c>
      <c r="O13" s="356" t="b">
        <f>ISNUMBER(#REF!)</f>
        <v>0</v>
      </c>
      <c r="P13" s="356" t="b">
        <f>ISNUMBER(#REF!)</f>
        <v>0</v>
      </c>
      <c r="Q13" s="939" t="str">
        <f t="shared" si="2"/>
        <v/>
      </c>
    </row>
    <row r="14" spans="1:17" s="356" customFormat="1" ht="21" customHeight="1">
      <c r="A14" s="968">
        <f t="shared" si="3"/>
        <v>45006.864583333336</v>
      </c>
      <c r="B14" s="355" t="s">
        <v>276</v>
      </c>
      <c r="C14" s="868">
        <f t="shared" si="0"/>
        <v>0</v>
      </c>
      <c r="E14" s="356" t="b">
        <f>ISNUMBER(#REF!)</f>
        <v>0</v>
      </c>
      <c r="F14" s="356" t="b">
        <f>ISNUMBER(#REF!)</f>
        <v>0</v>
      </c>
      <c r="G14" s="356" t="b">
        <f>ISNUMBER(#REF!)</f>
        <v>0</v>
      </c>
      <c r="H14" s="356" t="b">
        <f>ISNUMBER(#REF!)</f>
        <v>0</v>
      </c>
      <c r="I14" s="356" t="b">
        <f>ISNUMBER(#REF!)</f>
        <v>0</v>
      </c>
      <c r="J14" s="356" t="b">
        <f>ISNUMBER(#REF!)</f>
        <v>0</v>
      </c>
      <c r="K14" s="356" t="b">
        <f t="shared" si="1"/>
        <v>1</v>
      </c>
      <c r="L14" s="356" t="b">
        <f>ISNUMBER(#REF!)</f>
        <v>0</v>
      </c>
      <c r="M14" s="356" t="b">
        <f>ISNUMBER(#REF!)</f>
        <v>0</v>
      </c>
      <c r="N14" s="356" t="b">
        <f>ISNUMBER(#REF!)</f>
        <v>0</v>
      </c>
      <c r="O14" s="356" t="b">
        <f>ISNUMBER(#REF!)</f>
        <v>0</v>
      </c>
      <c r="P14" s="356" t="b">
        <f>ISNUMBER(#REF!)</f>
        <v>0</v>
      </c>
      <c r="Q14" s="939" t="str">
        <f t="shared" si="2"/>
        <v/>
      </c>
    </row>
    <row r="15" spans="1:17" s="356" customFormat="1" ht="21" customHeight="1">
      <c r="A15" s="968">
        <f t="shared" si="3"/>
        <v>45006.864583333336</v>
      </c>
      <c r="B15" s="355" t="s">
        <v>277</v>
      </c>
      <c r="C15" s="868">
        <f t="shared" si="0"/>
        <v>0</v>
      </c>
      <c r="E15" s="356" t="b">
        <f>ISNUMBER(#REF!)</f>
        <v>0</v>
      </c>
      <c r="F15" s="356" t="b">
        <f>ISNUMBER(#REF!)</f>
        <v>0</v>
      </c>
      <c r="G15" s="356" t="b">
        <f>ISNUMBER(#REF!)</f>
        <v>0</v>
      </c>
      <c r="H15" s="356" t="b">
        <f>ISNUMBER(#REF!)</f>
        <v>0</v>
      </c>
      <c r="I15" s="356" t="b">
        <f>ISNUMBER(#REF!)</f>
        <v>0</v>
      </c>
      <c r="J15" s="356" t="b">
        <f>ISNUMBER(#REF!)</f>
        <v>0</v>
      </c>
      <c r="K15" s="356" t="b">
        <f t="shared" si="1"/>
        <v>1</v>
      </c>
      <c r="L15" s="356" t="b">
        <f>ISNUMBER(#REF!)</f>
        <v>0</v>
      </c>
      <c r="M15" s="356" t="b">
        <f>ISNUMBER(#REF!)</f>
        <v>0</v>
      </c>
      <c r="N15" s="356" t="b">
        <f>ISNUMBER(#REF!)</f>
        <v>0</v>
      </c>
      <c r="O15" s="356" t="b">
        <f>ISNUMBER(#REF!)</f>
        <v>0</v>
      </c>
      <c r="P15" s="356" t="b">
        <f>ISNUMBER(#REF!)</f>
        <v>0</v>
      </c>
      <c r="Q15" s="939" t="str">
        <f t="shared" si="2"/>
        <v/>
      </c>
    </row>
    <row r="16" spans="1:17" s="356" customFormat="1" ht="21" customHeight="1">
      <c r="A16" s="968">
        <f t="shared" si="3"/>
        <v>45006.864583333336</v>
      </c>
      <c r="B16" s="355" t="s">
        <v>289</v>
      </c>
      <c r="C16" s="868">
        <f t="shared" si="0"/>
        <v>0</v>
      </c>
      <c r="E16" s="356" t="b">
        <f>ISNUMBER(#REF!)</f>
        <v>0</v>
      </c>
      <c r="F16" s="356" t="b">
        <f>ISNUMBER(#REF!)</f>
        <v>0</v>
      </c>
      <c r="G16" s="356" t="b">
        <f>ISNUMBER(#REF!)</f>
        <v>0</v>
      </c>
      <c r="H16" s="356" t="b">
        <f>ISNUMBER(#REF!)</f>
        <v>0</v>
      </c>
      <c r="I16" s="356" t="b">
        <f>ISNUMBER(#REF!)</f>
        <v>0</v>
      </c>
      <c r="J16" s="356" t="b">
        <f>ISNUMBER(#REF!)</f>
        <v>0</v>
      </c>
      <c r="K16" s="356" t="b">
        <f t="shared" si="1"/>
        <v>1</v>
      </c>
      <c r="L16" s="356" t="b">
        <f>ISNUMBER(#REF!)</f>
        <v>0</v>
      </c>
      <c r="M16" s="356" t="b">
        <f>ISNUMBER(#REF!)</f>
        <v>0</v>
      </c>
      <c r="N16" s="356" t="b">
        <f>ISNUMBER(#REF!)</f>
        <v>0</v>
      </c>
      <c r="O16" s="356" t="b">
        <f>ISNUMBER(#REF!)</f>
        <v>0</v>
      </c>
      <c r="P16" s="356" t="b">
        <f>ISNUMBER(#REF!)</f>
        <v>0</v>
      </c>
      <c r="Q16" s="939" t="str">
        <f t="shared" si="2"/>
        <v/>
      </c>
    </row>
    <row r="17" spans="1:17" s="356" customFormat="1" ht="21" customHeight="1">
      <c r="A17" s="968">
        <f t="shared" si="3"/>
        <v>45006.864583333336</v>
      </c>
      <c r="B17" s="355" t="s">
        <v>290</v>
      </c>
      <c r="C17" s="868">
        <f t="shared" si="0"/>
        <v>0</v>
      </c>
      <c r="E17" s="356" t="b">
        <f>ISNUMBER(#REF!)</f>
        <v>0</v>
      </c>
      <c r="F17" s="356" t="b">
        <f>ISNUMBER(#REF!)</f>
        <v>0</v>
      </c>
      <c r="G17" s="356" t="b">
        <f>ISNUMBER(#REF!)</f>
        <v>0</v>
      </c>
      <c r="H17" s="356" t="b">
        <f>ISNUMBER(#REF!)</f>
        <v>0</v>
      </c>
      <c r="I17" s="356" t="b">
        <f>ISNUMBER(#REF!)</f>
        <v>0</v>
      </c>
      <c r="J17" s="356" t="b">
        <f>ISNUMBER(#REF!)</f>
        <v>0</v>
      </c>
      <c r="K17" s="356" t="b">
        <f t="shared" si="1"/>
        <v>1</v>
      </c>
      <c r="L17" s="356" t="b">
        <f>ISNUMBER(#REF!)</f>
        <v>0</v>
      </c>
      <c r="M17" s="356" t="b">
        <f>ISNUMBER(#REF!)</f>
        <v>0</v>
      </c>
      <c r="N17" s="356" t="b">
        <f>ISNUMBER(#REF!)</f>
        <v>0</v>
      </c>
      <c r="O17" s="356" t="b">
        <f>ISNUMBER(#REF!)</f>
        <v>0</v>
      </c>
      <c r="P17" s="356" t="b">
        <f>ISNUMBER(#REF!)</f>
        <v>0</v>
      </c>
      <c r="Q17" s="939" t="str">
        <f t="shared" si="2"/>
        <v/>
      </c>
    </row>
    <row r="18" spans="1:17" s="356" customFormat="1" ht="21" customHeight="1">
      <c r="A18" s="968">
        <f t="shared" si="3"/>
        <v>45006.864583333336</v>
      </c>
      <c r="B18" s="355" t="s">
        <v>291</v>
      </c>
      <c r="C18" s="868">
        <f t="shared" si="0"/>
        <v>0</v>
      </c>
      <c r="E18" s="356" t="b">
        <f>ISNUMBER(#REF!)</f>
        <v>0</v>
      </c>
      <c r="F18" s="356" t="b">
        <f>ISNUMBER(#REF!)</f>
        <v>0</v>
      </c>
      <c r="G18" s="356" t="b">
        <f>ISNUMBER(#REF!)</f>
        <v>0</v>
      </c>
      <c r="H18" s="356" t="b">
        <f>ISNUMBER(#REF!)</f>
        <v>0</v>
      </c>
      <c r="I18" s="356" t="b">
        <f>ISNUMBER(#REF!)</f>
        <v>0</v>
      </c>
      <c r="J18" s="356" t="b">
        <f>ISNUMBER(#REF!)</f>
        <v>0</v>
      </c>
      <c r="K18" s="356" t="b">
        <f t="shared" si="1"/>
        <v>1</v>
      </c>
      <c r="L18" s="356" t="b">
        <f>ISNUMBER(#REF!)</f>
        <v>0</v>
      </c>
      <c r="M18" s="356" t="b">
        <f>ISNUMBER(#REF!)</f>
        <v>0</v>
      </c>
      <c r="N18" s="356" t="b">
        <f>ISNUMBER(#REF!)</f>
        <v>0</v>
      </c>
      <c r="O18" s="356" t="b">
        <f>ISNUMBER(#REF!)</f>
        <v>0</v>
      </c>
      <c r="P18" s="356" t="b">
        <f>ISNUMBER(#REF!)</f>
        <v>0</v>
      </c>
      <c r="Q18" s="939" t="str">
        <f t="shared" si="2"/>
        <v/>
      </c>
    </row>
    <row r="19" spans="1:17" s="356" customFormat="1" ht="21" customHeight="1">
      <c r="A19" s="968">
        <f t="shared" si="3"/>
        <v>45006.864583333336</v>
      </c>
      <c r="B19" s="355" t="s">
        <v>292</v>
      </c>
      <c r="C19" s="868">
        <f t="shared" si="0"/>
        <v>0</v>
      </c>
      <c r="E19" s="356" t="b">
        <f>ISNUMBER(#REF!)</f>
        <v>0</v>
      </c>
      <c r="F19" s="356" t="b">
        <f>ISNUMBER(#REF!)</f>
        <v>0</v>
      </c>
      <c r="G19" s="356" t="b">
        <f>ISNUMBER(#REF!)</f>
        <v>0</v>
      </c>
      <c r="H19" s="356" t="b">
        <f>ISNUMBER(#REF!)</f>
        <v>0</v>
      </c>
      <c r="I19" s="356" t="b">
        <f>ISNUMBER(#REF!)</f>
        <v>0</v>
      </c>
      <c r="J19" s="356" t="b">
        <f>ISNUMBER(#REF!)</f>
        <v>0</v>
      </c>
      <c r="K19" s="356" t="b">
        <f t="shared" si="1"/>
        <v>1</v>
      </c>
      <c r="L19" s="356" t="b">
        <f>ISNUMBER(#REF!)</f>
        <v>0</v>
      </c>
      <c r="M19" s="356" t="b">
        <f>ISNUMBER(#REF!)</f>
        <v>0</v>
      </c>
      <c r="N19" s="356" t="b">
        <f>ISNUMBER(#REF!)</f>
        <v>0</v>
      </c>
      <c r="O19" s="356" t="b">
        <f>ISNUMBER(#REF!)</f>
        <v>0</v>
      </c>
      <c r="P19" s="356" t="b">
        <f>ISNUMBER(#REF!)</f>
        <v>0</v>
      </c>
      <c r="Q19" s="939" t="str">
        <f t="shared" si="2"/>
        <v/>
      </c>
    </row>
    <row r="20" spans="1:17" s="356" customFormat="1" ht="21" customHeight="1">
      <c r="A20" s="968">
        <f t="shared" si="3"/>
        <v>45006.864583333336</v>
      </c>
      <c r="B20" s="355" t="s">
        <v>293</v>
      </c>
      <c r="C20" s="868">
        <f t="shared" si="0"/>
        <v>0</v>
      </c>
      <c r="E20" s="356" t="b">
        <f>ISNUMBER(#REF!)</f>
        <v>0</v>
      </c>
      <c r="F20" s="356" t="b">
        <f>ISNUMBER(#REF!)</f>
        <v>0</v>
      </c>
      <c r="G20" s="356" t="b">
        <f>ISNUMBER(#REF!)</f>
        <v>0</v>
      </c>
      <c r="H20" s="356" t="b">
        <f>ISNUMBER(#REF!)</f>
        <v>0</v>
      </c>
      <c r="I20" s="356" t="b">
        <f>ISNUMBER(#REF!)</f>
        <v>0</v>
      </c>
      <c r="J20" s="356" t="b">
        <f>ISNUMBER(#REF!)</f>
        <v>0</v>
      </c>
      <c r="K20" s="356" t="b">
        <f t="shared" si="1"/>
        <v>1</v>
      </c>
      <c r="L20" s="356" t="b">
        <f>ISNUMBER(#REF!)</f>
        <v>0</v>
      </c>
      <c r="M20" s="356" t="b">
        <f>ISNUMBER(#REF!)</f>
        <v>0</v>
      </c>
      <c r="N20" s="356" t="b">
        <f>ISNUMBER(#REF!)</f>
        <v>0</v>
      </c>
      <c r="O20" s="356" t="b">
        <f>ISNUMBER(#REF!)</f>
        <v>0</v>
      </c>
      <c r="P20" s="356" t="b">
        <f>ISNUMBER(#REF!)</f>
        <v>0</v>
      </c>
      <c r="Q20" s="939" t="str">
        <f t="shared" si="2"/>
        <v/>
      </c>
    </row>
    <row r="21" spans="1:17" s="356" customFormat="1" ht="21" customHeight="1">
      <c r="A21" s="968">
        <f t="shared" si="3"/>
        <v>45006.864583333336</v>
      </c>
      <c r="B21" s="355" t="s">
        <v>294</v>
      </c>
      <c r="C21" s="868">
        <f t="shared" si="0"/>
        <v>0</v>
      </c>
      <c r="E21" s="356" t="b">
        <f>ISNUMBER(#REF!)</f>
        <v>0</v>
      </c>
      <c r="F21" s="356" t="b">
        <f>ISNUMBER(#REF!)</f>
        <v>0</v>
      </c>
      <c r="G21" s="356" t="b">
        <f>ISNUMBER(#REF!)</f>
        <v>0</v>
      </c>
      <c r="H21" s="356" t="b">
        <f>ISNUMBER(#REF!)</f>
        <v>0</v>
      </c>
      <c r="I21" s="356" t="b">
        <f>ISNUMBER(#REF!)</f>
        <v>0</v>
      </c>
      <c r="J21" s="356" t="b">
        <f>ISNUMBER(#REF!)</f>
        <v>0</v>
      </c>
      <c r="K21" s="356" t="b">
        <f t="shared" si="1"/>
        <v>1</v>
      </c>
      <c r="L21" s="356" t="b">
        <f>ISNUMBER(#REF!)</f>
        <v>0</v>
      </c>
      <c r="M21" s="356" t="b">
        <f>ISNUMBER(#REF!)</f>
        <v>0</v>
      </c>
      <c r="N21" s="356" t="b">
        <f>ISNUMBER(#REF!)</f>
        <v>0</v>
      </c>
      <c r="O21" s="356" t="b">
        <f>ISNUMBER(#REF!)</f>
        <v>0</v>
      </c>
      <c r="P21" s="356" t="b">
        <f>ISNUMBER(#REF!)</f>
        <v>0</v>
      </c>
      <c r="Q21" s="939" t="str">
        <f t="shared" si="2"/>
        <v/>
      </c>
    </row>
    <row r="22" spans="1:17" s="356" customFormat="1" ht="21" customHeight="1">
      <c r="A22" s="968">
        <f t="shared" si="3"/>
        <v>45006.864583333336</v>
      </c>
      <c r="B22" s="355" t="s">
        <v>295</v>
      </c>
      <c r="C22" s="868">
        <f t="shared" si="0"/>
        <v>0</v>
      </c>
      <c r="E22" s="356" t="b">
        <f>ISNUMBER(#REF!)</f>
        <v>0</v>
      </c>
      <c r="F22" s="356" t="b">
        <f>ISNUMBER(#REF!)</f>
        <v>0</v>
      </c>
      <c r="G22" s="356" t="b">
        <f>ISNUMBER(#REF!)</f>
        <v>0</v>
      </c>
      <c r="H22" s="356" t="b">
        <f>ISNUMBER(#REF!)</f>
        <v>0</v>
      </c>
      <c r="I22" s="356" t="b">
        <f>ISNUMBER(#REF!)</f>
        <v>0</v>
      </c>
      <c r="J22" s="356" t="b">
        <f>ISNUMBER(#REF!)</f>
        <v>0</v>
      </c>
      <c r="K22" s="356" t="b">
        <f t="shared" si="1"/>
        <v>1</v>
      </c>
      <c r="L22" s="356" t="b">
        <f>ISNUMBER(#REF!)</f>
        <v>0</v>
      </c>
      <c r="M22" s="356" t="b">
        <f>ISNUMBER(#REF!)</f>
        <v>0</v>
      </c>
      <c r="N22" s="356" t="b">
        <f>ISNUMBER(#REF!)</f>
        <v>0</v>
      </c>
      <c r="O22" s="356" t="b">
        <f>ISNUMBER(#REF!)</f>
        <v>0</v>
      </c>
      <c r="P22" s="356" t="b">
        <f>ISNUMBER(#REF!)</f>
        <v>0</v>
      </c>
      <c r="Q22" s="939" t="str">
        <f t="shared" si="2"/>
        <v/>
      </c>
    </row>
    <row r="23" spans="1:17" s="356" customFormat="1" ht="21" customHeight="1">
      <c r="A23" s="968">
        <f t="shared" si="3"/>
        <v>45006.864583333336</v>
      </c>
      <c r="B23" s="355" t="s">
        <v>296</v>
      </c>
      <c r="C23" s="868">
        <f t="shared" si="0"/>
        <v>0</v>
      </c>
      <c r="E23" s="356" t="b">
        <f>ISNUMBER(#REF!)</f>
        <v>0</v>
      </c>
      <c r="F23" s="356" t="b">
        <f>ISNUMBER(#REF!)</f>
        <v>0</v>
      </c>
      <c r="G23" s="356" t="b">
        <f>ISNUMBER(#REF!)</f>
        <v>0</v>
      </c>
      <c r="H23" s="356" t="b">
        <f>ISNUMBER(#REF!)</f>
        <v>0</v>
      </c>
      <c r="I23" s="356" t="b">
        <f>ISNUMBER(#REF!)</f>
        <v>0</v>
      </c>
      <c r="J23" s="356" t="b">
        <f>ISNUMBER(#REF!)</f>
        <v>0</v>
      </c>
      <c r="K23" s="356" t="b">
        <f t="shared" si="1"/>
        <v>1</v>
      </c>
      <c r="L23" s="356" t="b">
        <f>ISNUMBER(#REF!)</f>
        <v>0</v>
      </c>
      <c r="M23" s="356" t="b">
        <f>ISNUMBER(#REF!)</f>
        <v>0</v>
      </c>
      <c r="N23" s="356" t="b">
        <f>ISNUMBER(#REF!)</f>
        <v>0</v>
      </c>
      <c r="O23" s="356" t="b">
        <f>ISNUMBER(#REF!)</f>
        <v>0</v>
      </c>
      <c r="P23" s="356" t="b">
        <f>ISNUMBER(#REF!)</f>
        <v>0</v>
      </c>
      <c r="Q23" s="939" t="str">
        <f t="shared" si="2"/>
        <v/>
      </c>
    </row>
    <row r="24" spans="1:17" s="356" customFormat="1" ht="21" customHeight="1">
      <c r="A24" s="968">
        <f t="shared" si="3"/>
        <v>45006.864583333336</v>
      </c>
      <c r="B24" s="355" t="s">
        <v>297</v>
      </c>
      <c r="C24" s="868">
        <f t="shared" si="0"/>
        <v>-1.0461</v>
      </c>
      <c r="E24" s="356" t="b">
        <f>ISNUMBER(#REF!)</f>
        <v>0</v>
      </c>
      <c r="F24" s="356" t="b">
        <f>ISNUMBER(#REF!)</f>
        <v>0</v>
      </c>
      <c r="G24" s="356" t="b">
        <f>ISNUMBER(#REF!)</f>
        <v>0</v>
      </c>
      <c r="H24" s="356" t="b">
        <f>ISNUMBER(#REF!)</f>
        <v>0</v>
      </c>
      <c r="I24" s="356" t="b">
        <f>ISNUMBER(#REF!)</f>
        <v>0</v>
      </c>
      <c r="J24" s="356" t="b">
        <f>ISNUMBER(#REF!)</f>
        <v>0</v>
      </c>
      <c r="K24" s="356" t="b">
        <f t="shared" si="1"/>
        <v>1</v>
      </c>
      <c r="L24" s="356" t="b">
        <f>ISNUMBER(#REF!)</f>
        <v>0</v>
      </c>
      <c r="M24" s="356" t="b">
        <f>ISNUMBER(#REF!)</f>
        <v>0</v>
      </c>
      <c r="N24" s="356" t="b">
        <f>ISNUMBER(#REF!)</f>
        <v>0</v>
      </c>
      <c r="O24" s="356" t="b">
        <f>ISNUMBER(#REF!)</f>
        <v>0</v>
      </c>
      <c r="P24" s="356" t="b">
        <f>ISNUMBER(#REF!)</f>
        <v>0</v>
      </c>
      <c r="Q24" s="939" t="str">
        <f t="shared" si="2"/>
        <v/>
      </c>
    </row>
    <row r="25" spans="1:17" s="356" customFormat="1" ht="21" customHeight="1">
      <c r="A25" s="968">
        <f t="shared" si="3"/>
        <v>45006.864583333336</v>
      </c>
      <c r="B25" s="355" t="s">
        <v>298</v>
      </c>
      <c r="C25" s="868">
        <f t="shared" si="0"/>
        <v>0</v>
      </c>
      <c r="E25" s="356" t="b">
        <f>ISNUMBER(#REF!)</f>
        <v>0</v>
      </c>
      <c r="F25" s="356" t="b">
        <f>ISNUMBER(#REF!)</f>
        <v>0</v>
      </c>
      <c r="G25" s="356" t="b">
        <f>ISNUMBER(#REF!)</f>
        <v>0</v>
      </c>
      <c r="H25" s="356" t="b">
        <f>ISNUMBER(#REF!)</f>
        <v>0</v>
      </c>
      <c r="I25" s="356" t="b">
        <f>ISNUMBER(#REF!)</f>
        <v>0</v>
      </c>
      <c r="J25" s="356" t="b">
        <f>ISNUMBER(#REF!)</f>
        <v>0</v>
      </c>
      <c r="K25" s="356" t="b">
        <f t="shared" si="1"/>
        <v>1</v>
      </c>
      <c r="L25" s="356" t="b">
        <f>ISNUMBER(#REF!)</f>
        <v>0</v>
      </c>
      <c r="M25" s="356" t="b">
        <f>ISNUMBER(#REF!)</f>
        <v>0</v>
      </c>
      <c r="N25" s="356" t="b">
        <f>ISNUMBER(#REF!)</f>
        <v>0</v>
      </c>
      <c r="O25" s="356" t="b">
        <f>ISNUMBER(#REF!)</f>
        <v>0</v>
      </c>
      <c r="P25" s="356" t="b">
        <f>ISNUMBER(#REF!)</f>
        <v>0</v>
      </c>
      <c r="Q25" s="939" t="str">
        <f t="shared" si="2"/>
        <v/>
      </c>
    </row>
    <row r="26" spans="1:17" s="356" customFormat="1" ht="21" customHeight="1">
      <c r="A26" s="968">
        <f t="shared" si="3"/>
        <v>45006.864583333336</v>
      </c>
      <c r="B26" s="355" t="s">
        <v>299</v>
      </c>
      <c r="C26" s="868">
        <f t="shared" si="0"/>
        <v>0</v>
      </c>
      <c r="E26" s="356" t="b">
        <f>ISNUMBER(#REF!)</f>
        <v>0</v>
      </c>
      <c r="F26" s="356" t="b">
        <f>ISNUMBER(#REF!)</f>
        <v>0</v>
      </c>
      <c r="G26" s="356" t="b">
        <f>ISNUMBER(#REF!)</f>
        <v>0</v>
      </c>
      <c r="H26" s="356" t="b">
        <f>ISNUMBER(#REF!)</f>
        <v>0</v>
      </c>
      <c r="I26" s="356" t="b">
        <f>ISNUMBER(#REF!)</f>
        <v>0</v>
      </c>
      <c r="J26" s="356" t="b">
        <f>ISNUMBER(#REF!)</f>
        <v>0</v>
      </c>
      <c r="K26" s="356" t="b">
        <f t="shared" si="1"/>
        <v>1</v>
      </c>
      <c r="L26" s="356" t="b">
        <f>ISNUMBER(#REF!)</f>
        <v>0</v>
      </c>
      <c r="M26" s="356" t="b">
        <f>ISNUMBER(#REF!)</f>
        <v>0</v>
      </c>
      <c r="N26" s="356" t="b">
        <f>ISNUMBER(#REF!)</f>
        <v>0</v>
      </c>
      <c r="O26" s="356" t="b">
        <f>ISNUMBER(#REF!)</f>
        <v>0</v>
      </c>
      <c r="P26" s="356" t="b">
        <f>ISNUMBER(#REF!)</f>
        <v>0</v>
      </c>
      <c r="Q26" s="939" t="str">
        <f t="shared" si="2"/>
        <v/>
      </c>
    </row>
    <row r="27" spans="1:17" s="356" customFormat="1" ht="21" customHeight="1">
      <c r="A27" s="968">
        <f t="shared" si="3"/>
        <v>45006.864583333336</v>
      </c>
      <c r="B27" s="355" t="s">
        <v>300</v>
      </c>
      <c r="C27" s="868">
        <f t="shared" si="0"/>
        <v>0</v>
      </c>
      <c r="E27" s="356" t="b">
        <f>ISNUMBER(#REF!)</f>
        <v>0</v>
      </c>
      <c r="F27" s="356" t="b">
        <f>ISNUMBER(#REF!)</f>
        <v>0</v>
      </c>
      <c r="G27" s="356" t="b">
        <f>ISNUMBER(#REF!)</f>
        <v>0</v>
      </c>
      <c r="H27" s="356" t="b">
        <f>ISNUMBER(#REF!)</f>
        <v>0</v>
      </c>
      <c r="I27" s="356" t="b">
        <f>ISNUMBER(#REF!)</f>
        <v>0</v>
      </c>
      <c r="J27" s="356" t="b">
        <f>ISNUMBER(#REF!)</f>
        <v>0</v>
      </c>
      <c r="K27" s="356" t="b">
        <f t="shared" si="1"/>
        <v>1</v>
      </c>
      <c r="L27" s="356" t="b">
        <f>ISNUMBER(#REF!)</f>
        <v>0</v>
      </c>
      <c r="M27" s="356" t="b">
        <f>ISNUMBER(#REF!)</f>
        <v>0</v>
      </c>
      <c r="N27" s="356" t="b">
        <f>ISNUMBER(#REF!)</f>
        <v>0</v>
      </c>
      <c r="O27" s="356" t="b">
        <f>ISNUMBER(#REF!)</f>
        <v>0</v>
      </c>
      <c r="P27" s="356" t="b">
        <f>ISNUMBER(#REF!)</f>
        <v>0</v>
      </c>
      <c r="Q27" s="939" t="str">
        <f t="shared" si="2"/>
        <v/>
      </c>
    </row>
    <row r="28" spans="1:17" s="356" customFormat="1" ht="21" customHeight="1">
      <c r="A28" s="968">
        <f t="shared" si="3"/>
        <v>45006.864583333336</v>
      </c>
      <c r="B28" s="355" t="s">
        <v>301</v>
      </c>
      <c r="C28" s="868">
        <f t="shared" si="0"/>
        <v>0</v>
      </c>
      <c r="E28" s="356" t="b">
        <f>ISNUMBER(#REF!)</f>
        <v>0</v>
      </c>
      <c r="F28" s="356" t="b">
        <f>ISNUMBER(#REF!)</f>
        <v>0</v>
      </c>
      <c r="G28" s="356" t="b">
        <f>ISNUMBER(#REF!)</f>
        <v>0</v>
      </c>
      <c r="H28" s="356" t="b">
        <f>ISNUMBER(#REF!)</f>
        <v>0</v>
      </c>
      <c r="I28" s="356" t="b">
        <f>ISNUMBER(#REF!)</f>
        <v>0</v>
      </c>
      <c r="J28" s="356" t="b">
        <f>ISNUMBER(#REF!)</f>
        <v>0</v>
      </c>
      <c r="K28" s="356" t="b">
        <f t="shared" si="1"/>
        <v>1</v>
      </c>
      <c r="L28" s="356" t="b">
        <f>ISNUMBER(#REF!)</f>
        <v>0</v>
      </c>
      <c r="M28" s="356" t="b">
        <f>ISNUMBER(#REF!)</f>
        <v>0</v>
      </c>
      <c r="N28" s="356" t="b">
        <f>ISNUMBER(#REF!)</f>
        <v>0</v>
      </c>
      <c r="O28" s="356" t="b">
        <f>ISNUMBER(#REF!)</f>
        <v>0</v>
      </c>
      <c r="P28" s="356" t="b">
        <f>ISNUMBER(#REF!)</f>
        <v>0</v>
      </c>
      <c r="Q28" s="939" t="str">
        <f t="shared" si="2"/>
        <v/>
      </c>
    </row>
    <row r="29" spans="1:17" s="356" customFormat="1" ht="21" customHeight="1">
      <c r="A29" s="968">
        <f t="shared" si="3"/>
        <v>45006.864583333336</v>
      </c>
      <c r="B29" s="355" t="s">
        <v>302</v>
      </c>
      <c r="C29" s="868">
        <f t="shared" si="0"/>
        <v>0</v>
      </c>
      <c r="E29" s="356" t="b">
        <f>ISNUMBER(#REF!)</f>
        <v>0</v>
      </c>
      <c r="F29" s="356" t="b">
        <f>ISNUMBER(#REF!)</f>
        <v>0</v>
      </c>
      <c r="G29" s="356" t="b">
        <f>ISNUMBER(#REF!)</f>
        <v>0</v>
      </c>
      <c r="H29" s="356" t="b">
        <f>ISNUMBER(#REF!)</f>
        <v>0</v>
      </c>
      <c r="I29" s="356" t="b">
        <f>ISNUMBER(#REF!)</f>
        <v>0</v>
      </c>
      <c r="J29" s="356" t="b">
        <f>ISNUMBER(#REF!)</f>
        <v>0</v>
      </c>
      <c r="K29" s="356" t="b">
        <f t="shared" si="1"/>
        <v>1</v>
      </c>
      <c r="L29" s="356" t="b">
        <f>ISNUMBER(#REF!)</f>
        <v>0</v>
      </c>
      <c r="M29" s="356" t="b">
        <f>ISNUMBER(#REF!)</f>
        <v>0</v>
      </c>
      <c r="N29" s="356" t="b">
        <f>ISNUMBER(#REF!)</f>
        <v>0</v>
      </c>
      <c r="O29" s="356" t="b">
        <f>ISNUMBER(#REF!)</f>
        <v>0</v>
      </c>
      <c r="P29" s="356" t="b">
        <f>ISNUMBER(#REF!)</f>
        <v>0</v>
      </c>
      <c r="Q29" s="939" t="str">
        <f t="shared" si="2"/>
        <v/>
      </c>
    </row>
    <row r="30" spans="1:17" s="356" customFormat="1" ht="21" customHeight="1">
      <c r="A30" s="968">
        <f t="shared" si="3"/>
        <v>45006.864583333336</v>
      </c>
      <c r="B30" s="355" t="s">
        <v>312</v>
      </c>
      <c r="C30" s="868">
        <f t="shared" si="0"/>
        <v>0</v>
      </c>
      <c r="E30" s="356" t="b">
        <f>ISNUMBER(#REF!)</f>
        <v>0</v>
      </c>
      <c r="F30" s="356" t="b">
        <f>ISNUMBER(#REF!)</f>
        <v>0</v>
      </c>
      <c r="G30" s="356" t="b">
        <f>ISNUMBER(#REF!)</f>
        <v>0</v>
      </c>
      <c r="H30" s="356" t="b">
        <f>ISNUMBER(#REF!)</f>
        <v>0</v>
      </c>
      <c r="I30" s="356" t="b">
        <f>ISNUMBER(#REF!)</f>
        <v>0</v>
      </c>
      <c r="J30" s="356" t="b">
        <f>ISNUMBER(#REF!)</f>
        <v>0</v>
      </c>
      <c r="K30" s="356" t="b">
        <f t="shared" si="1"/>
        <v>1</v>
      </c>
      <c r="L30" s="356" t="b">
        <f>ISNUMBER(#REF!)</f>
        <v>0</v>
      </c>
      <c r="M30" s="356" t="b">
        <f>ISNUMBER(#REF!)</f>
        <v>0</v>
      </c>
      <c r="N30" s="356" t="b">
        <f>ISNUMBER(#REF!)</f>
        <v>0</v>
      </c>
      <c r="O30" s="356" t="b">
        <f>ISNUMBER(#REF!)</f>
        <v>0</v>
      </c>
      <c r="P30" s="356" t="b">
        <f>ISNUMBER(#REF!)</f>
        <v>0</v>
      </c>
      <c r="Q30" s="939" t="str">
        <f t="shared" si="2"/>
        <v/>
      </c>
    </row>
    <row r="31" spans="1:17" s="356" customFormat="1" ht="21" customHeight="1">
      <c r="A31" s="968">
        <f t="shared" si="3"/>
        <v>45006.864583333336</v>
      </c>
      <c r="B31" s="355" t="s">
        <v>313</v>
      </c>
      <c r="C31" s="868">
        <f t="shared" si="0"/>
        <v>0</v>
      </c>
      <c r="E31" s="356" t="b">
        <f>ISNUMBER(#REF!)</f>
        <v>0</v>
      </c>
      <c r="F31" s="356" t="b">
        <f>ISNUMBER(#REF!)</f>
        <v>0</v>
      </c>
      <c r="G31" s="356" t="b">
        <f>ISNUMBER(#REF!)</f>
        <v>0</v>
      </c>
      <c r="H31" s="356" t="b">
        <f>ISNUMBER(#REF!)</f>
        <v>0</v>
      </c>
      <c r="I31" s="356" t="b">
        <f>ISNUMBER(#REF!)</f>
        <v>0</v>
      </c>
      <c r="J31" s="356" t="b">
        <f>ISNUMBER(#REF!)</f>
        <v>0</v>
      </c>
      <c r="K31" s="356" t="b">
        <f t="shared" si="1"/>
        <v>1</v>
      </c>
      <c r="L31" s="356" t="b">
        <f>ISNUMBER(#REF!)</f>
        <v>0</v>
      </c>
      <c r="M31" s="356" t="b">
        <f>ISNUMBER(#REF!)</f>
        <v>0</v>
      </c>
      <c r="N31" s="356" t="b">
        <f>ISNUMBER(#REF!)</f>
        <v>0</v>
      </c>
      <c r="O31" s="356" t="b">
        <f>ISNUMBER(#REF!)</f>
        <v>0</v>
      </c>
      <c r="P31" s="356" t="b">
        <f>ISNUMBER(#REF!)</f>
        <v>0</v>
      </c>
      <c r="Q31" s="939" t="str">
        <f t="shared" si="2"/>
        <v/>
      </c>
    </row>
    <row r="32" spans="1:17" s="356" customFormat="1" ht="21" customHeight="1">
      <c r="A32" s="968">
        <f t="shared" si="3"/>
        <v>45006.864583333336</v>
      </c>
      <c r="B32" s="355" t="s">
        <v>314</v>
      </c>
      <c r="C32" s="868">
        <f t="shared" si="0"/>
        <v>0</v>
      </c>
      <c r="E32" s="356" t="b">
        <f>ISNUMBER(#REF!)</f>
        <v>0</v>
      </c>
      <c r="F32" s="356" t="b">
        <f>ISNUMBER(#REF!)</f>
        <v>0</v>
      </c>
      <c r="G32" s="356" t="b">
        <f>ISNUMBER(#REF!)</f>
        <v>0</v>
      </c>
      <c r="H32" s="356" t="b">
        <f>ISNUMBER(#REF!)</f>
        <v>0</v>
      </c>
      <c r="I32" s="356" t="b">
        <f>ISNUMBER(#REF!)</f>
        <v>0</v>
      </c>
      <c r="J32" s="356" t="b">
        <f>ISNUMBER(#REF!)</f>
        <v>0</v>
      </c>
      <c r="K32" s="356" t="b">
        <f t="shared" si="1"/>
        <v>1</v>
      </c>
      <c r="L32" s="356" t="b">
        <f>ISNUMBER(#REF!)</f>
        <v>0</v>
      </c>
      <c r="M32" s="356" t="b">
        <f>ISNUMBER(#REF!)</f>
        <v>0</v>
      </c>
      <c r="N32" s="356" t="b">
        <f>ISNUMBER(#REF!)</f>
        <v>0</v>
      </c>
      <c r="O32" s="356" t="b">
        <f>ISNUMBER(#REF!)</f>
        <v>0</v>
      </c>
      <c r="P32" s="356" t="b">
        <f>ISNUMBER(#REF!)</f>
        <v>0</v>
      </c>
      <c r="Q32" s="939" t="str">
        <f t="shared" si="2"/>
        <v/>
      </c>
    </row>
    <row r="33" spans="1:17" s="356" customFormat="1" ht="21" customHeight="1">
      <c r="A33" s="968">
        <f t="shared" si="3"/>
        <v>45006.864583333336</v>
      </c>
      <c r="B33" s="355" t="s">
        <v>315</v>
      </c>
      <c r="C33" s="868">
        <f t="shared" si="0"/>
        <v>0</v>
      </c>
      <c r="E33" s="356" t="b">
        <f>ISNUMBER(#REF!)</f>
        <v>0</v>
      </c>
      <c r="F33" s="356" t="b">
        <f>ISNUMBER(#REF!)</f>
        <v>0</v>
      </c>
      <c r="G33" s="356" t="b">
        <f>ISNUMBER(#REF!)</f>
        <v>0</v>
      </c>
      <c r="H33" s="356" t="b">
        <f>ISNUMBER(#REF!)</f>
        <v>0</v>
      </c>
      <c r="I33" s="356" t="b">
        <f>ISNUMBER(#REF!)</f>
        <v>0</v>
      </c>
      <c r="J33" s="356" t="b">
        <f>ISNUMBER(#REF!)</f>
        <v>0</v>
      </c>
      <c r="K33" s="356" t="b">
        <f t="shared" si="1"/>
        <v>1</v>
      </c>
      <c r="L33" s="356" t="b">
        <f>ISNUMBER(#REF!)</f>
        <v>0</v>
      </c>
      <c r="M33" s="356" t="b">
        <f>ISNUMBER(#REF!)</f>
        <v>0</v>
      </c>
      <c r="N33" s="356" t="b">
        <f>ISNUMBER(#REF!)</f>
        <v>0</v>
      </c>
      <c r="O33" s="356" t="b">
        <f>ISNUMBER(#REF!)</f>
        <v>0</v>
      </c>
      <c r="P33" s="356" t="b">
        <f>ISNUMBER(#REF!)</f>
        <v>0</v>
      </c>
      <c r="Q33" s="939" t="str">
        <f t="shared" si="2"/>
        <v/>
      </c>
    </row>
    <row r="34" spans="1:17" s="356" customFormat="1" ht="21" customHeight="1">
      <c r="A34" s="968">
        <f t="shared" si="3"/>
        <v>45006.864583333336</v>
      </c>
      <c r="B34" s="355" t="s">
        <v>316</v>
      </c>
      <c r="C34" s="868">
        <f t="shared" si="0"/>
        <v>0</v>
      </c>
      <c r="E34" s="356" t="b">
        <f>ISNUMBER(#REF!)</f>
        <v>0</v>
      </c>
      <c r="F34" s="356" t="b">
        <f>ISNUMBER(#REF!)</f>
        <v>0</v>
      </c>
      <c r="G34" s="356" t="b">
        <f>ISNUMBER(#REF!)</f>
        <v>0</v>
      </c>
      <c r="H34" s="356" t="b">
        <f>ISNUMBER(#REF!)</f>
        <v>0</v>
      </c>
      <c r="I34" s="356" t="b">
        <f>ISNUMBER(#REF!)</f>
        <v>0</v>
      </c>
      <c r="J34" s="356" t="b">
        <f>ISNUMBER(#REF!)</f>
        <v>0</v>
      </c>
      <c r="K34" s="356" t="b">
        <f t="shared" si="1"/>
        <v>1</v>
      </c>
      <c r="L34" s="356" t="b">
        <f>ISNUMBER(#REF!)</f>
        <v>0</v>
      </c>
      <c r="M34" s="356" t="b">
        <f>ISNUMBER(#REF!)</f>
        <v>0</v>
      </c>
      <c r="N34" s="356" t="b">
        <f>ISNUMBER(#REF!)</f>
        <v>0</v>
      </c>
      <c r="O34" s="356" t="b">
        <f>ISNUMBER(#REF!)</f>
        <v>0</v>
      </c>
      <c r="P34" s="356" t="b">
        <f>ISNUMBER(#REF!)</f>
        <v>0</v>
      </c>
      <c r="Q34" s="939" t="str">
        <f t="shared" si="2"/>
        <v/>
      </c>
    </row>
    <row r="35" spans="1:17" s="356" customFormat="1" ht="21" customHeight="1">
      <c r="A35" s="968">
        <f t="shared" si="3"/>
        <v>45006.864583333336</v>
      </c>
      <c r="B35" s="355" t="s">
        <v>317</v>
      </c>
      <c r="C35" s="868">
        <f t="shared" si="0"/>
        <v>0</v>
      </c>
      <c r="E35" s="356" t="b">
        <f>ISNUMBER(#REF!)</f>
        <v>0</v>
      </c>
      <c r="F35" s="356" t="b">
        <f>ISNUMBER(#REF!)</f>
        <v>0</v>
      </c>
      <c r="G35" s="356" t="b">
        <f>ISNUMBER(#REF!)</f>
        <v>0</v>
      </c>
      <c r="H35" s="356" t="b">
        <f>ISNUMBER(#REF!)</f>
        <v>0</v>
      </c>
      <c r="I35" s="356" t="b">
        <f>ISNUMBER(#REF!)</f>
        <v>0</v>
      </c>
      <c r="J35" s="356" t="b">
        <f>ISNUMBER(#REF!)</f>
        <v>0</v>
      </c>
      <c r="K35" s="356" t="b">
        <f t="shared" si="1"/>
        <v>1</v>
      </c>
      <c r="L35" s="356" t="b">
        <f>ISNUMBER(#REF!)</f>
        <v>0</v>
      </c>
      <c r="M35" s="356" t="b">
        <f>ISNUMBER(#REF!)</f>
        <v>0</v>
      </c>
      <c r="N35" s="356" t="b">
        <f>ISNUMBER(#REF!)</f>
        <v>0</v>
      </c>
      <c r="O35" s="356" t="b">
        <f>ISNUMBER(#REF!)</f>
        <v>0</v>
      </c>
      <c r="P35" s="356" t="b">
        <f>ISNUMBER(#REF!)</f>
        <v>0</v>
      </c>
      <c r="Q35" s="939" t="str">
        <f t="shared" si="2"/>
        <v/>
      </c>
    </row>
    <row r="36" spans="1:17" s="356" customFormat="1" ht="21" customHeight="1">
      <c r="A36" s="968">
        <f t="shared" si="3"/>
        <v>45006.864583333336</v>
      </c>
      <c r="B36" s="355" t="s">
        <v>318</v>
      </c>
      <c r="C36" s="868">
        <f t="shared" si="0"/>
        <v>0</v>
      </c>
      <c r="E36" s="356" t="b">
        <f>ISNUMBER(#REF!)</f>
        <v>0</v>
      </c>
      <c r="F36" s="356" t="b">
        <f>ISNUMBER(#REF!)</f>
        <v>0</v>
      </c>
      <c r="G36" s="356" t="b">
        <f>ISNUMBER(#REF!)</f>
        <v>0</v>
      </c>
      <c r="H36" s="356" t="b">
        <f>ISNUMBER(#REF!)</f>
        <v>0</v>
      </c>
      <c r="I36" s="356" t="b">
        <f>ISNUMBER(#REF!)</f>
        <v>0</v>
      </c>
      <c r="J36" s="356" t="b">
        <f>ISNUMBER(#REF!)</f>
        <v>0</v>
      </c>
      <c r="K36" s="356" t="b">
        <f t="shared" ref="K36:K67" si="4">ISNUMBER(C36)</f>
        <v>1</v>
      </c>
      <c r="L36" s="356" t="b">
        <f>ISNUMBER(#REF!)</f>
        <v>0</v>
      </c>
      <c r="M36" s="356" t="b">
        <f>ISNUMBER(#REF!)</f>
        <v>0</v>
      </c>
      <c r="N36" s="356" t="b">
        <f>ISNUMBER(#REF!)</f>
        <v>0</v>
      </c>
      <c r="O36" s="356" t="b">
        <f>ISNUMBER(#REF!)</f>
        <v>0</v>
      </c>
      <c r="P36" s="356" t="b">
        <f>ISNUMBER(#REF!)</f>
        <v>0</v>
      </c>
      <c r="Q36" s="939" t="str">
        <f t="shared" ref="Q36:Q68" si="5">IF(K36=TRUE,"",1)</f>
        <v/>
      </c>
    </row>
    <row r="37" spans="1:17" s="356" customFormat="1" ht="21" customHeight="1">
      <c r="A37" s="968">
        <f t="shared" si="3"/>
        <v>45006.864583333336</v>
      </c>
      <c r="B37" s="355" t="s">
        <v>319</v>
      </c>
      <c r="C37" s="868">
        <f t="shared" si="0"/>
        <v>0</v>
      </c>
      <c r="E37" s="356" t="b">
        <f>ISNUMBER(#REF!)</f>
        <v>0</v>
      </c>
      <c r="F37" s="356" t="b">
        <f>ISNUMBER(#REF!)</f>
        <v>0</v>
      </c>
      <c r="G37" s="356" t="b">
        <f>ISNUMBER(#REF!)</f>
        <v>0</v>
      </c>
      <c r="H37" s="356" t="b">
        <f>ISNUMBER(#REF!)</f>
        <v>0</v>
      </c>
      <c r="I37" s="356" t="b">
        <f>ISNUMBER(#REF!)</f>
        <v>0</v>
      </c>
      <c r="J37" s="356" t="b">
        <f>ISNUMBER(#REF!)</f>
        <v>0</v>
      </c>
      <c r="K37" s="356" t="b">
        <f t="shared" si="4"/>
        <v>1</v>
      </c>
      <c r="L37" s="356" t="b">
        <f>ISNUMBER(#REF!)</f>
        <v>0</v>
      </c>
      <c r="M37" s="356" t="b">
        <f>ISNUMBER(#REF!)</f>
        <v>0</v>
      </c>
      <c r="N37" s="356" t="b">
        <f>ISNUMBER(#REF!)</f>
        <v>0</v>
      </c>
      <c r="O37" s="356" t="b">
        <f>ISNUMBER(#REF!)</f>
        <v>0</v>
      </c>
      <c r="P37" s="356" t="b">
        <f>ISNUMBER(#REF!)</f>
        <v>0</v>
      </c>
      <c r="Q37" s="939" t="str">
        <f t="shared" si="5"/>
        <v/>
      </c>
    </row>
    <row r="38" spans="1:17" s="356" customFormat="1" ht="21" customHeight="1">
      <c r="A38" s="968">
        <f t="shared" si="3"/>
        <v>45006.864583333336</v>
      </c>
      <c r="B38" s="355" t="s">
        <v>320</v>
      </c>
      <c r="C38" s="868">
        <f t="shared" si="0"/>
        <v>-1.0461</v>
      </c>
      <c r="E38" s="356" t="b">
        <f>ISNUMBER(#REF!)</f>
        <v>0</v>
      </c>
      <c r="F38" s="356" t="b">
        <f>ISNUMBER(#REF!)</f>
        <v>0</v>
      </c>
      <c r="G38" s="356" t="b">
        <f>ISNUMBER(#REF!)</f>
        <v>0</v>
      </c>
      <c r="H38" s="356" t="b">
        <f>ISNUMBER(#REF!)</f>
        <v>0</v>
      </c>
      <c r="I38" s="356" t="b">
        <f>ISNUMBER(#REF!)</f>
        <v>0</v>
      </c>
      <c r="J38" s="356" t="b">
        <f>ISNUMBER(#REF!)</f>
        <v>0</v>
      </c>
      <c r="K38" s="356" t="b">
        <f t="shared" si="4"/>
        <v>1</v>
      </c>
      <c r="L38" s="356" t="b">
        <f>ISNUMBER(#REF!)</f>
        <v>0</v>
      </c>
      <c r="M38" s="356" t="b">
        <f>ISNUMBER(#REF!)</f>
        <v>0</v>
      </c>
      <c r="N38" s="356" t="b">
        <f>ISNUMBER(#REF!)</f>
        <v>0</v>
      </c>
      <c r="O38" s="356" t="b">
        <f>ISNUMBER(#REF!)</f>
        <v>0</v>
      </c>
      <c r="P38" s="356" t="b">
        <f>ISNUMBER(#REF!)</f>
        <v>0</v>
      </c>
      <c r="Q38" s="939" t="str">
        <f t="shared" si="5"/>
        <v/>
      </c>
    </row>
    <row r="39" spans="1:17" s="356" customFormat="1" ht="21" customHeight="1">
      <c r="A39" s="968">
        <f t="shared" si="3"/>
        <v>45006.864583333336</v>
      </c>
      <c r="B39" s="355" t="s">
        <v>321</v>
      </c>
      <c r="C39" s="868">
        <f t="shared" si="0"/>
        <v>0</v>
      </c>
      <c r="E39" s="356" t="b">
        <f>ISNUMBER(#REF!)</f>
        <v>0</v>
      </c>
      <c r="F39" s="356" t="b">
        <f>ISNUMBER(#REF!)</f>
        <v>0</v>
      </c>
      <c r="G39" s="356" t="b">
        <f>ISNUMBER(#REF!)</f>
        <v>0</v>
      </c>
      <c r="H39" s="356" t="b">
        <f>ISNUMBER(#REF!)</f>
        <v>0</v>
      </c>
      <c r="I39" s="356" t="b">
        <f>ISNUMBER(#REF!)</f>
        <v>0</v>
      </c>
      <c r="J39" s="356" t="b">
        <f>ISNUMBER(#REF!)</f>
        <v>0</v>
      </c>
      <c r="K39" s="356" t="b">
        <f t="shared" si="4"/>
        <v>1</v>
      </c>
      <c r="L39" s="356" t="b">
        <f>ISNUMBER(#REF!)</f>
        <v>0</v>
      </c>
      <c r="M39" s="356" t="b">
        <f>ISNUMBER(#REF!)</f>
        <v>0</v>
      </c>
      <c r="N39" s="356" t="b">
        <f>ISNUMBER(#REF!)</f>
        <v>0</v>
      </c>
      <c r="O39" s="356" t="b">
        <f>ISNUMBER(#REF!)</f>
        <v>0</v>
      </c>
      <c r="P39" s="356" t="b">
        <f>ISNUMBER(#REF!)</f>
        <v>0</v>
      </c>
      <c r="Q39" s="939" t="str">
        <f t="shared" si="5"/>
        <v/>
      </c>
    </row>
    <row r="40" spans="1:17" s="356" customFormat="1" ht="21" customHeight="1">
      <c r="A40" s="968">
        <f t="shared" si="3"/>
        <v>45006.864583333336</v>
      </c>
      <c r="B40" s="355" t="s">
        <v>322</v>
      </c>
      <c r="C40" s="868">
        <f t="shared" si="0"/>
        <v>0</v>
      </c>
      <c r="E40" s="356" t="b">
        <f>ISNUMBER(#REF!)</f>
        <v>0</v>
      </c>
      <c r="F40" s="356" t="b">
        <f>ISNUMBER(#REF!)</f>
        <v>0</v>
      </c>
      <c r="G40" s="356" t="b">
        <f>ISNUMBER(#REF!)</f>
        <v>0</v>
      </c>
      <c r="H40" s="356" t="b">
        <f>ISNUMBER(#REF!)</f>
        <v>0</v>
      </c>
      <c r="I40" s="356" t="b">
        <f>ISNUMBER(#REF!)</f>
        <v>0</v>
      </c>
      <c r="J40" s="356" t="b">
        <f>ISNUMBER(#REF!)</f>
        <v>0</v>
      </c>
      <c r="K40" s="356" t="b">
        <f t="shared" si="4"/>
        <v>1</v>
      </c>
      <c r="L40" s="356" t="b">
        <f>ISNUMBER(#REF!)</f>
        <v>0</v>
      </c>
      <c r="M40" s="356" t="b">
        <f>ISNUMBER(#REF!)</f>
        <v>0</v>
      </c>
      <c r="N40" s="356" t="b">
        <f>ISNUMBER(#REF!)</f>
        <v>0</v>
      </c>
      <c r="O40" s="356" t="b">
        <f>ISNUMBER(#REF!)</f>
        <v>0</v>
      </c>
      <c r="P40" s="356" t="b">
        <f>ISNUMBER(#REF!)</f>
        <v>0</v>
      </c>
      <c r="Q40" s="939" t="str">
        <f t="shared" si="5"/>
        <v/>
      </c>
    </row>
    <row r="41" spans="1:17" s="356" customFormat="1" ht="21" customHeight="1">
      <c r="A41" s="968">
        <f t="shared" si="3"/>
        <v>45006.864583333336</v>
      </c>
      <c r="B41" s="355" t="s">
        <v>323</v>
      </c>
      <c r="C41" s="868">
        <f t="shared" si="0"/>
        <v>0</v>
      </c>
      <c r="E41" s="356" t="b">
        <f>ISNUMBER(#REF!)</f>
        <v>0</v>
      </c>
      <c r="F41" s="356" t="b">
        <f>ISNUMBER(#REF!)</f>
        <v>0</v>
      </c>
      <c r="G41" s="356" t="b">
        <f>ISNUMBER(#REF!)</f>
        <v>0</v>
      </c>
      <c r="H41" s="356" t="b">
        <f>ISNUMBER(#REF!)</f>
        <v>0</v>
      </c>
      <c r="I41" s="356" t="b">
        <f>ISNUMBER(#REF!)</f>
        <v>0</v>
      </c>
      <c r="J41" s="356" t="b">
        <f>ISNUMBER(#REF!)</f>
        <v>0</v>
      </c>
      <c r="K41" s="356" t="b">
        <f t="shared" si="4"/>
        <v>1</v>
      </c>
      <c r="L41" s="356" t="b">
        <f>ISNUMBER(#REF!)</f>
        <v>0</v>
      </c>
      <c r="M41" s="356" t="b">
        <f>ISNUMBER(#REF!)</f>
        <v>0</v>
      </c>
      <c r="N41" s="356" t="b">
        <f>ISNUMBER(#REF!)</f>
        <v>0</v>
      </c>
      <c r="O41" s="356" t="b">
        <f>ISNUMBER(#REF!)</f>
        <v>0</v>
      </c>
      <c r="P41" s="356" t="b">
        <f>ISNUMBER(#REF!)</f>
        <v>0</v>
      </c>
      <c r="Q41" s="939" t="str">
        <f t="shared" si="5"/>
        <v/>
      </c>
    </row>
    <row r="42" spans="1:17" s="356" customFormat="1" ht="21" customHeight="1">
      <c r="A42" s="968">
        <f t="shared" si="3"/>
        <v>45006.864583333336</v>
      </c>
      <c r="B42" s="355" t="s">
        <v>324</v>
      </c>
      <c r="C42" s="868">
        <f t="shared" si="0"/>
        <v>0</v>
      </c>
      <c r="E42" s="356" t="b">
        <f>ISNUMBER(#REF!)</f>
        <v>0</v>
      </c>
      <c r="F42" s="356" t="b">
        <f>ISNUMBER(#REF!)</f>
        <v>0</v>
      </c>
      <c r="G42" s="356" t="b">
        <f>ISNUMBER(#REF!)</f>
        <v>0</v>
      </c>
      <c r="H42" s="356" t="b">
        <f>ISNUMBER(#REF!)</f>
        <v>0</v>
      </c>
      <c r="I42" s="356" t="b">
        <f>ISNUMBER(#REF!)</f>
        <v>0</v>
      </c>
      <c r="J42" s="356" t="b">
        <f>ISNUMBER(#REF!)</f>
        <v>0</v>
      </c>
      <c r="K42" s="356" t="b">
        <f t="shared" si="4"/>
        <v>1</v>
      </c>
      <c r="L42" s="356" t="b">
        <f>ISNUMBER(#REF!)</f>
        <v>0</v>
      </c>
      <c r="M42" s="356" t="b">
        <f>ISNUMBER(#REF!)</f>
        <v>0</v>
      </c>
      <c r="N42" s="356" t="b">
        <f>ISNUMBER(#REF!)</f>
        <v>0</v>
      </c>
      <c r="O42" s="356" t="b">
        <f>ISNUMBER(#REF!)</f>
        <v>0</v>
      </c>
      <c r="P42" s="356" t="b">
        <f>ISNUMBER(#REF!)</f>
        <v>0</v>
      </c>
      <c r="Q42" s="939" t="str">
        <f t="shared" si="5"/>
        <v/>
      </c>
    </row>
    <row r="43" spans="1:17" s="356" customFormat="1" ht="21" customHeight="1">
      <c r="A43" s="968">
        <f t="shared" si="3"/>
        <v>45006.864583333336</v>
      </c>
      <c r="B43" s="355" t="s">
        <v>325</v>
      </c>
      <c r="C43" s="868">
        <f t="shared" si="0"/>
        <v>0</v>
      </c>
      <c r="E43" s="356" t="b">
        <f>ISNUMBER(#REF!)</f>
        <v>0</v>
      </c>
      <c r="F43" s="356" t="b">
        <f>ISNUMBER(#REF!)</f>
        <v>0</v>
      </c>
      <c r="G43" s="356" t="b">
        <f>ISNUMBER(#REF!)</f>
        <v>0</v>
      </c>
      <c r="H43" s="356" t="b">
        <f>ISNUMBER(#REF!)</f>
        <v>0</v>
      </c>
      <c r="I43" s="356" t="b">
        <f>ISNUMBER(#REF!)</f>
        <v>0</v>
      </c>
      <c r="J43" s="356" t="b">
        <f>ISNUMBER(#REF!)</f>
        <v>0</v>
      </c>
      <c r="K43" s="356" t="b">
        <f t="shared" si="4"/>
        <v>1</v>
      </c>
      <c r="L43" s="356" t="b">
        <f>ISNUMBER(#REF!)</f>
        <v>0</v>
      </c>
      <c r="M43" s="356" t="b">
        <f>ISNUMBER(#REF!)</f>
        <v>0</v>
      </c>
      <c r="N43" s="356" t="b">
        <f>ISNUMBER(#REF!)</f>
        <v>0</v>
      </c>
      <c r="O43" s="356" t="b">
        <f>ISNUMBER(#REF!)</f>
        <v>0</v>
      </c>
      <c r="P43" s="356" t="b">
        <f>ISNUMBER(#REF!)</f>
        <v>0</v>
      </c>
      <c r="Q43" s="939" t="str">
        <f t="shared" si="5"/>
        <v/>
      </c>
    </row>
    <row r="44" spans="1:17" s="356" customFormat="1" ht="21" customHeight="1">
      <c r="A44" s="968">
        <f t="shared" si="3"/>
        <v>45006.864583333336</v>
      </c>
      <c r="B44" s="355" t="s">
        <v>335</v>
      </c>
      <c r="C44" s="868">
        <f t="shared" si="0"/>
        <v>0</v>
      </c>
      <c r="E44" s="356" t="b">
        <f>ISNUMBER(#REF!)</f>
        <v>0</v>
      </c>
      <c r="F44" s="356" t="b">
        <f>ISNUMBER(#REF!)</f>
        <v>0</v>
      </c>
      <c r="G44" s="356" t="b">
        <f>ISNUMBER(#REF!)</f>
        <v>0</v>
      </c>
      <c r="H44" s="356" t="b">
        <f>ISNUMBER(#REF!)</f>
        <v>0</v>
      </c>
      <c r="I44" s="356" t="b">
        <f>ISNUMBER(#REF!)</f>
        <v>0</v>
      </c>
      <c r="J44" s="356" t="b">
        <f>ISNUMBER(#REF!)</f>
        <v>0</v>
      </c>
      <c r="K44" s="356" t="b">
        <f t="shared" si="4"/>
        <v>1</v>
      </c>
      <c r="L44" s="356" t="b">
        <f>ISNUMBER(#REF!)</f>
        <v>0</v>
      </c>
      <c r="M44" s="356" t="b">
        <f>ISNUMBER(#REF!)</f>
        <v>0</v>
      </c>
      <c r="N44" s="356" t="b">
        <f>ISNUMBER(#REF!)</f>
        <v>0</v>
      </c>
      <c r="O44" s="356" t="b">
        <f>ISNUMBER(#REF!)</f>
        <v>0</v>
      </c>
      <c r="P44" s="356" t="b">
        <f>ISNUMBER(#REF!)</f>
        <v>0</v>
      </c>
      <c r="Q44" s="939" t="str">
        <f t="shared" si="5"/>
        <v/>
      </c>
    </row>
    <row r="45" spans="1:17" s="356" customFormat="1" ht="21" customHeight="1">
      <c r="A45" s="968">
        <f t="shared" si="3"/>
        <v>45006.864583333336</v>
      </c>
      <c r="B45" s="355" t="s">
        <v>336</v>
      </c>
      <c r="C45" s="868">
        <f t="shared" si="0"/>
        <v>0</v>
      </c>
      <c r="E45" s="356" t="b">
        <f>ISNUMBER(#REF!)</f>
        <v>0</v>
      </c>
      <c r="F45" s="356" t="b">
        <f>ISNUMBER(#REF!)</f>
        <v>0</v>
      </c>
      <c r="G45" s="356" t="b">
        <f>ISNUMBER(#REF!)</f>
        <v>0</v>
      </c>
      <c r="H45" s="356" t="b">
        <f>ISNUMBER(#REF!)</f>
        <v>0</v>
      </c>
      <c r="I45" s="356" t="b">
        <f>ISNUMBER(#REF!)</f>
        <v>0</v>
      </c>
      <c r="J45" s="356" t="b">
        <f>ISNUMBER(#REF!)</f>
        <v>0</v>
      </c>
      <c r="K45" s="356" t="b">
        <f t="shared" si="4"/>
        <v>1</v>
      </c>
      <c r="L45" s="356" t="b">
        <f>ISNUMBER(#REF!)</f>
        <v>0</v>
      </c>
      <c r="M45" s="356" t="b">
        <f>ISNUMBER(#REF!)</f>
        <v>0</v>
      </c>
      <c r="N45" s="356" t="b">
        <f>ISNUMBER(#REF!)</f>
        <v>0</v>
      </c>
      <c r="O45" s="356" t="b">
        <f>ISNUMBER(#REF!)</f>
        <v>0</v>
      </c>
      <c r="P45" s="356" t="b">
        <f>ISNUMBER(#REF!)</f>
        <v>0</v>
      </c>
      <c r="Q45" s="939" t="str">
        <f t="shared" si="5"/>
        <v/>
      </c>
    </row>
    <row r="46" spans="1:17" s="877" customFormat="1" ht="21" customHeight="1">
      <c r="A46" s="968">
        <f t="shared" si="3"/>
        <v>45006.864583333336</v>
      </c>
      <c r="B46" s="876" t="s">
        <v>459</v>
      </c>
      <c r="C46" s="863">
        <f t="shared" ref="C46:C83" si="6">IFERROR(VLOOKUP($B46,RLMLXD,26,0),"")</f>
        <v>0</v>
      </c>
      <c r="E46" s="878" t="b">
        <f>ISNUMBER(#REF!)</f>
        <v>0</v>
      </c>
      <c r="F46" s="878" t="b">
        <f>ISNUMBER(#REF!)</f>
        <v>0</v>
      </c>
      <c r="G46" s="878" t="b">
        <f>ISNUMBER(#REF!)</f>
        <v>0</v>
      </c>
      <c r="H46" s="878" t="b">
        <f>ISNUMBER(#REF!)</f>
        <v>0</v>
      </c>
      <c r="I46" s="878" t="b">
        <f>ISNUMBER(#REF!)</f>
        <v>0</v>
      </c>
      <c r="J46" s="878" t="b">
        <f>ISNUMBER(#REF!)</f>
        <v>0</v>
      </c>
      <c r="K46" s="878" t="b">
        <f t="shared" si="4"/>
        <v>1</v>
      </c>
      <c r="L46" s="878" t="b">
        <f>ISNUMBER(#REF!)</f>
        <v>0</v>
      </c>
      <c r="M46" s="878" t="b">
        <f>ISNUMBER(#REF!)</f>
        <v>0</v>
      </c>
      <c r="N46" s="878" t="b">
        <f>ISNUMBER(#REF!)</f>
        <v>0</v>
      </c>
      <c r="O46" s="878" t="b">
        <f>ISNUMBER(#REF!)</f>
        <v>0</v>
      </c>
      <c r="P46" s="878" t="b">
        <f>ISNUMBER(#REF!)</f>
        <v>0</v>
      </c>
      <c r="Q46" s="831" t="str">
        <f t="shared" si="5"/>
        <v/>
      </c>
    </row>
    <row r="47" spans="1:17" ht="21" customHeight="1">
      <c r="A47" s="968">
        <f t="shared" si="3"/>
        <v>45006.864583333336</v>
      </c>
      <c r="B47" s="355" t="s">
        <v>463</v>
      </c>
      <c r="C47" s="868">
        <f t="shared" si="6"/>
        <v>0</v>
      </c>
      <c r="E47" s="356" t="b">
        <f>ISNUMBER(#REF!)</f>
        <v>0</v>
      </c>
      <c r="F47" s="356" t="b">
        <f>ISNUMBER(#REF!)</f>
        <v>0</v>
      </c>
      <c r="G47" s="356" t="b">
        <f>ISNUMBER(#REF!)</f>
        <v>0</v>
      </c>
      <c r="H47" s="356" t="b">
        <f>ISNUMBER(#REF!)</f>
        <v>0</v>
      </c>
      <c r="I47" s="356" t="b">
        <f>ISNUMBER(#REF!)</f>
        <v>0</v>
      </c>
      <c r="J47" s="356" t="b">
        <f>ISNUMBER(#REF!)</f>
        <v>0</v>
      </c>
      <c r="K47" s="356" t="b">
        <f t="shared" si="4"/>
        <v>1</v>
      </c>
      <c r="L47" s="356" t="b">
        <f>ISNUMBER(#REF!)</f>
        <v>0</v>
      </c>
      <c r="M47" s="356" t="b">
        <f>ISNUMBER(#REF!)</f>
        <v>0</v>
      </c>
      <c r="N47" s="356" t="b">
        <f>ISNUMBER(#REF!)</f>
        <v>0</v>
      </c>
      <c r="O47" s="356" t="b">
        <f>ISNUMBER(#REF!)</f>
        <v>0</v>
      </c>
      <c r="P47" s="356" t="b">
        <f>ISNUMBER(#REF!)</f>
        <v>0</v>
      </c>
      <c r="Q47" s="939" t="str">
        <f t="shared" si="5"/>
        <v/>
      </c>
    </row>
    <row r="48" spans="1:17" ht="21" customHeight="1">
      <c r="A48" s="968">
        <f t="shared" si="3"/>
        <v>45006.864583333336</v>
      </c>
      <c r="B48" s="355" t="s">
        <v>464</v>
      </c>
      <c r="C48" s="868">
        <f t="shared" si="6"/>
        <v>0</v>
      </c>
      <c r="E48" s="356" t="b">
        <f>ISNUMBER(#REF!)</f>
        <v>0</v>
      </c>
      <c r="F48" s="356" t="b">
        <f>ISNUMBER(#REF!)</f>
        <v>0</v>
      </c>
      <c r="G48" s="356" t="b">
        <f>ISNUMBER(#REF!)</f>
        <v>0</v>
      </c>
      <c r="H48" s="356" t="b">
        <f>ISNUMBER(#REF!)</f>
        <v>0</v>
      </c>
      <c r="I48" s="356" t="b">
        <f>ISNUMBER(#REF!)</f>
        <v>0</v>
      </c>
      <c r="J48" s="356" t="b">
        <f>ISNUMBER(#REF!)</f>
        <v>0</v>
      </c>
      <c r="K48" s="356" t="b">
        <f t="shared" si="4"/>
        <v>1</v>
      </c>
      <c r="L48" s="356" t="b">
        <f>ISNUMBER(#REF!)</f>
        <v>0</v>
      </c>
      <c r="M48" s="356" t="b">
        <f>ISNUMBER(#REF!)</f>
        <v>0</v>
      </c>
      <c r="N48" s="356" t="b">
        <f>ISNUMBER(#REF!)</f>
        <v>0</v>
      </c>
      <c r="O48" s="356" t="b">
        <f>ISNUMBER(#REF!)</f>
        <v>0</v>
      </c>
      <c r="P48" s="356" t="b">
        <f>ISNUMBER(#REF!)</f>
        <v>0</v>
      </c>
      <c r="Q48" s="939" t="str">
        <f t="shared" si="5"/>
        <v/>
      </c>
    </row>
    <row r="49" spans="1:17" ht="21" customHeight="1">
      <c r="A49" s="968">
        <f t="shared" si="3"/>
        <v>45006.864583333336</v>
      </c>
      <c r="B49" s="355" t="s">
        <v>467</v>
      </c>
      <c r="C49" s="868">
        <f t="shared" si="6"/>
        <v>0</v>
      </c>
      <c r="E49" s="356" t="b">
        <f>ISNUMBER(#REF!)</f>
        <v>0</v>
      </c>
      <c r="F49" s="356" t="b">
        <f>ISNUMBER(#REF!)</f>
        <v>0</v>
      </c>
      <c r="G49" s="356" t="b">
        <f>ISNUMBER(#REF!)</f>
        <v>0</v>
      </c>
      <c r="H49" s="356" t="b">
        <f>ISNUMBER(#REF!)</f>
        <v>0</v>
      </c>
      <c r="I49" s="356" t="b">
        <f>ISNUMBER(#REF!)</f>
        <v>0</v>
      </c>
      <c r="J49" s="356" t="b">
        <f>ISNUMBER(#REF!)</f>
        <v>0</v>
      </c>
      <c r="K49" s="356" t="b">
        <f t="shared" si="4"/>
        <v>1</v>
      </c>
      <c r="L49" s="356" t="b">
        <f>ISNUMBER(#REF!)</f>
        <v>0</v>
      </c>
      <c r="M49" s="356" t="b">
        <f>ISNUMBER(#REF!)</f>
        <v>0</v>
      </c>
      <c r="N49" s="356" t="b">
        <f>ISNUMBER(#REF!)</f>
        <v>0</v>
      </c>
      <c r="O49" s="356" t="b">
        <f>ISNUMBER(#REF!)</f>
        <v>0</v>
      </c>
      <c r="P49" s="356" t="b">
        <f>ISNUMBER(#REF!)</f>
        <v>0</v>
      </c>
      <c r="Q49" s="939" t="str">
        <f t="shared" si="5"/>
        <v/>
      </c>
    </row>
    <row r="50" spans="1:17" ht="21" customHeight="1">
      <c r="A50" s="968">
        <f t="shared" si="3"/>
        <v>45006.864583333336</v>
      </c>
      <c r="B50" s="355" t="s">
        <v>468</v>
      </c>
      <c r="C50" s="868">
        <f t="shared" si="6"/>
        <v>0</v>
      </c>
      <c r="E50" s="356" t="b">
        <f>ISNUMBER(#REF!)</f>
        <v>0</v>
      </c>
      <c r="F50" s="356" t="b">
        <f>ISNUMBER(#REF!)</f>
        <v>0</v>
      </c>
      <c r="G50" s="356" t="b">
        <f>ISNUMBER(#REF!)</f>
        <v>0</v>
      </c>
      <c r="H50" s="356" t="b">
        <f>ISNUMBER(#REF!)</f>
        <v>0</v>
      </c>
      <c r="I50" s="356" t="b">
        <f>ISNUMBER(#REF!)</f>
        <v>0</v>
      </c>
      <c r="J50" s="356" t="b">
        <f>ISNUMBER(#REF!)</f>
        <v>0</v>
      </c>
      <c r="K50" s="356" t="b">
        <f t="shared" si="4"/>
        <v>1</v>
      </c>
      <c r="L50" s="356" t="b">
        <f>ISNUMBER(#REF!)</f>
        <v>0</v>
      </c>
      <c r="M50" s="356" t="b">
        <f>ISNUMBER(#REF!)</f>
        <v>0</v>
      </c>
      <c r="N50" s="356" t="b">
        <f>ISNUMBER(#REF!)</f>
        <v>0</v>
      </c>
      <c r="O50" s="356" t="b">
        <f>ISNUMBER(#REF!)</f>
        <v>0</v>
      </c>
      <c r="P50" s="356" t="b">
        <f>ISNUMBER(#REF!)</f>
        <v>0</v>
      </c>
      <c r="Q50" s="939" t="str">
        <f t="shared" si="5"/>
        <v/>
      </c>
    </row>
    <row r="51" spans="1:17" ht="21" customHeight="1">
      <c r="A51" s="968">
        <f t="shared" si="3"/>
        <v>45006.864583333336</v>
      </c>
      <c r="B51" s="355" t="s">
        <v>470</v>
      </c>
      <c r="C51" s="868">
        <f t="shared" si="6"/>
        <v>0</v>
      </c>
      <c r="E51" s="356" t="b">
        <f>ISNUMBER(#REF!)</f>
        <v>0</v>
      </c>
      <c r="F51" s="356" t="b">
        <f>ISNUMBER(#REF!)</f>
        <v>0</v>
      </c>
      <c r="G51" s="356" t="b">
        <f>ISNUMBER(#REF!)</f>
        <v>0</v>
      </c>
      <c r="H51" s="356" t="b">
        <f>ISNUMBER(#REF!)</f>
        <v>0</v>
      </c>
      <c r="I51" s="356" t="b">
        <f>ISNUMBER(#REF!)</f>
        <v>0</v>
      </c>
      <c r="J51" s="356" t="b">
        <f>ISNUMBER(#REF!)</f>
        <v>0</v>
      </c>
      <c r="K51" s="356" t="b">
        <f t="shared" si="4"/>
        <v>1</v>
      </c>
      <c r="L51" s="356" t="b">
        <f>ISNUMBER(#REF!)</f>
        <v>0</v>
      </c>
      <c r="M51" s="356" t="b">
        <f>ISNUMBER(#REF!)</f>
        <v>0</v>
      </c>
      <c r="N51" s="356" t="b">
        <f>ISNUMBER(#REF!)</f>
        <v>0</v>
      </c>
      <c r="O51" s="356" t="b">
        <f>ISNUMBER(#REF!)</f>
        <v>0</v>
      </c>
      <c r="P51" s="356" t="b">
        <f>ISNUMBER(#REF!)</f>
        <v>0</v>
      </c>
      <c r="Q51" s="939" t="str">
        <f t="shared" si="5"/>
        <v/>
      </c>
    </row>
    <row r="52" spans="1:17" ht="21" customHeight="1">
      <c r="A52" s="968">
        <f t="shared" si="3"/>
        <v>45006.864583333336</v>
      </c>
      <c r="B52" s="355" t="s">
        <v>472</v>
      </c>
      <c r="C52" s="868">
        <f t="shared" si="6"/>
        <v>0</v>
      </c>
      <c r="E52" s="356" t="b">
        <f>ISNUMBER(#REF!)</f>
        <v>0</v>
      </c>
      <c r="F52" s="356" t="b">
        <f>ISNUMBER(#REF!)</f>
        <v>0</v>
      </c>
      <c r="G52" s="356" t="b">
        <f>ISNUMBER(#REF!)</f>
        <v>0</v>
      </c>
      <c r="H52" s="356" t="b">
        <f>ISNUMBER(#REF!)</f>
        <v>0</v>
      </c>
      <c r="I52" s="356" t="b">
        <f>ISNUMBER(#REF!)</f>
        <v>0</v>
      </c>
      <c r="J52" s="356" t="b">
        <f>ISNUMBER(#REF!)</f>
        <v>0</v>
      </c>
      <c r="K52" s="356" t="b">
        <f t="shared" si="4"/>
        <v>1</v>
      </c>
      <c r="L52" s="356" t="b">
        <f>ISNUMBER(#REF!)</f>
        <v>0</v>
      </c>
      <c r="M52" s="356" t="b">
        <f>ISNUMBER(#REF!)</f>
        <v>0</v>
      </c>
      <c r="N52" s="356" t="b">
        <f>ISNUMBER(#REF!)</f>
        <v>0</v>
      </c>
      <c r="O52" s="356" t="b">
        <f>ISNUMBER(#REF!)</f>
        <v>0</v>
      </c>
      <c r="P52" s="356" t="b">
        <f>ISNUMBER(#REF!)</f>
        <v>0</v>
      </c>
      <c r="Q52" s="939" t="str">
        <f t="shared" si="5"/>
        <v/>
      </c>
    </row>
    <row r="53" spans="1:17" ht="21" customHeight="1">
      <c r="A53" s="968">
        <f t="shared" si="3"/>
        <v>45006.864583333336</v>
      </c>
      <c r="B53" s="355" t="s">
        <v>473</v>
      </c>
      <c r="C53" s="868">
        <f t="shared" si="6"/>
        <v>0</v>
      </c>
      <c r="E53" s="356" t="b">
        <f>ISNUMBER(#REF!)</f>
        <v>0</v>
      </c>
      <c r="F53" s="356" t="b">
        <f>ISNUMBER(#REF!)</f>
        <v>0</v>
      </c>
      <c r="G53" s="356" t="b">
        <f>ISNUMBER(#REF!)</f>
        <v>0</v>
      </c>
      <c r="H53" s="356" t="b">
        <f>ISNUMBER(#REF!)</f>
        <v>0</v>
      </c>
      <c r="I53" s="356" t="b">
        <f>ISNUMBER(#REF!)</f>
        <v>0</v>
      </c>
      <c r="J53" s="356" t="b">
        <f>ISNUMBER(#REF!)</f>
        <v>0</v>
      </c>
      <c r="K53" s="356" t="b">
        <f t="shared" si="4"/>
        <v>1</v>
      </c>
      <c r="L53" s="356" t="b">
        <f>ISNUMBER(#REF!)</f>
        <v>0</v>
      </c>
      <c r="M53" s="356" t="b">
        <f>ISNUMBER(#REF!)</f>
        <v>0</v>
      </c>
      <c r="N53" s="356" t="b">
        <f>ISNUMBER(#REF!)</f>
        <v>0</v>
      </c>
      <c r="O53" s="356" t="b">
        <f>ISNUMBER(#REF!)</f>
        <v>0</v>
      </c>
      <c r="P53" s="356" t="b">
        <f>ISNUMBER(#REF!)</f>
        <v>0</v>
      </c>
      <c r="Q53" s="939" t="str">
        <f t="shared" si="5"/>
        <v/>
      </c>
    </row>
    <row r="54" spans="1:17" ht="21" customHeight="1">
      <c r="A54" s="968">
        <f t="shared" si="3"/>
        <v>45006.864583333336</v>
      </c>
      <c r="B54" s="355" t="s">
        <v>474</v>
      </c>
      <c r="C54" s="868">
        <f t="shared" si="6"/>
        <v>0</v>
      </c>
      <c r="E54" s="356" t="b">
        <f>ISNUMBER(#REF!)</f>
        <v>0</v>
      </c>
      <c r="F54" s="356" t="b">
        <f>ISNUMBER(#REF!)</f>
        <v>0</v>
      </c>
      <c r="G54" s="356" t="b">
        <f>ISNUMBER(#REF!)</f>
        <v>0</v>
      </c>
      <c r="H54" s="356" t="b">
        <f>ISNUMBER(#REF!)</f>
        <v>0</v>
      </c>
      <c r="I54" s="356" t="b">
        <f>ISNUMBER(#REF!)</f>
        <v>0</v>
      </c>
      <c r="J54" s="356" t="b">
        <f>ISNUMBER(#REF!)</f>
        <v>0</v>
      </c>
      <c r="K54" s="356" t="b">
        <f t="shared" si="4"/>
        <v>1</v>
      </c>
      <c r="L54" s="356" t="b">
        <f>ISNUMBER(#REF!)</f>
        <v>0</v>
      </c>
      <c r="M54" s="356" t="b">
        <f>ISNUMBER(#REF!)</f>
        <v>0</v>
      </c>
      <c r="N54" s="356" t="b">
        <f>ISNUMBER(#REF!)</f>
        <v>0</v>
      </c>
      <c r="O54" s="356" t="b">
        <f>ISNUMBER(#REF!)</f>
        <v>0</v>
      </c>
      <c r="P54" s="356" t="b">
        <f>ISNUMBER(#REF!)</f>
        <v>0</v>
      </c>
      <c r="Q54" s="939" t="str">
        <f t="shared" si="5"/>
        <v/>
      </c>
    </row>
    <row r="55" spans="1:17" ht="21" customHeight="1">
      <c r="A55" s="968">
        <f t="shared" si="3"/>
        <v>45006.864583333336</v>
      </c>
      <c r="B55" s="355" t="s">
        <v>477</v>
      </c>
      <c r="C55" s="868">
        <f t="shared" si="6"/>
        <v>0</v>
      </c>
      <c r="E55" s="356" t="b">
        <f>ISNUMBER(#REF!)</f>
        <v>0</v>
      </c>
      <c r="F55" s="356" t="b">
        <f>ISNUMBER(#REF!)</f>
        <v>0</v>
      </c>
      <c r="G55" s="356" t="b">
        <f>ISNUMBER(#REF!)</f>
        <v>0</v>
      </c>
      <c r="H55" s="356" t="b">
        <f>ISNUMBER(#REF!)</f>
        <v>0</v>
      </c>
      <c r="I55" s="356" t="b">
        <f>ISNUMBER(#REF!)</f>
        <v>0</v>
      </c>
      <c r="J55" s="356" t="b">
        <f>ISNUMBER(#REF!)</f>
        <v>0</v>
      </c>
      <c r="K55" s="356" t="b">
        <f t="shared" si="4"/>
        <v>1</v>
      </c>
      <c r="L55" s="356" t="b">
        <f>ISNUMBER(#REF!)</f>
        <v>0</v>
      </c>
      <c r="M55" s="356" t="b">
        <f>ISNUMBER(#REF!)</f>
        <v>0</v>
      </c>
      <c r="N55" s="356" t="b">
        <f>ISNUMBER(#REF!)</f>
        <v>0</v>
      </c>
      <c r="O55" s="356" t="b">
        <f>ISNUMBER(#REF!)</f>
        <v>0</v>
      </c>
      <c r="P55" s="356" t="b">
        <f>ISNUMBER(#REF!)</f>
        <v>0</v>
      </c>
      <c r="Q55" s="939" t="str">
        <f t="shared" si="5"/>
        <v/>
      </c>
    </row>
    <row r="56" spans="1:17" ht="21" customHeight="1">
      <c r="A56" s="968">
        <f t="shared" si="3"/>
        <v>45006.864583333336</v>
      </c>
      <c r="B56" s="355" t="s">
        <v>982</v>
      </c>
      <c r="C56" s="868">
        <f t="shared" si="6"/>
        <v>0</v>
      </c>
      <c r="E56" s="356" t="b">
        <f>ISNUMBER(#REF!)</f>
        <v>0</v>
      </c>
      <c r="F56" s="356" t="b">
        <f>ISNUMBER(#REF!)</f>
        <v>0</v>
      </c>
      <c r="G56" s="356" t="b">
        <f>ISNUMBER(#REF!)</f>
        <v>0</v>
      </c>
      <c r="H56" s="356" t="b">
        <f>ISNUMBER(#REF!)</f>
        <v>0</v>
      </c>
      <c r="I56" s="356" t="b">
        <f>ISNUMBER(#REF!)</f>
        <v>0</v>
      </c>
      <c r="J56" s="356" t="b">
        <f>ISNUMBER(#REF!)</f>
        <v>0</v>
      </c>
      <c r="K56" s="356" t="b">
        <f t="shared" si="4"/>
        <v>1</v>
      </c>
      <c r="L56" s="356" t="b">
        <f>ISNUMBER(#REF!)</f>
        <v>0</v>
      </c>
      <c r="M56" s="356" t="b">
        <f>ISNUMBER(#REF!)</f>
        <v>0</v>
      </c>
      <c r="N56" s="356" t="b">
        <f>ISNUMBER(#REF!)</f>
        <v>0</v>
      </c>
      <c r="O56" s="356" t="b">
        <f>ISNUMBER(#REF!)</f>
        <v>0</v>
      </c>
      <c r="P56" s="356" t="b">
        <f>ISNUMBER(#REF!)</f>
        <v>0</v>
      </c>
      <c r="Q56" s="939" t="str">
        <f t="shared" si="5"/>
        <v/>
      </c>
    </row>
    <row r="57" spans="1:17" ht="21" customHeight="1">
      <c r="A57" s="968">
        <f t="shared" si="3"/>
        <v>45006.864583333336</v>
      </c>
      <c r="B57" s="355" t="s">
        <v>983</v>
      </c>
      <c r="C57" s="868">
        <f t="shared" si="6"/>
        <v>0</v>
      </c>
      <c r="E57" s="356" t="b">
        <f>ISNUMBER(#REF!)</f>
        <v>0</v>
      </c>
      <c r="F57" s="356" t="b">
        <f>ISNUMBER(#REF!)</f>
        <v>0</v>
      </c>
      <c r="G57" s="356" t="b">
        <f>ISNUMBER(#REF!)</f>
        <v>0</v>
      </c>
      <c r="H57" s="356" t="b">
        <f>ISNUMBER(#REF!)</f>
        <v>0</v>
      </c>
      <c r="I57" s="356" t="b">
        <f>ISNUMBER(#REF!)</f>
        <v>0</v>
      </c>
      <c r="J57" s="356" t="b">
        <f>ISNUMBER(#REF!)</f>
        <v>0</v>
      </c>
      <c r="K57" s="356" t="b">
        <f t="shared" si="4"/>
        <v>1</v>
      </c>
      <c r="L57" s="356" t="b">
        <f>ISNUMBER(#REF!)</f>
        <v>0</v>
      </c>
      <c r="M57" s="356" t="b">
        <f>ISNUMBER(#REF!)</f>
        <v>0</v>
      </c>
      <c r="N57" s="356" t="b">
        <f>ISNUMBER(#REF!)</f>
        <v>0</v>
      </c>
      <c r="O57" s="356" t="b">
        <f>ISNUMBER(#REF!)</f>
        <v>0</v>
      </c>
      <c r="P57" s="356" t="b">
        <f>ISNUMBER(#REF!)</f>
        <v>0</v>
      </c>
      <c r="Q57" s="939" t="str">
        <f t="shared" si="5"/>
        <v/>
      </c>
    </row>
    <row r="58" spans="1:17" ht="21" customHeight="1">
      <c r="A58" s="968">
        <f t="shared" si="3"/>
        <v>45006.864583333336</v>
      </c>
      <c r="B58" s="355" t="s">
        <v>987</v>
      </c>
      <c r="C58" s="868">
        <f t="shared" si="6"/>
        <v>0</v>
      </c>
      <c r="E58" s="356" t="b">
        <f>ISNUMBER(#REF!)</f>
        <v>0</v>
      </c>
      <c r="F58" s="356" t="b">
        <f>ISNUMBER(#REF!)</f>
        <v>0</v>
      </c>
      <c r="G58" s="356" t="b">
        <f>ISNUMBER(#REF!)</f>
        <v>0</v>
      </c>
      <c r="H58" s="356" t="b">
        <f>ISNUMBER(#REF!)</f>
        <v>0</v>
      </c>
      <c r="I58" s="356" t="b">
        <f>ISNUMBER(#REF!)</f>
        <v>0</v>
      </c>
      <c r="J58" s="356" t="b">
        <f>ISNUMBER(#REF!)</f>
        <v>0</v>
      </c>
      <c r="K58" s="356" t="b">
        <f t="shared" si="4"/>
        <v>1</v>
      </c>
      <c r="L58" s="356" t="b">
        <f>ISNUMBER(#REF!)</f>
        <v>0</v>
      </c>
      <c r="M58" s="356" t="b">
        <f>ISNUMBER(#REF!)</f>
        <v>0</v>
      </c>
      <c r="N58" s="356" t="b">
        <f>ISNUMBER(#REF!)</f>
        <v>0</v>
      </c>
      <c r="O58" s="356" t="b">
        <f>ISNUMBER(#REF!)</f>
        <v>0</v>
      </c>
      <c r="P58" s="356" t="b">
        <f>ISNUMBER(#REF!)</f>
        <v>0</v>
      </c>
      <c r="Q58" s="939" t="str">
        <f t="shared" si="5"/>
        <v/>
      </c>
    </row>
    <row r="59" spans="1:17" ht="21" customHeight="1">
      <c r="A59" s="968">
        <f t="shared" si="3"/>
        <v>45006.864583333336</v>
      </c>
      <c r="B59" s="355" t="s">
        <v>989</v>
      </c>
      <c r="C59" s="868">
        <f t="shared" si="6"/>
        <v>0</v>
      </c>
      <c r="E59" s="356" t="b">
        <f>ISNUMBER(#REF!)</f>
        <v>0</v>
      </c>
      <c r="F59" s="356" t="b">
        <f>ISNUMBER(#REF!)</f>
        <v>0</v>
      </c>
      <c r="G59" s="356" t="b">
        <f>ISNUMBER(#REF!)</f>
        <v>0</v>
      </c>
      <c r="H59" s="356" t="b">
        <f>ISNUMBER(#REF!)</f>
        <v>0</v>
      </c>
      <c r="I59" s="356" t="b">
        <f>ISNUMBER(#REF!)</f>
        <v>0</v>
      </c>
      <c r="J59" s="356" t="b">
        <f>ISNUMBER(#REF!)</f>
        <v>0</v>
      </c>
      <c r="K59" s="356" t="b">
        <f t="shared" si="4"/>
        <v>1</v>
      </c>
      <c r="L59" s="356" t="b">
        <f>ISNUMBER(#REF!)</f>
        <v>0</v>
      </c>
      <c r="M59" s="356" t="b">
        <f>ISNUMBER(#REF!)</f>
        <v>0</v>
      </c>
      <c r="N59" s="356" t="b">
        <f>ISNUMBER(#REF!)</f>
        <v>0</v>
      </c>
      <c r="O59" s="356" t="b">
        <f>ISNUMBER(#REF!)</f>
        <v>0</v>
      </c>
      <c r="P59" s="356" t="b">
        <f>ISNUMBER(#REF!)</f>
        <v>0</v>
      </c>
      <c r="Q59" s="939" t="str">
        <f t="shared" si="5"/>
        <v/>
      </c>
    </row>
    <row r="60" spans="1:17" ht="21" customHeight="1">
      <c r="A60" s="968">
        <f t="shared" si="3"/>
        <v>45006.864583333336</v>
      </c>
      <c r="B60" s="355" t="s">
        <v>990</v>
      </c>
      <c r="C60" s="868">
        <f t="shared" si="6"/>
        <v>0</v>
      </c>
      <c r="E60" s="356" t="b">
        <f>ISNUMBER(#REF!)</f>
        <v>0</v>
      </c>
      <c r="F60" s="356" t="b">
        <f>ISNUMBER(#REF!)</f>
        <v>0</v>
      </c>
      <c r="G60" s="356" t="b">
        <f>ISNUMBER(#REF!)</f>
        <v>0</v>
      </c>
      <c r="H60" s="356" t="b">
        <f>ISNUMBER(#REF!)</f>
        <v>0</v>
      </c>
      <c r="I60" s="356" t="b">
        <f>ISNUMBER(#REF!)</f>
        <v>0</v>
      </c>
      <c r="J60" s="356" t="b">
        <f>ISNUMBER(#REF!)</f>
        <v>0</v>
      </c>
      <c r="K60" s="356" t="b">
        <f t="shared" si="4"/>
        <v>1</v>
      </c>
      <c r="L60" s="356" t="b">
        <f>ISNUMBER(#REF!)</f>
        <v>0</v>
      </c>
      <c r="M60" s="356" t="b">
        <f>ISNUMBER(#REF!)</f>
        <v>0</v>
      </c>
      <c r="N60" s="356" t="b">
        <f>ISNUMBER(#REF!)</f>
        <v>0</v>
      </c>
      <c r="O60" s="356" t="b">
        <f>ISNUMBER(#REF!)</f>
        <v>0</v>
      </c>
      <c r="P60" s="356" t="b">
        <f>ISNUMBER(#REF!)</f>
        <v>0</v>
      </c>
      <c r="Q60" s="939" t="str">
        <f t="shared" si="5"/>
        <v/>
      </c>
    </row>
    <row r="61" spans="1:17" ht="21" customHeight="1">
      <c r="A61" s="968">
        <f t="shared" si="3"/>
        <v>45006.864583333336</v>
      </c>
      <c r="B61" s="355" t="s">
        <v>985</v>
      </c>
      <c r="C61" s="868">
        <f t="shared" si="6"/>
        <v>0</v>
      </c>
      <c r="E61" s="356" t="b">
        <f>ISNUMBER(#REF!)</f>
        <v>0</v>
      </c>
      <c r="F61" s="356" t="b">
        <f>ISNUMBER(#REF!)</f>
        <v>0</v>
      </c>
      <c r="G61" s="356" t="b">
        <f>ISNUMBER(#REF!)</f>
        <v>0</v>
      </c>
      <c r="H61" s="356" t="b">
        <f>ISNUMBER(#REF!)</f>
        <v>0</v>
      </c>
      <c r="I61" s="356" t="b">
        <f>ISNUMBER(#REF!)</f>
        <v>0</v>
      </c>
      <c r="J61" s="356" t="b">
        <f>ISNUMBER(#REF!)</f>
        <v>0</v>
      </c>
      <c r="K61" s="356" t="b">
        <f t="shared" si="4"/>
        <v>1</v>
      </c>
      <c r="L61" s="356" t="b">
        <f>ISNUMBER(#REF!)</f>
        <v>0</v>
      </c>
      <c r="M61" s="356" t="b">
        <f>ISNUMBER(#REF!)</f>
        <v>0</v>
      </c>
      <c r="N61" s="356" t="b">
        <f>ISNUMBER(#REF!)</f>
        <v>0</v>
      </c>
      <c r="O61" s="356" t="b">
        <f>ISNUMBER(#REF!)</f>
        <v>0</v>
      </c>
      <c r="P61" s="356" t="b">
        <f>ISNUMBER(#REF!)</f>
        <v>0</v>
      </c>
      <c r="Q61" s="939" t="str">
        <f t="shared" si="5"/>
        <v/>
      </c>
    </row>
    <row r="62" spans="1:17" ht="21" customHeight="1">
      <c r="A62" s="968">
        <f t="shared" si="3"/>
        <v>45006.864583333336</v>
      </c>
      <c r="B62" s="355" t="s">
        <v>986</v>
      </c>
      <c r="C62" s="868">
        <f t="shared" si="6"/>
        <v>0</v>
      </c>
      <c r="E62" s="356" t="b">
        <f>ISNUMBER(#REF!)</f>
        <v>0</v>
      </c>
      <c r="F62" s="356" t="b">
        <f>ISNUMBER(#REF!)</f>
        <v>0</v>
      </c>
      <c r="G62" s="356" t="b">
        <f>ISNUMBER(#REF!)</f>
        <v>0</v>
      </c>
      <c r="H62" s="356" t="b">
        <f>ISNUMBER(#REF!)</f>
        <v>0</v>
      </c>
      <c r="I62" s="356" t="b">
        <f>ISNUMBER(#REF!)</f>
        <v>0</v>
      </c>
      <c r="J62" s="356" t="b">
        <f>ISNUMBER(#REF!)</f>
        <v>0</v>
      </c>
      <c r="K62" s="356" t="b">
        <f t="shared" si="4"/>
        <v>1</v>
      </c>
      <c r="L62" s="356" t="b">
        <f>ISNUMBER(#REF!)</f>
        <v>0</v>
      </c>
      <c r="M62" s="356" t="b">
        <f>ISNUMBER(#REF!)</f>
        <v>0</v>
      </c>
      <c r="N62" s="356" t="b">
        <f>ISNUMBER(#REF!)</f>
        <v>0</v>
      </c>
      <c r="O62" s="356" t="b">
        <f>ISNUMBER(#REF!)</f>
        <v>0</v>
      </c>
      <c r="P62" s="356" t="b">
        <f>ISNUMBER(#REF!)</f>
        <v>0</v>
      </c>
      <c r="Q62" s="939" t="str">
        <f t="shared" si="5"/>
        <v/>
      </c>
    </row>
    <row r="63" spans="1:17" ht="21" customHeight="1">
      <c r="A63" s="968">
        <f t="shared" si="3"/>
        <v>45006.864583333336</v>
      </c>
      <c r="B63" s="355" t="s">
        <v>916</v>
      </c>
      <c r="C63" s="868">
        <f t="shared" si="6"/>
        <v>0</v>
      </c>
      <c r="E63" s="356" t="b">
        <f>ISNUMBER(#REF!)</f>
        <v>0</v>
      </c>
      <c r="F63" s="356" t="b">
        <f>ISNUMBER(#REF!)</f>
        <v>0</v>
      </c>
      <c r="G63" s="356" t="b">
        <f>ISNUMBER(#REF!)</f>
        <v>0</v>
      </c>
      <c r="H63" s="356" t="b">
        <f>ISNUMBER(#REF!)</f>
        <v>0</v>
      </c>
      <c r="I63" s="356" t="b">
        <f>ISNUMBER(#REF!)</f>
        <v>0</v>
      </c>
      <c r="J63" s="356" t="b">
        <f>ISNUMBER(#REF!)</f>
        <v>0</v>
      </c>
      <c r="K63" s="356" t="b">
        <f t="shared" si="4"/>
        <v>1</v>
      </c>
      <c r="L63" s="356" t="b">
        <f>ISNUMBER(#REF!)</f>
        <v>0</v>
      </c>
      <c r="M63" s="356" t="b">
        <f>ISNUMBER(#REF!)</f>
        <v>0</v>
      </c>
      <c r="N63" s="356" t="b">
        <f>ISNUMBER(#REF!)</f>
        <v>0</v>
      </c>
      <c r="O63" s="356" t="b">
        <f>ISNUMBER(#REF!)</f>
        <v>0</v>
      </c>
      <c r="P63" s="356" t="b">
        <f>ISNUMBER(#REF!)</f>
        <v>0</v>
      </c>
      <c r="Q63" s="939" t="str">
        <f t="shared" si="5"/>
        <v/>
      </c>
    </row>
    <row r="64" spans="1:17" ht="21" customHeight="1">
      <c r="A64" s="968">
        <f t="shared" si="3"/>
        <v>45006.864583333336</v>
      </c>
      <c r="B64" s="355" t="s">
        <v>915</v>
      </c>
      <c r="C64" s="868">
        <f t="shared" si="6"/>
        <v>0</v>
      </c>
      <c r="E64" s="356" t="b">
        <f>ISNUMBER(#REF!)</f>
        <v>0</v>
      </c>
      <c r="F64" s="356" t="b">
        <f>ISNUMBER(#REF!)</f>
        <v>0</v>
      </c>
      <c r="G64" s="356" t="b">
        <f>ISNUMBER(#REF!)</f>
        <v>0</v>
      </c>
      <c r="H64" s="356" t="b">
        <f>ISNUMBER(#REF!)</f>
        <v>0</v>
      </c>
      <c r="I64" s="356" t="b">
        <f>ISNUMBER(#REF!)</f>
        <v>0</v>
      </c>
      <c r="J64" s="356" t="b">
        <f>ISNUMBER(#REF!)</f>
        <v>0</v>
      </c>
      <c r="K64" s="356" t="b">
        <f t="shared" si="4"/>
        <v>1</v>
      </c>
      <c r="L64" s="356" t="b">
        <f>ISNUMBER(#REF!)</f>
        <v>0</v>
      </c>
      <c r="M64" s="356" t="b">
        <f>ISNUMBER(#REF!)</f>
        <v>0</v>
      </c>
      <c r="N64" s="356" t="b">
        <f>ISNUMBER(#REF!)</f>
        <v>0</v>
      </c>
      <c r="O64" s="356" t="b">
        <f>ISNUMBER(#REF!)</f>
        <v>0</v>
      </c>
      <c r="P64" s="356" t="b">
        <f>ISNUMBER(#REF!)</f>
        <v>0</v>
      </c>
      <c r="Q64" s="939" t="str">
        <f t="shared" si="5"/>
        <v/>
      </c>
    </row>
    <row r="65" spans="1:17" ht="21" customHeight="1">
      <c r="A65" s="968">
        <f t="shared" si="3"/>
        <v>45006.864583333336</v>
      </c>
      <c r="B65" s="355" t="s">
        <v>917</v>
      </c>
      <c r="C65" s="868">
        <f t="shared" si="6"/>
        <v>0</v>
      </c>
      <c r="E65" s="356" t="b">
        <f>ISNUMBER(#REF!)</f>
        <v>0</v>
      </c>
      <c r="F65" s="356" t="b">
        <f>ISNUMBER(#REF!)</f>
        <v>0</v>
      </c>
      <c r="G65" s="356" t="b">
        <f>ISNUMBER(#REF!)</f>
        <v>0</v>
      </c>
      <c r="H65" s="356" t="b">
        <f>ISNUMBER(#REF!)</f>
        <v>0</v>
      </c>
      <c r="I65" s="356" t="b">
        <f>ISNUMBER(#REF!)</f>
        <v>0</v>
      </c>
      <c r="J65" s="356" t="b">
        <f>ISNUMBER(#REF!)</f>
        <v>0</v>
      </c>
      <c r="K65" s="356" t="b">
        <f t="shared" si="4"/>
        <v>1</v>
      </c>
      <c r="L65" s="356" t="b">
        <f>ISNUMBER(#REF!)</f>
        <v>0</v>
      </c>
      <c r="M65" s="356" t="b">
        <f>ISNUMBER(#REF!)</f>
        <v>0</v>
      </c>
      <c r="N65" s="356" t="b">
        <f>ISNUMBER(#REF!)</f>
        <v>0</v>
      </c>
      <c r="O65" s="356" t="b">
        <f>ISNUMBER(#REF!)</f>
        <v>0</v>
      </c>
      <c r="P65" s="356" t="b">
        <f>ISNUMBER(#REF!)</f>
        <v>0</v>
      </c>
      <c r="Q65" s="939" t="str">
        <f t="shared" si="5"/>
        <v/>
      </c>
    </row>
    <row r="66" spans="1:17" ht="21" customHeight="1">
      <c r="A66" s="968">
        <f t="shared" si="3"/>
        <v>45006.864583333336</v>
      </c>
      <c r="B66" s="355" t="s">
        <v>918</v>
      </c>
      <c r="C66" s="868">
        <f t="shared" si="6"/>
        <v>0</v>
      </c>
      <c r="E66" s="356" t="b">
        <f>ISNUMBER(#REF!)</f>
        <v>0</v>
      </c>
      <c r="F66" s="356" t="b">
        <f>ISNUMBER(#REF!)</f>
        <v>0</v>
      </c>
      <c r="G66" s="356" t="b">
        <f>ISNUMBER(#REF!)</f>
        <v>0</v>
      </c>
      <c r="H66" s="356" t="b">
        <f>ISNUMBER(#REF!)</f>
        <v>0</v>
      </c>
      <c r="I66" s="356" t="b">
        <f>ISNUMBER(#REF!)</f>
        <v>0</v>
      </c>
      <c r="J66" s="356" t="b">
        <f>ISNUMBER(#REF!)</f>
        <v>0</v>
      </c>
      <c r="K66" s="356" t="b">
        <f t="shared" si="4"/>
        <v>1</v>
      </c>
      <c r="L66" s="356" t="b">
        <f>ISNUMBER(#REF!)</f>
        <v>0</v>
      </c>
      <c r="M66" s="356" t="b">
        <f>ISNUMBER(#REF!)</f>
        <v>0</v>
      </c>
      <c r="N66" s="356" t="b">
        <f>ISNUMBER(#REF!)</f>
        <v>0</v>
      </c>
      <c r="O66" s="356" t="b">
        <f>ISNUMBER(#REF!)</f>
        <v>0</v>
      </c>
      <c r="P66" s="356" t="b">
        <f>ISNUMBER(#REF!)</f>
        <v>0</v>
      </c>
      <c r="Q66" s="939" t="str">
        <f t="shared" si="5"/>
        <v/>
      </c>
    </row>
    <row r="67" spans="1:17" ht="21" customHeight="1">
      <c r="A67" s="968">
        <f t="shared" si="3"/>
        <v>45006.864583333336</v>
      </c>
      <c r="B67" s="355" t="s">
        <v>919</v>
      </c>
      <c r="C67" s="868">
        <f t="shared" si="6"/>
        <v>0</v>
      </c>
      <c r="E67" s="356" t="b">
        <f>ISNUMBER(#REF!)</f>
        <v>0</v>
      </c>
      <c r="F67" s="356" t="b">
        <f>ISNUMBER(#REF!)</f>
        <v>0</v>
      </c>
      <c r="G67" s="356" t="b">
        <f>ISNUMBER(#REF!)</f>
        <v>0</v>
      </c>
      <c r="H67" s="356" t="b">
        <f>ISNUMBER(#REF!)</f>
        <v>0</v>
      </c>
      <c r="I67" s="356" t="b">
        <f>ISNUMBER(#REF!)</f>
        <v>0</v>
      </c>
      <c r="J67" s="356" t="b">
        <f>ISNUMBER(#REF!)</f>
        <v>0</v>
      </c>
      <c r="K67" s="356" t="b">
        <f t="shared" si="4"/>
        <v>1</v>
      </c>
      <c r="L67" s="356" t="b">
        <f>ISNUMBER(#REF!)</f>
        <v>0</v>
      </c>
      <c r="M67" s="356" t="b">
        <f>ISNUMBER(#REF!)</f>
        <v>0</v>
      </c>
      <c r="N67" s="356" t="b">
        <f>ISNUMBER(#REF!)</f>
        <v>0</v>
      </c>
      <c r="O67" s="356" t="b">
        <f>ISNUMBER(#REF!)</f>
        <v>0</v>
      </c>
      <c r="P67" s="356" t="b">
        <f>ISNUMBER(#REF!)</f>
        <v>0</v>
      </c>
      <c r="Q67" s="939" t="str">
        <f t="shared" si="5"/>
        <v/>
      </c>
    </row>
    <row r="68" spans="1:17" ht="21" customHeight="1">
      <c r="A68" s="968">
        <f t="shared" si="3"/>
        <v>45006.864583333336</v>
      </c>
      <c r="B68" s="355" t="s">
        <v>920</v>
      </c>
      <c r="C68" s="868">
        <f t="shared" si="6"/>
        <v>0</v>
      </c>
      <c r="E68" s="356" t="b">
        <f>ISNUMBER(#REF!)</f>
        <v>0</v>
      </c>
      <c r="F68" s="356" t="b">
        <f>ISNUMBER(#REF!)</f>
        <v>0</v>
      </c>
      <c r="G68" s="356" t="b">
        <f>ISNUMBER(#REF!)</f>
        <v>0</v>
      </c>
      <c r="H68" s="356" t="b">
        <f>ISNUMBER(#REF!)</f>
        <v>0</v>
      </c>
      <c r="I68" s="356" t="b">
        <f>ISNUMBER(#REF!)</f>
        <v>0</v>
      </c>
      <c r="J68" s="356" t="b">
        <f>ISNUMBER(#REF!)</f>
        <v>0</v>
      </c>
      <c r="K68" s="356" t="b">
        <f t="shared" ref="K68:K83" si="7">ISNUMBER(C68)</f>
        <v>1</v>
      </c>
      <c r="L68" s="356" t="b">
        <f>ISNUMBER(#REF!)</f>
        <v>0</v>
      </c>
      <c r="M68" s="356" t="b">
        <f>ISNUMBER(#REF!)</f>
        <v>0</v>
      </c>
      <c r="N68" s="356" t="b">
        <f>ISNUMBER(#REF!)</f>
        <v>0</v>
      </c>
      <c r="O68" s="356" t="b">
        <f>ISNUMBER(#REF!)</f>
        <v>0</v>
      </c>
      <c r="P68" s="356" t="b">
        <f>ISNUMBER(#REF!)</f>
        <v>0</v>
      </c>
      <c r="Q68" s="939" t="str">
        <f t="shared" si="5"/>
        <v/>
      </c>
    </row>
    <row r="69" spans="1:17" ht="21" customHeight="1">
      <c r="A69" s="968">
        <f t="shared" si="3"/>
        <v>45006.864583333336</v>
      </c>
      <c r="B69" s="355" t="s">
        <v>921</v>
      </c>
      <c r="C69" s="868">
        <f t="shared" si="6"/>
        <v>0</v>
      </c>
      <c r="E69" s="356" t="b">
        <f>ISNUMBER(#REF!)</f>
        <v>0</v>
      </c>
      <c r="F69" s="356" t="b">
        <f>ISNUMBER(#REF!)</f>
        <v>0</v>
      </c>
      <c r="G69" s="356" t="b">
        <f>ISNUMBER(#REF!)</f>
        <v>0</v>
      </c>
      <c r="H69" s="356" t="b">
        <f>ISNUMBER(#REF!)</f>
        <v>0</v>
      </c>
      <c r="I69" s="356" t="b">
        <f>ISNUMBER(#REF!)</f>
        <v>0</v>
      </c>
      <c r="J69" s="356" t="b">
        <f>ISNUMBER(#REF!)</f>
        <v>0</v>
      </c>
      <c r="K69" s="356" t="b">
        <f t="shared" si="7"/>
        <v>1</v>
      </c>
      <c r="L69" s="356" t="b">
        <f>ISNUMBER(#REF!)</f>
        <v>0</v>
      </c>
      <c r="M69" s="356" t="b">
        <f>ISNUMBER(#REF!)</f>
        <v>0</v>
      </c>
      <c r="N69" s="356" t="b">
        <f>ISNUMBER(#REF!)</f>
        <v>0</v>
      </c>
      <c r="O69" s="356" t="b">
        <f>ISNUMBER(#REF!)</f>
        <v>0</v>
      </c>
      <c r="P69" s="356" t="b">
        <f>ISNUMBER(#REF!)</f>
        <v>0</v>
      </c>
      <c r="Q69" s="939" t="str">
        <f t="shared" ref="Q69:Q83" si="8">IF(K69=TRUE,"",1)</f>
        <v/>
      </c>
    </row>
    <row r="70" spans="1:17" ht="21" customHeight="1">
      <c r="A70" s="968">
        <f t="shared" ref="A70:A83" si="9">$A$4</f>
        <v>45006.864583333336</v>
      </c>
      <c r="B70" s="355" t="s">
        <v>562</v>
      </c>
      <c r="C70" s="868">
        <f t="shared" si="6"/>
        <v>0</v>
      </c>
      <c r="E70" s="866" t="b">
        <f>ISNUMBER(#REF!)</f>
        <v>0</v>
      </c>
      <c r="F70" s="866" t="b">
        <f>ISNUMBER(#REF!)</f>
        <v>0</v>
      </c>
      <c r="G70" s="866" t="b">
        <f>ISNUMBER(#REF!)</f>
        <v>0</v>
      </c>
      <c r="H70" s="866" t="b">
        <f>ISNUMBER(#REF!)</f>
        <v>0</v>
      </c>
      <c r="I70" s="356" t="b">
        <f>ISNUMBER(#REF!)</f>
        <v>0</v>
      </c>
      <c r="J70" s="356" t="b">
        <f>ISNUMBER(#REF!)</f>
        <v>0</v>
      </c>
      <c r="K70" s="356" t="b">
        <f t="shared" si="7"/>
        <v>1</v>
      </c>
      <c r="L70" s="356" t="b">
        <f>ISNUMBER(#REF!)</f>
        <v>0</v>
      </c>
      <c r="M70" s="356" t="b">
        <f>ISNUMBER(#REF!)</f>
        <v>0</v>
      </c>
      <c r="N70" s="356" t="b">
        <f>ISNUMBER(#REF!)</f>
        <v>0</v>
      </c>
      <c r="O70" s="356" t="b">
        <f>ISNUMBER(#REF!)</f>
        <v>0</v>
      </c>
      <c r="P70" s="356" t="b">
        <f>ISNUMBER(#REF!)</f>
        <v>0</v>
      </c>
      <c r="Q70" s="939" t="str">
        <f t="shared" si="8"/>
        <v/>
      </c>
    </row>
    <row r="71" spans="1:17" ht="21" customHeight="1">
      <c r="A71" s="968">
        <f t="shared" si="9"/>
        <v>45006.864583333336</v>
      </c>
      <c r="B71" s="355" t="s">
        <v>566</v>
      </c>
      <c r="C71" s="868">
        <f t="shared" si="6"/>
        <v>0</v>
      </c>
      <c r="E71" s="866" t="b">
        <f>ISNUMBER(#REF!)</f>
        <v>0</v>
      </c>
      <c r="F71" s="867" t="b">
        <f>ISNUMBER(#REF!)</f>
        <v>0</v>
      </c>
      <c r="G71" s="866" t="b">
        <f>ISNUMBER(#REF!)</f>
        <v>0</v>
      </c>
      <c r="H71" s="356" t="b">
        <f>ISNUMBER(#REF!)</f>
        <v>0</v>
      </c>
      <c r="I71" s="356" t="b">
        <f>ISNUMBER(#REF!)</f>
        <v>0</v>
      </c>
      <c r="J71" s="356" t="b">
        <f>ISNUMBER(#REF!)</f>
        <v>0</v>
      </c>
      <c r="K71" s="356" t="b">
        <f t="shared" si="7"/>
        <v>1</v>
      </c>
      <c r="L71" s="356" t="b">
        <f>ISNUMBER(#REF!)</f>
        <v>0</v>
      </c>
      <c r="M71" s="356" t="b">
        <f>ISNUMBER(#REF!)</f>
        <v>0</v>
      </c>
      <c r="N71" s="356" t="b">
        <f>ISNUMBER(#REF!)</f>
        <v>0</v>
      </c>
      <c r="O71" s="356" t="b">
        <f>ISNUMBER(#REF!)</f>
        <v>0</v>
      </c>
      <c r="P71" s="356" t="b">
        <f>ISNUMBER(#REF!)</f>
        <v>0</v>
      </c>
      <c r="Q71" s="939" t="str">
        <f t="shared" si="8"/>
        <v/>
      </c>
    </row>
    <row r="72" spans="1:17" ht="21" customHeight="1">
      <c r="A72" s="968">
        <f t="shared" si="9"/>
        <v>45006.864583333336</v>
      </c>
      <c r="B72" s="355" t="s">
        <v>568</v>
      </c>
      <c r="C72" s="868">
        <f t="shared" si="6"/>
        <v>0</v>
      </c>
      <c r="E72" s="866" t="b">
        <f>ISNUMBER(#REF!)</f>
        <v>0</v>
      </c>
      <c r="F72" s="867" t="b">
        <f>ISNUMBER(#REF!)</f>
        <v>0</v>
      </c>
      <c r="G72" s="866" t="b">
        <f>ISNUMBER(#REF!)</f>
        <v>0</v>
      </c>
      <c r="H72" s="356" t="b">
        <f>ISNUMBER(#REF!)</f>
        <v>0</v>
      </c>
      <c r="I72" s="356" t="b">
        <f>ISNUMBER(#REF!)</f>
        <v>0</v>
      </c>
      <c r="J72" s="356" t="b">
        <f>ISNUMBER(#REF!)</f>
        <v>0</v>
      </c>
      <c r="K72" s="356" t="b">
        <f t="shared" si="7"/>
        <v>1</v>
      </c>
      <c r="L72" s="356" t="b">
        <f>ISNUMBER(#REF!)</f>
        <v>0</v>
      </c>
      <c r="M72" s="356" t="b">
        <f>ISNUMBER(#REF!)</f>
        <v>0</v>
      </c>
      <c r="N72" s="356" t="b">
        <f>ISNUMBER(#REF!)</f>
        <v>0</v>
      </c>
      <c r="O72" s="356" t="b">
        <f>ISNUMBER(#REF!)</f>
        <v>0</v>
      </c>
      <c r="P72" s="356" t="b">
        <f>ISNUMBER(#REF!)</f>
        <v>0</v>
      </c>
      <c r="Q72" s="939" t="str">
        <f t="shared" si="8"/>
        <v/>
      </c>
    </row>
    <row r="73" spans="1:17" ht="21" customHeight="1">
      <c r="A73" s="968">
        <f t="shared" si="9"/>
        <v>45006.864583333336</v>
      </c>
      <c r="B73" s="355" t="s">
        <v>571</v>
      </c>
      <c r="C73" s="868">
        <f t="shared" si="6"/>
        <v>0</v>
      </c>
      <c r="E73" s="356" t="b">
        <f>ISNUMBER(#REF!)</f>
        <v>0</v>
      </c>
      <c r="F73" s="356" t="b">
        <f>ISNUMBER(#REF!)</f>
        <v>0</v>
      </c>
      <c r="G73" s="356" t="b">
        <f>ISNUMBER(#REF!)</f>
        <v>0</v>
      </c>
      <c r="H73" s="356" t="b">
        <f>ISNUMBER(#REF!)</f>
        <v>0</v>
      </c>
      <c r="I73" s="356" t="b">
        <f>ISNUMBER(#REF!)</f>
        <v>0</v>
      </c>
      <c r="J73" s="356" t="b">
        <f>ISNUMBER(#REF!)</f>
        <v>0</v>
      </c>
      <c r="K73" s="356" t="b">
        <f t="shared" si="7"/>
        <v>1</v>
      </c>
      <c r="L73" s="356" t="b">
        <f>ISNUMBER(#REF!)</f>
        <v>0</v>
      </c>
      <c r="M73" s="356" t="b">
        <f>ISNUMBER(#REF!)</f>
        <v>0</v>
      </c>
      <c r="N73" s="356" t="b">
        <f>ISNUMBER(#REF!)</f>
        <v>0</v>
      </c>
      <c r="O73" s="356" t="b">
        <f>ISNUMBER(#REF!)</f>
        <v>0</v>
      </c>
      <c r="P73" s="356" t="b">
        <f>ISNUMBER(#REF!)</f>
        <v>0</v>
      </c>
      <c r="Q73" s="939" t="str">
        <f t="shared" si="8"/>
        <v/>
      </c>
    </row>
    <row r="74" spans="1:17" ht="21" customHeight="1">
      <c r="A74" s="968">
        <f t="shared" si="9"/>
        <v>45006.864583333336</v>
      </c>
      <c r="B74" s="355" t="s">
        <v>573</v>
      </c>
      <c r="C74" s="868">
        <f t="shared" si="6"/>
        <v>0</v>
      </c>
      <c r="E74" s="356" t="b">
        <f>ISNUMBER(#REF!)</f>
        <v>0</v>
      </c>
      <c r="F74" s="356" t="b">
        <f>ISNUMBER(#REF!)</f>
        <v>0</v>
      </c>
      <c r="G74" s="356" t="b">
        <f>ISNUMBER(#REF!)</f>
        <v>0</v>
      </c>
      <c r="H74" s="356" t="b">
        <f>ISNUMBER(#REF!)</f>
        <v>0</v>
      </c>
      <c r="I74" s="356" t="b">
        <f>ISNUMBER(#REF!)</f>
        <v>0</v>
      </c>
      <c r="J74" s="356" t="b">
        <f>ISNUMBER(#REF!)</f>
        <v>0</v>
      </c>
      <c r="K74" s="356" t="b">
        <f t="shared" si="7"/>
        <v>1</v>
      </c>
      <c r="L74" s="356" t="b">
        <f>ISNUMBER(#REF!)</f>
        <v>0</v>
      </c>
      <c r="M74" s="356" t="b">
        <f>ISNUMBER(#REF!)</f>
        <v>0</v>
      </c>
      <c r="N74" s="356" t="b">
        <f>ISNUMBER(#REF!)</f>
        <v>0</v>
      </c>
      <c r="O74" s="356" t="b">
        <f>ISNUMBER(#REF!)</f>
        <v>0</v>
      </c>
      <c r="P74" s="356" t="b">
        <f>ISNUMBER(#REF!)</f>
        <v>0</v>
      </c>
      <c r="Q74" s="939" t="str">
        <f t="shared" si="8"/>
        <v/>
      </c>
    </row>
    <row r="75" spans="1:17" ht="21" customHeight="1">
      <c r="A75" s="968">
        <f t="shared" si="9"/>
        <v>45006.864583333336</v>
      </c>
      <c r="B75" s="355" t="s">
        <v>575</v>
      </c>
      <c r="C75" s="868">
        <f t="shared" si="6"/>
        <v>0</v>
      </c>
      <c r="E75" s="356" t="b">
        <f>ISNUMBER(#REF!)</f>
        <v>0</v>
      </c>
      <c r="F75" s="356" t="b">
        <f>ISNUMBER(#REF!)</f>
        <v>0</v>
      </c>
      <c r="G75" s="356" t="b">
        <f>ISNUMBER(#REF!)</f>
        <v>0</v>
      </c>
      <c r="H75" s="356" t="b">
        <f>ISNUMBER(#REF!)</f>
        <v>0</v>
      </c>
      <c r="I75" s="356" t="b">
        <f>ISNUMBER(#REF!)</f>
        <v>0</v>
      </c>
      <c r="J75" s="356" t="b">
        <f>ISNUMBER(#REF!)</f>
        <v>0</v>
      </c>
      <c r="K75" s="356" t="b">
        <f t="shared" si="7"/>
        <v>1</v>
      </c>
      <c r="L75" s="356" t="b">
        <f>ISNUMBER(#REF!)</f>
        <v>0</v>
      </c>
      <c r="M75" s="356" t="b">
        <f>ISNUMBER(#REF!)</f>
        <v>0</v>
      </c>
      <c r="N75" s="356" t="b">
        <f>ISNUMBER(#REF!)</f>
        <v>0</v>
      </c>
      <c r="O75" s="356" t="b">
        <f>ISNUMBER(#REF!)</f>
        <v>0</v>
      </c>
      <c r="P75" s="356" t="b">
        <f>ISNUMBER(#REF!)</f>
        <v>0</v>
      </c>
      <c r="Q75" s="939" t="str">
        <f t="shared" si="8"/>
        <v/>
      </c>
    </row>
    <row r="76" spans="1:17" ht="21" customHeight="1">
      <c r="A76" s="968">
        <f t="shared" si="9"/>
        <v>45006.864583333336</v>
      </c>
      <c r="B76" s="355" t="s">
        <v>576</v>
      </c>
      <c r="C76" s="868">
        <f t="shared" si="6"/>
        <v>0</v>
      </c>
      <c r="E76" s="356" t="b">
        <f>ISNUMBER(#REF!)</f>
        <v>0</v>
      </c>
      <c r="F76" s="356" t="b">
        <f>ISNUMBER(#REF!)</f>
        <v>0</v>
      </c>
      <c r="G76" s="356" t="b">
        <f>ISNUMBER(#REF!)</f>
        <v>0</v>
      </c>
      <c r="H76" s="356" t="b">
        <f>ISNUMBER(#REF!)</f>
        <v>0</v>
      </c>
      <c r="I76" s="356" t="b">
        <f>ISNUMBER(#REF!)</f>
        <v>0</v>
      </c>
      <c r="J76" s="356" t="b">
        <f>ISNUMBER(#REF!)</f>
        <v>0</v>
      </c>
      <c r="K76" s="356" t="b">
        <f t="shared" si="7"/>
        <v>1</v>
      </c>
      <c r="L76" s="356" t="b">
        <f>ISNUMBER(#REF!)</f>
        <v>0</v>
      </c>
      <c r="M76" s="356" t="b">
        <f>ISNUMBER(#REF!)</f>
        <v>0</v>
      </c>
      <c r="N76" s="356" t="b">
        <f>ISNUMBER(#REF!)</f>
        <v>0</v>
      </c>
      <c r="O76" s="356" t="b">
        <f>ISNUMBER(#REF!)</f>
        <v>0</v>
      </c>
      <c r="P76" s="356" t="b">
        <f>ISNUMBER(#REF!)</f>
        <v>0</v>
      </c>
      <c r="Q76" s="939" t="str">
        <f t="shared" si="8"/>
        <v/>
      </c>
    </row>
    <row r="77" spans="1:17" ht="21" customHeight="1">
      <c r="A77" s="968">
        <f t="shared" si="9"/>
        <v>45006.864583333336</v>
      </c>
      <c r="B77" s="355" t="s">
        <v>577</v>
      </c>
      <c r="C77" s="868">
        <f t="shared" si="6"/>
        <v>0</v>
      </c>
      <c r="E77" s="356" t="b">
        <f>ISNUMBER(#REF!)</f>
        <v>0</v>
      </c>
      <c r="F77" s="356" t="b">
        <f>ISNUMBER(#REF!)</f>
        <v>0</v>
      </c>
      <c r="G77" s="356" t="b">
        <f>ISNUMBER(#REF!)</f>
        <v>0</v>
      </c>
      <c r="H77" s="356" t="b">
        <f>ISNUMBER(#REF!)</f>
        <v>0</v>
      </c>
      <c r="I77" s="356" t="b">
        <f>ISNUMBER(#REF!)</f>
        <v>0</v>
      </c>
      <c r="J77" s="356" t="b">
        <f>ISNUMBER(#REF!)</f>
        <v>0</v>
      </c>
      <c r="K77" s="356" t="b">
        <f t="shared" si="7"/>
        <v>1</v>
      </c>
      <c r="L77" s="356" t="b">
        <f>ISNUMBER(#REF!)</f>
        <v>0</v>
      </c>
      <c r="M77" s="356" t="b">
        <f>ISNUMBER(#REF!)</f>
        <v>0</v>
      </c>
      <c r="N77" s="356" t="b">
        <f>ISNUMBER(#REF!)</f>
        <v>0</v>
      </c>
      <c r="O77" s="356" t="b">
        <f>ISNUMBER(#REF!)</f>
        <v>0</v>
      </c>
      <c r="P77" s="356" t="b">
        <f>ISNUMBER(#REF!)</f>
        <v>0</v>
      </c>
      <c r="Q77" s="939" t="str">
        <f t="shared" si="8"/>
        <v/>
      </c>
    </row>
    <row r="78" spans="1:17" ht="21" customHeight="1">
      <c r="A78" s="968">
        <f t="shared" si="9"/>
        <v>45006.864583333336</v>
      </c>
      <c r="B78" s="355" t="s">
        <v>578</v>
      </c>
      <c r="C78" s="868">
        <f t="shared" si="6"/>
        <v>0</v>
      </c>
      <c r="E78" s="356" t="b">
        <f>ISNUMBER(#REF!)</f>
        <v>0</v>
      </c>
      <c r="F78" s="356" t="b">
        <f>ISNUMBER(#REF!)</f>
        <v>0</v>
      </c>
      <c r="G78" s="356" t="b">
        <f>ISNUMBER(#REF!)</f>
        <v>0</v>
      </c>
      <c r="H78" s="356" t="b">
        <f>ISNUMBER(#REF!)</f>
        <v>0</v>
      </c>
      <c r="I78" s="356" t="b">
        <f>ISNUMBER(#REF!)</f>
        <v>0</v>
      </c>
      <c r="J78" s="356" t="b">
        <f>ISNUMBER(#REF!)</f>
        <v>0</v>
      </c>
      <c r="K78" s="356" t="b">
        <f t="shared" si="7"/>
        <v>1</v>
      </c>
      <c r="L78" s="356" t="b">
        <f>ISNUMBER(#REF!)</f>
        <v>0</v>
      </c>
      <c r="M78" s="356" t="b">
        <f>ISNUMBER(#REF!)</f>
        <v>0</v>
      </c>
      <c r="N78" s="356" t="b">
        <f>ISNUMBER(#REF!)</f>
        <v>0</v>
      </c>
      <c r="O78" s="356" t="b">
        <f>ISNUMBER(#REF!)</f>
        <v>0</v>
      </c>
      <c r="P78" s="356" t="b">
        <f>ISNUMBER(#REF!)</f>
        <v>0</v>
      </c>
      <c r="Q78" s="939" t="str">
        <f t="shared" si="8"/>
        <v/>
      </c>
    </row>
    <row r="79" spans="1:17" ht="21" customHeight="1">
      <c r="A79" s="968">
        <f t="shared" si="9"/>
        <v>45006.864583333336</v>
      </c>
      <c r="B79" s="355" t="s">
        <v>579</v>
      </c>
      <c r="C79" s="868">
        <f t="shared" si="6"/>
        <v>0</v>
      </c>
      <c r="E79" s="356" t="b">
        <f>ISNUMBER(#REF!)</f>
        <v>0</v>
      </c>
      <c r="F79" s="356" t="b">
        <f>ISNUMBER(#REF!)</f>
        <v>0</v>
      </c>
      <c r="G79" s="356" t="b">
        <f>ISNUMBER(#REF!)</f>
        <v>0</v>
      </c>
      <c r="H79" s="356" t="b">
        <f>ISNUMBER(#REF!)</f>
        <v>0</v>
      </c>
      <c r="I79" s="356" t="b">
        <f>ISNUMBER(#REF!)</f>
        <v>0</v>
      </c>
      <c r="J79" s="356" t="b">
        <f>ISNUMBER(#REF!)</f>
        <v>0</v>
      </c>
      <c r="K79" s="356" t="b">
        <f t="shared" si="7"/>
        <v>1</v>
      </c>
      <c r="L79" s="356" t="b">
        <f>ISNUMBER(#REF!)</f>
        <v>0</v>
      </c>
      <c r="M79" s="356" t="b">
        <f>ISNUMBER(#REF!)</f>
        <v>0</v>
      </c>
      <c r="N79" s="356" t="b">
        <f>ISNUMBER(#REF!)</f>
        <v>0</v>
      </c>
      <c r="O79" s="356" t="b">
        <f>ISNUMBER(#REF!)</f>
        <v>0</v>
      </c>
      <c r="P79" s="356" t="b">
        <f>ISNUMBER(#REF!)</f>
        <v>0</v>
      </c>
      <c r="Q79" s="939" t="str">
        <f t="shared" si="8"/>
        <v/>
      </c>
    </row>
    <row r="80" spans="1:17" ht="21" customHeight="1">
      <c r="A80" s="968">
        <f t="shared" si="9"/>
        <v>45006.864583333336</v>
      </c>
      <c r="B80" s="355" t="s">
        <v>582</v>
      </c>
      <c r="C80" s="868">
        <f t="shared" si="6"/>
        <v>0</v>
      </c>
      <c r="E80" s="356" t="b">
        <f>ISNUMBER(#REF!)</f>
        <v>0</v>
      </c>
      <c r="F80" s="356" t="b">
        <f>ISNUMBER(#REF!)</f>
        <v>0</v>
      </c>
      <c r="G80" s="356" t="b">
        <f>ISNUMBER(#REF!)</f>
        <v>0</v>
      </c>
      <c r="H80" s="356" t="b">
        <f>ISNUMBER(#REF!)</f>
        <v>0</v>
      </c>
      <c r="I80" s="356" t="b">
        <f>ISNUMBER(#REF!)</f>
        <v>0</v>
      </c>
      <c r="J80" s="356" t="b">
        <f>ISNUMBER(#REF!)</f>
        <v>0</v>
      </c>
      <c r="K80" s="356" t="b">
        <f t="shared" si="7"/>
        <v>1</v>
      </c>
      <c r="L80" s="356" t="b">
        <f>ISNUMBER(#REF!)</f>
        <v>0</v>
      </c>
      <c r="M80" s="356" t="b">
        <f>ISNUMBER(#REF!)</f>
        <v>0</v>
      </c>
      <c r="N80" s="356" t="b">
        <f>ISNUMBER(#REF!)</f>
        <v>0</v>
      </c>
      <c r="O80" s="356" t="b">
        <f>ISNUMBER(#REF!)</f>
        <v>0</v>
      </c>
      <c r="P80" s="356" t="b">
        <f>ISNUMBER(#REF!)</f>
        <v>0</v>
      </c>
      <c r="Q80" s="939" t="str">
        <f t="shared" si="8"/>
        <v/>
      </c>
    </row>
    <row r="81" spans="1:17" ht="21" customHeight="1">
      <c r="A81" s="968">
        <f t="shared" si="9"/>
        <v>45006.864583333336</v>
      </c>
      <c r="B81" s="355" t="s">
        <v>584</v>
      </c>
      <c r="C81" s="868">
        <f t="shared" si="6"/>
        <v>0</v>
      </c>
      <c r="E81" s="356" t="b">
        <f>ISNUMBER(#REF!)</f>
        <v>0</v>
      </c>
      <c r="F81" s="356" t="b">
        <f>ISNUMBER(#REF!)</f>
        <v>0</v>
      </c>
      <c r="G81" s="356" t="b">
        <f>ISNUMBER(#REF!)</f>
        <v>0</v>
      </c>
      <c r="H81" s="356" t="b">
        <f>ISNUMBER(#REF!)</f>
        <v>0</v>
      </c>
      <c r="I81" s="356" t="b">
        <f>ISNUMBER(#REF!)</f>
        <v>0</v>
      </c>
      <c r="J81" s="356" t="b">
        <f>ISNUMBER(#REF!)</f>
        <v>0</v>
      </c>
      <c r="K81" s="356" t="b">
        <f t="shared" si="7"/>
        <v>1</v>
      </c>
      <c r="L81" s="356" t="b">
        <f>ISNUMBER(#REF!)</f>
        <v>0</v>
      </c>
      <c r="M81" s="356" t="b">
        <f>ISNUMBER(#REF!)</f>
        <v>0</v>
      </c>
      <c r="N81" s="356" t="b">
        <f>ISNUMBER(#REF!)</f>
        <v>0</v>
      </c>
      <c r="O81" s="356" t="b">
        <f>ISNUMBER(#REF!)</f>
        <v>0</v>
      </c>
      <c r="P81" s="356" t="b">
        <f>ISNUMBER(#REF!)</f>
        <v>0</v>
      </c>
      <c r="Q81" s="939" t="str">
        <f t="shared" si="8"/>
        <v/>
      </c>
    </row>
    <row r="82" spans="1:17" ht="21" customHeight="1">
      <c r="A82" s="968">
        <f t="shared" si="9"/>
        <v>45006.864583333336</v>
      </c>
      <c r="B82" s="355" t="s">
        <v>587</v>
      </c>
      <c r="C82" s="868">
        <f t="shared" si="6"/>
        <v>0</v>
      </c>
      <c r="E82" s="356" t="b">
        <f>ISNUMBER(#REF!)</f>
        <v>0</v>
      </c>
      <c r="F82" s="356" t="b">
        <f>ISNUMBER(#REF!)</f>
        <v>0</v>
      </c>
      <c r="G82" s="356" t="b">
        <f>ISNUMBER(#REF!)</f>
        <v>0</v>
      </c>
      <c r="H82" s="356" t="b">
        <f>ISNUMBER(#REF!)</f>
        <v>0</v>
      </c>
      <c r="I82" s="356" t="b">
        <f>ISNUMBER(#REF!)</f>
        <v>0</v>
      </c>
      <c r="J82" s="356" t="b">
        <f>ISNUMBER(#REF!)</f>
        <v>0</v>
      </c>
      <c r="K82" s="356" t="b">
        <f t="shared" si="7"/>
        <v>1</v>
      </c>
      <c r="L82" s="356" t="b">
        <f>ISNUMBER(#REF!)</f>
        <v>0</v>
      </c>
      <c r="M82" s="356" t="b">
        <f>ISNUMBER(#REF!)</f>
        <v>0</v>
      </c>
      <c r="N82" s="356" t="b">
        <f>ISNUMBER(#REF!)</f>
        <v>0</v>
      </c>
      <c r="O82" s="356" t="b">
        <f>ISNUMBER(#REF!)</f>
        <v>0</v>
      </c>
      <c r="P82" s="356" t="b">
        <f>ISNUMBER(#REF!)</f>
        <v>0</v>
      </c>
      <c r="Q82" s="939" t="str">
        <f t="shared" si="8"/>
        <v/>
      </c>
    </row>
    <row r="83" spans="1:17" ht="21" customHeight="1">
      <c r="A83" s="968">
        <f t="shared" si="9"/>
        <v>45006.864583333336</v>
      </c>
      <c r="B83" s="355" t="s">
        <v>590</v>
      </c>
      <c r="C83" s="868">
        <f t="shared" si="6"/>
        <v>0</v>
      </c>
      <c r="E83" s="356" t="b">
        <f>ISNUMBER(#REF!)</f>
        <v>0</v>
      </c>
      <c r="F83" s="356" t="b">
        <f>ISNUMBER(#REF!)</f>
        <v>0</v>
      </c>
      <c r="G83" s="356" t="b">
        <f>ISNUMBER(#REF!)</f>
        <v>0</v>
      </c>
      <c r="H83" s="356" t="b">
        <f>ISNUMBER(#REF!)</f>
        <v>0</v>
      </c>
      <c r="I83" s="356" t="b">
        <f>ISNUMBER(#REF!)</f>
        <v>0</v>
      </c>
      <c r="J83" s="356" t="b">
        <f>ISNUMBER(#REF!)</f>
        <v>0</v>
      </c>
      <c r="K83" s="356" t="b">
        <f t="shared" si="7"/>
        <v>1</v>
      </c>
      <c r="L83" s="356" t="b">
        <f>ISNUMBER(#REF!)</f>
        <v>0</v>
      </c>
      <c r="M83" s="356" t="b">
        <f>ISNUMBER(#REF!)</f>
        <v>0</v>
      </c>
      <c r="N83" s="356" t="b">
        <f>ISNUMBER(#REF!)</f>
        <v>0</v>
      </c>
      <c r="O83" s="356" t="b">
        <f>ISNUMBER(#REF!)</f>
        <v>0</v>
      </c>
      <c r="P83" s="356" t="b">
        <f>ISNUMBER(#REF!)</f>
        <v>0</v>
      </c>
      <c r="Q83" s="939" t="str">
        <f t="shared" si="8"/>
        <v/>
      </c>
    </row>
  </sheetData>
  <phoneticPr fontId="6"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45"/>
  <sheetViews>
    <sheetView zoomScale="55" zoomScaleNormal="55" workbookViewId="0">
      <selection activeCell="C4" sqref="C4:C45"/>
    </sheetView>
  </sheetViews>
  <sheetFormatPr defaultRowHeight="27" customHeight="1"/>
  <cols>
    <col min="1" max="1" width="27.5" style="967" customWidth="1"/>
    <col min="2" max="2" width="21.625" style="957" customWidth="1"/>
    <col min="3" max="3" width="25.125" style="958" customWidth="1"/>
    <col min="4" max="4" width="9" style="943"/>
    <col min="5" max="16" width="9" style="943" hidden="1" customWidth="1"/>
    <col min="17" max="16384" width="9" style="943"/>
  </cols>
  <sheetData>
    <row r="1" spans="1:17" ht="57" customHeight="1">
      <c r="A1" s="963" t="s">
        <v>351</v>
      </c>
      <c r="B1" s="941"/>
      <c r="C1" s="942"/>
    </row>
    <row r="2" spans="1:17" s="946" customFormat="1" ht="27" customHeight="1">
      <c r="A2" s="966" t="s">
        <v>352</v>
      </c>
      <c r="B2" s="944" t="s">
        <v>353</v>
      </c>
      <c r="C2" s="945" t="s">
        <v>370</v>
      </c>
      <c r="E2" s="947">
        <v>1</v>
      </c>
      <c r="F2" s="947" t="s">
        <v>876</v>
      </c>
      <c r="G2" s="947">
        <v>2</v>
      </c>
      <c r="H2" s="947" t="s">
        <v>876</v>
      </c>
      <c r="I2" s="947">
        <v>3</v>
      </c>
      <c r="J2" s="947" t="s">
        <v>876</v>
      </c>
      <c r="K2" s="947">
        <v>4</v>
      </c>
      <c r="L2" s="947" t="s">
        <v>876</v>
      </c>
      <c r="M2" s="947">
        <v>5</v>
      </c>
      <c r="N2" s="947" t="s">
        <v>876</v>
      </c>
      <c r="O2" s="947">
        <v>6</v>
      </c>
      <c r="P2" s="947" t="s">
        <v>876</v>
      </c>
      <c r="Q2" s="948">
        <v>5</v>
      </c>
    </row>
    <row r="3" spans="1:17" s="946" customFormat="1" ht="27" customHeight="1">
      <c r="A3" s="966" t="s">
        <v>376</v>
      </c>
      <c r="B3" s="944" t="s">
        <v>377</v>
      </c>
      <c r="C3" s="945" t="s">
        <v>387</v>
      </c>
      <c r="Q3" s="960"/>
    </row>
    <row r="4" spans="1:17" ht="27" customHeight="1">
      <c r="A4" s="965">
        <f>MENU!Y21</f>
        <v>45006.947916666664</v>
      </c>
      <c r="B4" s="949" t="s">
        <v>268</v>
      </c>
      <c r="C4" s="950">
        <f t="shared" ref="C4:C45" si="0">IFERROR(VLOOKUP($B4,_XM_XT_THUCTE,33,0),"")</f>
        <v>0</v>
      </c>
      <c r="E4" s="943" t="b">
        <f>ISNUMBER(#REF!)</f>
        <v>0</v>
      </c>
      <c r="F4" s="943" t="b">
        <f>ISNUMBER(#REF!)</f>
        <v>0</v>
      </c>
      <c r="G4" s="943" t="b">
        <f>ISNUMBER(#REF!)</f>
        <v>0</v>
      </c>
      <c r="H4" s="943" t="b">
        <f>ISNUMBER(#REF!)</f>
        <v>0</v>
      </c>
      <c r="I4" s="943" t="b">
        <f>ISNUMBER(#REF!)</f>
        <v>0</v>
      </c>
      <c r="J4" s="943" t="b">
        <f>ISNUMBER(#REF!)</f>
        <v>0</v>
      </c>
      <c r="K4" s="943" t="b">
        <f>ISNUMBER(#REF!)</f>
        <v>0</v>
      </c>
      <c r="L4" s="943" t="b">
        <f>ISNUMBER(#REF!)</f>
        <v>0</v>
      </c>
      <c r="M4" s="943" t="b">
        <f t="shared" ref="M4:M35" si="1">ISNUMBER(C4)</f>
        <v>1</v>
      </c>
      <c r="N4" s="943" t="b">
        <f>ISNUMBER(#REF!)</f>
        <v>0</v>
      </c>
      <c r="O4" s="943" t="b">
        <f>ISNUMBER(#REF!)</f>
        <v>0</v>
      </c>
      <c r="P4" s="943" t="b">
        <f>ISNUMBER(#REF!)</f>
        <v>0</v>
      </c>
      <c r="Q4" s="951" t="str">
        <f t="shared" ref="Q4:Q35" si="2">IF(M4=TRUE,"",1)</f>
        <v/>
      </c>
    </row>
    <row r="5" spans="1:17" ht="27" customHeight="1">
      <c r="A5" s="968">
        <f>IF(B5="","",$A$4)</f>
        <v>45006.947916666664</v>
      </c>
      <c r="B5" s="949" t="s">
        <v>269</v>
      </c>
      <c r="C5" s="950">
        <f t="shared" si="0"/>
        <v>0</v>
      </c>
      <c r="E5" s="943" t="b">
        <f>ISNUMBER(#REF!)</f>
        <v>0</v>
      </c>
      <c r="F5" s="943" t="b">
        <f>ISNUMBER(#REF!)</f>
        <v>0</v>
      </c>
      <c r="G5" s="943" t="b">
        <f>ISNUMBER(#REF!)</f>
        <v>0</v>
      </c>
      <c r="H5" s="943" t="b">
        <f>ISNUMBER(#REF!)</f>
        <v>0</v>
      </c>
      <c r="I5" s="943" t="b">
        <f>ISNUMBER(#REF!)</f>
        <v>0</v>
      </c>
      <c r="J5" s="943" t="b">
        <f>ISNUMBER(#REF!)</f>
        <v>0</v>
      </c>
      <c r="K5" s="943" t="b">
        <f>ISNUMBER(#REF!)</f>
        <v>0</v>
      </c>
      <c r="L5" s="943" t="b">
        <f>ISNUMBER(#REF!)</f>
        <v>0</v>
      </c>
      <c r="M5" s="943" t="b">
        <f t="shared" si="1"/>
        <v>1</v>
      </c>
      <c r="N5" s="943" t="b">
        <f>ISNUMBER(#REF!)</f>
        <v>0</v>
      </c>
      <c r="O5" s="943" t="b">
        <f>ISNUMBER(#REF!)</f>
        <v>0</v>
      </c>
      <c r="P5" s="943" t="b">
        <f>ISNUMBER(#REF!)</f>
        <v>0</v>
      </c>
      <c r="Q5" s="951" t="str">
        <f t="shared" si="2"/>
        <v/>
      </c>
    </row>
    <row r="6" spans="1:17" ht="27" customHeight="1">
      <c r="A6" s="968">
        <f t="shared" ref="A6:A45" si="3">IF(B6="","",$A$4)</f>
        <v>45006.947916666664</v>
      </c>
      <c r="B6" s="949" t="s">
        <v>270</v>
      </c>
      <c r="C6" s="950">
        <f t="shared" si="0"/>
        <v>0</v>
      </c>
      <c r="E6" s="943" t="b">
        <f>ISNUMBER(#REF!)</f>
        <v>0</v>
      </c>
      <c r="F6" s="943" t="b">
        <f>ISNUMBER(#REF!)</f>
        <v>0</v>
      </c>
      <c r="G6" s="943" t="b">
        <f>ISNUMBER(#REF!)</f>
        <v>0</v>
      </c>
      <c r="H6" s="943" t="b">
        <f>ISNUMBER(#REF!)</f>
        <v>0</v>
      </c>
      <c r="I6" s="943" t="b">
        <f>ISNUMBER(#REF!)</f>
        <v>0</v>
      </c>
      <c r="J6" s="943" t="b">
        <f>ISNUMBER(#REF!)</f>
        <v>0</v>
      </c>
      <c r="K6" s="943" t="b">
        <f>ISNUMBER(#REF!)</f>
        <v>0</v>
      </c>
      <c r="L6" s="943" t="b">
        <f>ISNUMBER(#REF!)</f>
        <v>0</v>
      </c>
      <c r="M6" s="943" t="b">
        <f t="shared" si="1"/>
        <v>1</v>
      </c>
      <c r="N6" s="943" t="b">
        <f>ISNUMBER(#REF!)</f>
        <v>0</v>
      </c>
      <c r="O6" s="943" t="b">
        <f>ISNUMBER(#REF!)</f>
        <v>0</v>
      </c>
      <c r="P6" s="943" t="b">
        <f>ISNUMBER(#REF!)</f>
        <v>0</v>
      </c>
      <c r="Q6" s="951" t="str">
        <f t="shared" si="2"/>
        <v/>
      </c>
    </row>
    <row r="7" spans="1:17" ht="27" customHeight="1">
      <c r="A7" s="968">
        <f t="shared" si="3"/>
        <v>45006.947916666664</v>
      </c>
      <c r="B7" s="949" t="s">
        <v>271</v>
      </c>
      <c r="C7" s="950">
        <f t="shared" si="0"/>
        <v>0</v>
      </c>
      <c r="E7" s="943" t="b">
        <f>ISNUMBER(#REF!)</f>
        <v>0</v>
      </c>
      <c r="F7" s="943" t="b">
        <f>ISNUMBER(#REF!)</f>
        <v>0</v>
      </c>
      <c r="G7" s="943" t="b">
        <f>ISNUMBER(#REF!)</f>
        <v>0</v>
      </c>
      <c r="H7" s="943" t="b">
        <f>ISNUMBER(#REF!)</f>
        <v>0</v>
      </c>
      <c r="I7" s="943" t="b">
        <f>ISNUMBER(#REF!)</f>
        <v>0</v>
      </c>
      <c r="J7" s="943" t="b">
        <f>ISNUMBER(#REF!)</f>
        <v>0</v>
      </c>
      <c r="K7" s="943" t="b">
        <f>ISNUMBER(#REF!)</f>
        <v>0</v>
      </c>
      <c r="L7" s="943" t="b">
        <f>ISNUMBER(#REF!)</f>
        <v>0</v>
      </c>
      <c r="M7" s="943" t="b">
        <f t="shared" si="1"/>
        <v>1</v>
      </c>
      <c r="N7" s="943" t="b">
        <f>ISNUMBER(#REF!)</f>
        <v>0</v>
      </c>
      <c r="O7" s="943" t="b">
        <f>ISNUMBER(#REF!)</f>
        <v>0</v>
      </c>
      <c r="P7" s="943" t="b">
        <f>ISNUMBER(#REF!)</f>
        <v>0</v>
      </c>
      <c r="Q7" s="951" t="str">
        <f t="shared" si="2"/>
        <v/>
      </c>
    </row>
    <row r="8" spans="1:17" ht="27" customHeight="1">
      <c r="A8" s="968">
        <f t="shared" si="3"/>
        <v>45006.947916666664</v>
      </c>
      <c r="B8" s="949" t="s">
        <v>272</v>
      </c>
      <c r="C8" s="950">
        <f t="shared" si="0"/>
        <v>0</v>
      </c>
      <c r="E8" s="943" t="b">
        <f>ISNUMBER(#REF!)</f>
        <v>0</v>
      </c>
      <c r="F8" s="943" t="b">
        <f>ISNUMBER(#REF!)</f>
        <v>0</v>
      </c>
      <c r="G8" s="943" t="b">
        <f>ISNUMBER(#REF!)</f>
        <v>0</v>
      </c>
      <c r="H8" s="943" t="b">
        <f>ISNUMBER(#REF!)</f>
        <v>0</v>
      </c>
      <c r="I8" s="943" t="b">
        <f>ISNUMBER(#REF!)</f>
        <v>0</v>
      </c>
      <c r="J8" s="943" t="b">
        <f>ISNUMBER(#REF!)</f>
        <v>0</v>
      </c>
      <c r="K8" s="943" t="b">
        <f>ISNUMBER(#REF!)</f>
        <v>0</v>
      </c>
      <c r="L8" s="943" t="b">
        <f>ISNUMBER(#REF!)</f>
        <v>0</v>
      </c>
      <c r="M8" s="943" t="b">
        <f t="shared" si="1"/>
        <v>1</v>
      </c>
      <c r="N8" s="943" t="b">
        <f>ISNUMBER(#REF!)</f>
        <v>0</v>
      </c>
      <c r="O8" s="943" t="b">
        <f>ISNUMBER(#REF!)</f>
        <v>0</v>
      </c>
      <c r="P8" s="943" t="b">
        <f>ISNUMBER(#REF!)</f>
        <v>0</v>
      </c>
      <c r="Q8" s="951" t="str">
        <f t="shared" si="2"/>
        <v/>
      </c>
    </row>
    <row r="9" spans="1:17" ht="27" customHeight="1">
      <c r="A9" s="968">
        <f t="shared" si="3"/>
        <v>45006.947916666664</v>
      </c>
      <c r="B9" s="949" t="s">
        <v>273</v>
      </c>
      <c r="C9" s="950">
        <f t="shared" si="0"/>
        <v>0</v>
      </c>
      <c r="E9" s="943" t="b">
        <f>ISNUMBER(#REF!)</f>
        <v>0</v>
      </c>
      <c r="F9" s="943" t="b">
        <f>ISNUMBER(#REF!)</f>
        <v>0</v>
      </c>
      <c r="G9" s="943" t="b">
        <f>ISNUMBER(#REF!)</f>
        <v>0</v>
      </c>
      <c r="H9" s="943" t="b">
        <f>ISNUMBER(#REF!)</f>
        <v>0</v>
      </c>
      <c r="I9" s="943" t="b">
        <f>ISNUMBER(#REF!)</f>
        <v>0</v>
      </c>
      <c r="J9" s="943" t="b">
        <f>ISNUMBER(#REF!)</f>
        <v>0</v>
      </c>
      <c r="K9" s="943" t="b">
        <f>ISNUMBER(#REF!)</f>
        <v>0</v>
      </c>
      <c r="L9" s="943" t="b">
        <f>ISNUMBER(#REF!)</f>
        <v>0</v>
      </c>
      <c r="M9" s="943" t="b">
        <f t="shared" si="1"/>
        <v>1</v>
      </c>
      <c r="N9" s="943" t="b">
        <f>ISNUMBER(#REF!)</f>
        <v>0</v>
      </c>
      <c r="O9" s="943" t="b">
        <f>ISNUMBER(#REF!)</f>
        <v>0</v>
      </c>
      <c r="P9" s="943" t="b">
        <f>ISNUMBER(#REF!)</f>
        <v>0</v>
      </c>
      <c r="Q9" s="951" t="str">
        <f t="shared" si="2"/>
        <v/>
      </c>
    </row>
    <row r="10" spans="1:17" ht="27" customHeight="1">
      <c r="A10" s="968">
        <f t="shared" si="3"/>
        <v>45006.947916666664</v>
      </c>
      <c r="B10" s="949" t="s">
        <v>279</v>
      </c>
      <c r="C10" s="950">
        <f t="shared" si="0"/>
        <v>0</v>
      </c>
      <c r="E10" s="943" t="b">
        <f>ISNUMBER(#REF!)</f>
        <v>0</v>
      </c>
      <c r="F10" s="943" t="b">
        <f>ISNUMBER(#REF!)</f>
        <v>0</v>
      </c>
      <c r="G10" s="943" t="b">
        <f>ISNUMBER(#REF!)</f>
        <v>0</v>
      </c>
      <c r="H10" s="943" t="b">
        <f>ISNUMBER(#REF!)</f>
        <v>0</v>
      </c>
      <c r="I10" s="943" t="b">
        <f>ISNUMBER(#REF!)</f>
        <v>0</v>
      </c>
      <c r="J10" s="943" t="b">
        <f>ISNUMBER(#REF!)</f>
        <v>0</v>
      </c>
      <c r="K10" s="943" t="b">
        <f>ISNUMBER(#REF!)</f>
        <v>0</v>
      </c>
      <c r="L10" s="943" t="b">
        <f>ISNUMBER(#REF!)</f>
        <v>0</v>
      </c>
      <c r="M10" s="943" t="b">
        <f t="shared" si="1"/>
        <v>1</v>
      </c>
      <c r="N10" s="943" t="b">
        <f>ISNUMBER(#REF!)</f>
        <v>0</v>
      </c>
      <c r="O10" s="943" t="b">
        <f>ISNUMBER(#REF!)</f>
        <v>0</v>
      </c>
      <c r="P10" s="943" t="b">
        <f>ISNUMBER(#REF!)</f>
        <v>0</v>
      </c>
      <c r="Q10" s="951" t="str">
        <f t="shared" si="2"/>
        <v/>
      </c>
    </row>
    <row r="11" spans="1:17" ht="27" customHeight="1">
      <c r="A11" s="968">
        <f t="shared" si="3"/>
        <v>45006.947916666664</v>
      </c>
      <c r="B11" s="949" t="s">
        <v>281</v>
      </c>
      <c r="C11" s="950">
        <f t="shared" si="0"/>
        <v>0</v>
      </c>
      <c r="E11" s="943" t="b">
        <f>ISNUMBER(#REF!)</f>
        <v>0</v>
      </c>
      <c r="F11" s="943" t="b">
        <f>ISNUMBER(#REF!)</f>
        <v>0</v>
      </c>
      <c r="G11" s="943" t="b">
        <f>ISNUMBER(#REF!)</f>
        <v>0</v>
      </c>
      <c r="H11" s="943" t="b">
        <f>ISNUMBER(#REF!)</f>
        <v>0</v>
      </c>
      <c r="I11" s="943" t="b">
        <f>ISNUMBER(#REF!)</f>
        <v>0</v>
      </c>
      <c r="J11" s="943" t="b">
        <f>ISNUMBER(#REF!)</f>
        <v>0</v>
      </c>
      <c r="K11" s="943" t="b">
        <f>ISNUMBER(#REF!)</f>
        <v>0</v>
      </c>
      <c r="L11" s="943" t="b">
        <f>ISNUMBER(#REF!)</f>
        <v>0</v>
      </c>
      <c r="M11" s="943" t="b">
        <f t="shared" si="1"/>
        <v>1</v>
      </c>
      <c r="N11" s="943" t="b">
        <f>ISNUMBER(#REF!)</f>
        <v>0</v>
      </c>
      <c r="O11" s="943" t="b">
        <f>ISNUMBER(#REF!)</f>
        <v>0</v>
      </c>
      <c r="P11" s="943" t="b">
        <f>ISNUMBER(#REF!)</f>
        <v>0</v>
      </c>
      <c r="Q11" s="951" t="str">
        <f t="shared" si="2"/>
        <v/>
      </c>
    </row>
    <row r="12" spans="1:17" ht="27" customHeight="1">
      <c r="A12" s="968">
        <f t="shared" si="3"/>
        <v>45006.947916666664</v>
      </c>
      <c r="B12" s="949" t="s">
        <v>274</v>
      </c>
      <c r="C12" s="950">
        <f t="shared" si="0"/>
        <v>0</v>
      </c>
      <c r="E12" s="943" t="b">
        <f>ISNUMBER(#REF!)</f>
        <v>0</v>
      </c>
      <c r="F12" s="943" t="b">
        <f>ISNUMBER(#REF!)</f>
        <v>0</v>
      </c>
      <c r="G12" s="943" t="b">
        <f>ISNUMBER(#REF!)</f>
        <v>0</v>
      </c>
      <c r="H12" s="943" t="b">
        <f>ISNUMBER(#REF!)</f>
        <v>0</v>
      </c>
      <c r="I12" s="943" t="b">
        <f>ISNUMBER(#REF!)</f>
        <v>0</v>
      </c>
      <c r="J12" s="943" t="b">
        <f>ISNUMBER(#REF!)</f>
        <v>0</v>
      </c>
      <c r="K12" s="943" t="b">
        <f>ISNUMBER(#REF!)</f>
        <v>0</v>
      </c>
      <c r="L12" s="943" t="b">
        <f>ISNUMBER(#REF!)</f>
        <v>0</v>
      </c>
      <c r="M12" s="943" t="b">
        <f t="shared" si="1"/>
        <v>1</v>
      </c>
      <c r="N12" s="943" t="b">
        <f>ISNUMBER(#REF!)</f>
        <v>0</v>
      </c>
      <c r="O12" s="943" t="b">
        <f>ISNUMBER(#REF!)</f>
        <v>0</v>
      </c>
      <c r="P12" s="943" t="b">
        <f>ISNUMBER(#REF!)</f>
        <v>0</v>
      </c>
      <c r="Q12" s="951" t="str">
        <f t="shared" si="2"/>
        <v/>
      </c>
    </row>
    <row r="13" spans="1:17" ht="27" customHeight="1">
      <c r="A13" s="968">
        <f t="shared" si="3"/>
        <v>45006.947916666664</v>
      </c>
      <c r="B13" s="949" t="s">
        <v>275</v>
      </c>
      <c r="C13" s="950">
        <f t="shared" si="0"/>
        <v>0</v>
      </c>
      <c r="E13" s="943" t="b">
        <f>ISNUMBER(#REF!)</f>
        <v>0</v>
      </c>
      <c r="F13" s="943" t="b">
        <f>ISNUMBER(#REF!)</f>
        <v>0</v>
      </c>
      <c r="G13" s="943" t="b">
        <f>ISNUMBER(#REF!)</f>
        <v>0</v>
      </c>
      <c r="H13" s="943" t="b">
        <f>ISNUMBER(#REF!)</f>
        <v>0</v>
      </c>
      <c r="I13" s="943" t="b">
        <f>ISNUMBER(#REF!)</f>
        <v>0</v>
      </c>
      <c r="J13" s="943" t="b">
        <f>ISNUMBER(#REF!)</f>
        <v>0</v>
      </c>
      <c r="K13" s="943" t="b">
        <f>ISNUMBER(#REF!)</f>
        <v>0</v>
      </c>
      <c r="L13" s="943" t="b">
        <f>ISNUMBER(#REF!)</f>
        <v>0</v>
      </c>
      <c r="M13" s="943" t="b">
        <f t="shared" si="1"/>
        <v>1</v>
      </c>
      <c r="N13" s="943" t="b">
        <f>ISNUMBER(#REF!)</f>
        <v>0</v>
      </c>
      <c r="O13" s="943" t="b">
        <f>ISNUMBER(#REF!)</f>
        <v>0</v>
      </c>
      <c r="P13" s="943" t="b">
        <f>ISNUMBER(#REF!)</f>
        <v>0</v>
      </c>
      <c r="Q13" s="951" t="str">
        <f t="shared" si="2"/>
        <v/>
      </c>
    </row>
    <row r="14" spans="1:17" ht="27" customHeight="1">
      <c r="A14" s="968">
        <f t="shared" si="3"/>
        <v>45006.947916666664</v>
      </c>
      <c r="B14" s="949" t="s">
        <v>276</v>
      </c>
      <c r="C14" s="950">
        <f t="shared" si="0"/>
        <v>0</v>
      </c>
      <c r="E14" s="943" t="b">
        <f>ISNUMBER(#REF!)</f>
        <v>0</v>
      </c>
      <c r="F14" s="943" t="b">
        <f>ISNUMBER(#REF!)</f>
        <v>0</v>
      </c>
      <c r="G14" s="943" t="b">
        <f>ISNUMBER(#REF!)</f>
        <v>0</v>
      </c>
      <c r="H14" s="943" t="b">
        <f>ISNUMBER(#REF!)</f>
        <v>0</v>
      </c>
      <c r="I14" s="943" t="b">
        <f>ISNUMBER(#REF!)</f>
        <v>0</v>
      </c>
      <c r="J14" s="943" t="b">
        <f>ISNUMBER(#REF!)</f>
        <v>0</v>
      </c>
      <c r="K14" s="943" t="b">
        <f>ISNUMBER(#REF!)</f>
        <v>0</v>
      </c>
      <c r="L14" s="943" t="b">
        <f>ISNUMBER(#REF!)</f>
        <v>0</v>
      </c>
      <c r="M14" s="943" t="b">
        <f t="shared" si="1"/>
        <v>1</v>
      </c>
      <c r="N14" s="943" t="b">
        <f>ISNUMBER(#REF!)</f>
        <v>0</v>
      </c>
      <c r="O14" s="943" t="b">
        <f>ISNUMBER(#REF!)</f>
        <v>0</v>
      </c>
      <c r="P14" s="943" t="b">
        <f>ISNUMBER(#REF!)</f>
        <v>0</v>
      </c>
      <c r="Q14" s="951" t="str">
        <f t="shared" si="2"/>
        <v/>
      </c>
    </row>
    <row r="15" spans="1:17" ht="27" customHeight="1">
      <c r="A15" s="968">
        <f t="shared" si="3"/>
        <v>45006.947916666664</v>
      </c>
      <c r="B15" s="949" t="s">
        <v>277</v>
      </c>
      <c r="C15" s="950">
        <f t="shared" si="0"/>
        <v>0</v>
      </c>
      <c r="E15" s="943" t="b">
        <f>ISNUMBER(#REF!)</f>
        <v>0</v>
      </c>
      <c r="F15" s="943" t="b">
        <f>ISNUMBER(#REF!)</f>
        <v>0</v>
      </c>
      <c r="G15" s="943" t="b">
        <f>ISNUMBER(#REF!)</f>
        <v>0</v>
      </c>
      <c r="H15" s="943" t="b">
        <f>ISNUMBER(#REF!)</f>
        <v>0</v>
      </c>
      <c r="I15" s="943" t="b">
        <f>ISNUMBER(#REF!)</f>
        <v>0</v>
      </c>
      <c r="J15" s="943" t="b">
        <f>ISNUMBER(#REF!)</f>
        <v>0</v>
      </c>
      <c r="K15" s="943" t="b">
        <f>ISNUMBER(#REF!)</f>
        <v>0</v>
      </c>
      <c r="L15" s="943" t="b">
        <f>ISNUMBER(#REF!)</f>
        <v>0</v>
      </c>
      <c r="M15" s="943" t="b">
        <f t="shared" si="1"/>
        <v>1</v>
      </c>
      <c r="N15" s="943" t="b">
        <f>ISNUMBER(#REF!)</f>
        <v>0</v>
      </c>
      <c r="O15" s="943" t="b">
        <f>ISNUMBER(#REF!)</f>
        <v>0</v>
      </c>
      <c r="P15" s="943" t="b">
        <f>ISNUMBER(#REF!)</f>
        <v>0</v>
      </c>
      <c r="Q15" s="951" t="str">
        <f t="shared" si="2"/>
        <v/>
      </c>
    </row>
    <row r="16" spans="1:17" ht="27" customHeight="1">
      <c r="A16" s="968">
        <f t="shared" si="3"/>
        <v>45006.947916666664</v>
      </c>
      <c r="B16" s="949" t="s">
        <v>289</v>
      </c>
      <c r="C16" s="950">
        <f t="shared" si="0"/>
        <v>0</v>
      </c>
      <c r="E16" s="943" t="b">
        <f>ISNUMBER(#REF!)</f>
        <v>0</v>
      </c>
      <c r="F16" s="943" t="b">
        <f>ISNUMBER(#REF!)</f>
        <v>0</v>
      </c>
      <c r="G16" s="943" t="b">
        <f>ISNUMBER(#REF!)</f>
        <v>0</v>
      </c>
      <c r="H16" s="943" t="b">
        <f>ISNUMBER(#REF!)</f>
        <v>0</v>
      </c>
      <c r="I16" s="943" t="b">
        <f>ISNUMBER(#REF!)</f>
        <v>0</v>
      </c>
      <c r="J16" s="943" t="b">
        <f>ISNUMBER(#REF!)</f>
        <v>0</v>
      </c>
      <c r="K16" s="943" t="b">
        <f>ISNUMBER(#REF!)</f>
        <v>0</v>
      </c>
      <c r="L16" s="943" t="b">
        <f>ISNUMBER(#REF!)</f>
        <v>0</v>
      </c>
      <c r="M16" s="943" t="b">
        <f t="shared" si="1"/>
        <v>1</v>
      </c>
      <c r="N16" s="943" t="b">
        <f>ISNUMBER(#REF!)</f>
        <v>0</v>
      </c>
      <c r="O16" s="943" t="b">
        <f>ISNUMBER(#REF!)</f>
        <v>0</v>
      </c>
      <c r="P16" s="943" t="b">
        <f>ISNUMBER(#REF!)</f>
        <v>0</v>
      </c>
      <c r="Q16" s="951" t="str">
        <f t="shared" si="2"/>
        <v/>
      </c>
    </row>
    <row r="17" spans="1:17" ht="27" customHeight="1">
      <c r="A17" s="968">
        <f t="shared" si="3"/>
        <v>45006.947916666664</v>
      </c>
      <c r="B17" s="949" t="s">
        <v>290</v>
      </c>
      <c r="C17" s="950">
        <f t="shared" si="0"/>
        <v>0</v>
      </c>
      <c r="E17" s="943" t="b">
        <f>ISNUMBER(#REF!)</f>
        <v>0</v>
      </c>
      <c r="F17" s="943" t="b">
        <f>ISNUMBER(#REF!)</f>
        <v>0</v>
      </c>
      <c r="G17" s="943" t="b">
        <f>ISNUMBER(#REF!)</f>
        <v>0</v>
      </c>
      <c r="H17" s="943" t="b">
        <f>ISNUMBER(#REF!)</f>
        <v>0</v>
      </c>
      <c r="I17" s="943" t="b">
        <f>ISNUMBER(#REF!)</f>
        <v>0</v>
      </c>
      <c r="J17" s="943" t="b">
        <f>ISNUMBER(#REF!)</f>
        <v>0</v>
      </c>
      <c r="K17" s="943" t="b">
        <f>ISNUMBER(#REF!)</f>
        <v>0</v>
      </c>
      <c r="L17" s="943" t="b">
        <f>ISNUMBER(#REF!)</f>
        <v>0</v>
      </c>
      <c r="M17" s="943" t="b">
        <f t="shared" si="1"/>
        <v>1</v>
      </c>
      <c r="N17" s="943" t="b">
        <f>ISNUMBER(#REF!)</f>
        <v>0</v>
      </c>
      <c r="O17" s="943" t="b">
        <f>ISNUMBER(#REF!)</f>
        <v>0</v>
      </c>
      <c r="P17" s="943" t="b">
        <f>ISNUMBER(#REF!)</f>
        <v>0</v>
      </c>
      <c r="Q17" s="951" t="str">
        <f t="shared" si="2"/>
        <v/>
      </c>
    </row>
    <row r="18" spans="1:17" ht="27" customHeight="1">
      <c r="A18" s="968">
        <f t="shared" si="3"/>
        <v>45006.947916666664</v>
      </c>
      <c r="B18" s="949" t="s">
        <v>291</v>
      </c>
      <c r="C18" s="950">
        <f t="shared" si="0"/>
        <v>0</v>
      </c>
      <c r="E18" s="943" t="b">
        <f>ISNUMBER(#REF!)</f>
        <v>0</v>
      </c>
      <c r="F18" s="943" t="b">
        <f>ISNUMBER(#REF!)</f>
        <v>0</v>
      </c>
      <c r="G18" s="943" t="b">
        <f>ISNUMBER(#REF!)</f>
        <v>0</v>
      </c>
      <c r="H18" s="943" t="b">
        <f>ISNUMBER(#REF!)</f>
        <v>0</v>
      </c>
      <c r="I18" s="943" t="b">
        <f>ISNUMBER(#REF!)</f>
        <v>0</v>
      </c>
      <c r="J18" s="943" t="b">
        <f>ISNUMBER(#REF!)</f>
        <v>0</v>
      </c>
      <c r="K18" s="943" t="b">
        <f>ISNUMBER(#REF!)</f>
        <v>0</v>
      </c>
      <c r="L18" s="943" t="b">
        <f>ISNUMBER(#REF!)</f>
        <v>0</v>
      </c>
      <c r="M18" s="943" t="b">
        <f t="shared" si="1"/>
        <v>1</v>
      </c>
      <c r="N18" s="943" t="b">
        <f>ISNUMBER(#REF!)</f>
        <v>0</v>
      </c>
      <c r="O18" s="943" t="b">
        <f>ISNUMBER(#REF!)</f>
        <v>0</v>
      </c>
      <c r="P18" s="943" t="b">
        <f>ISNUMBER(#REF!)</f>
        <v>0</v>
      </c>
      <c r="Q18" s="951" t="str">
        <f t="shared" si="2"/>
        <v/>
      </c>
    </row>
    <row r="19" spans="1:17" ht="27" customHeight="1">
      <c r="A19" s="968">
        <f t="shared" si="3"/>
        <v>45006.947916666664</v>
      </c>
      <c r="B19" s="949" t="s">
        <v>292</v>
      </c>
      <c r="C19" s="950">
        <f t="shared" si="0"/>
        <v>0</v>
      </c>
      <c r="E19" s="943" t="b">
        <f>ISNUMBER(#REF!)</f>
        <v>0</v>
      </c>
      <c r="F19" s="943" t="b">
        <f>ISNUMBER(#REF!)</f>
        <v>0</v>
      </c>
      <c r="G19" s="943" t="b">
        <f>ISNUMBER(#REF!)</f>
        <v>0</v>
      </c>
      <c r="H19" s="943" t="b">
        <f>ISNUMBER(#REF!)</f>
        <v>0</v>
      </c>
      <c r="I19" s="943" t="b">
        <f>ISNUMBER(#REF!)</f>
        <v>0</v>
      </c>
      <c r="J19" s="943" t="b">
        <f>ISNUMBER(#REF!)</f>
        <v>0</v>
      </c>
      <c r="K19" s="943" t="b">
        <f>ISNUMBER(#REF!)</f>
        <v>0</v>
      </c>
      <c r="L19" s="943" t="b">
        <f>ISNUMBER(#REF!)</f>
        <v>0</v>
      </c>
      <c r="M19" s="943" t="b">
        <f t="shared" si="1"/>
        <v>1</v>
      </c>
      <c r="N19" s="943" t="b">
        <f>ISNUMBER(#REF!)</f>
        <v>0</v>
      </c>
      <c r="O19" s="943" t="b">
        <f>ISNUMBER(#REF!)</f>
        <v>0</v>
      </c>
      <c r="P19" s="943" t="b">
        <f>ISNUMBER(#REF!)</f>
        <v>0</v>
      </c>
      <c r="Q19" s="951" t="str">
        <f t="shared" si="2"/>
        <v/>
      </c>
    </row>
    <row r="20" spans="1:17" ht="27" customHeight="1">
      <c r="A20" s="968">
        <f t="shared" si="3"/>
        <v>45006.947916666664</v>
      </c>
      <c r="B20" s="949" t="s">
        <v>293</v>
      </c>
      <c r="C20" s="950">
        <f t="shared" si="0"/>
        <v>0</v>
      </c>
      <c r="E20" s="943" t="b">
        <f>ISNUMBER(#REF!)</f>
        <v>0</v>
      </c>
      <c r="F20" s="943" t="b">
        <f>ISNUMBER(#REF!)</f>
        <v>0</v>
      </c>
      <c r="G20" s="943" t="b">
        <f>ISNUMBER(#REF!)</f>
        <v>0</v>
      </c>
      <c r="H20" s="943" t="b">
        <f>ISNUMBER(#REF!)</f>
        <v>0</v>
      </c>
      <c r="I20" s="943" t="b">
        <f>ISNUMBER(#REF!)</f>
        <v>0</v>
      </c>
      <c r="J20" s="943" t="b">
        <f>ISNUMBER(#REF!)</f>
        <v>0</v>
      </c>
      <c r="K20" s="943" t="b">
        <f>ISNUMBER(#REF!)</f>
        <v>0</v>
      </c>
      <c r="L20" s="943" t="b">
        <f>ISNUMBER(#REF!)</f>
        <v>0</v>
      </c>
      <c r="M20" s="943" t="b">
        <f t="shared" si="1"/>
        <v>1</v>
      </c>
      <c r="N20" s="943" t="b">
        <f>ISNUMBER(#REF!)</f>
        <v>0</v>
      </c>
      <c r="O20" s="943" t="b">
        <f>ISNUMBER(#REF!)</f>
        <v>0</v>
      </c>
      <c r="P20" s="943" t="b">
        <f>ISNUMBER(#REF!)</f>
        <v>0</v>
      </c>
      <c r="Q20" s="951" t="str">
        <f t="shared" si="2"/>
        <v/>
      </c>
    </row>
    <row r="21" spans="1:17" ht="27" customHeight="1">
      <c r="A21" s="968">
        <f t="shared" si="3"/>
        <v>45006.947916666664</v>
      </c>
      <c r="B21" s="949" t="s">
        <v>294</v>
      </c>
      <c r="C21" s="950">
        <f t="shared" si="0"/>
        <v>0</v>
      </c>
      <c r="E21" s="943" t="b">
        <f>ISNUMBER(#REF!)</f>
        <v>0</v>
      </c>
      <c r="F21" s="943" t="b">
        <f>ISNUMBER(#REF!)</f>
        <v>0</v>
      </c>
      <c r="G21" s="943" t="b">
        <f>ISNUMBER(#REF!)</f>
        <v>0</v>
      </c>
      <c r="H21" s="943" t="b">
        <f>ISNUMBER(#REF!)</f>
        <v>0</v>
      </c>
      <c r="I21" s="943" t="b">
        <f>ISNUMBER(#REF!)</f>
        <v>0</v>
      </c>
      <c r="J21" s="943" t="b">
        <f>ISNUMBER(#REF!)</f>
        <v>0</v>
      </c>
      <c r="K21" s="943" t="b">
        <f>ISNUMBER(#REF!)</f>
        <v>0</v>
      </c>
      <c r="L21" s="943" t="b">
        <f>ISNUMBER(#REF!)</f>
        <v>0</v>
      </c>
      <c r="M21" s="943" t="b">
        <f t="shared" si="1"/>
        <v>1</v>
      </c>
      <c r="N21" s="943" t="b">
        <f>ISNUMBER(#REF!)</f>
        <v>0</v>
      </c>
      <c r="O21" s="943" t="b">
        <f>ISNUMBER(#REF!)</f>
        <v>0</v>
      </c>
      <c r="P21" s="943" t="b">
        <f>ISNUMBER(#REF!)</f>
        <v>0</v>
      </c>
      <c r="Q21" s="951" t="str">
        <f t="shared" si="2"/>
        <v/>
      </c>
    </row>
    <row r="22" spans="1:17" ht="27" customHeight="1">
      <c r="A22" s="968">
        <f t="shared" si="3"/>
        <v>45006.947916666664</v>
      </c>
      <c r="B22" s="949" t="s">
        <v>295</v>
      </c>
      <c r="C22" s="950">
        <f t="shared" si="0"/>
        <v>0</v>
      </c>
      <c r="E22" s="943" t="b">
        <f>ISNUMBER(#REF!)</f>
        <v>0</v>
      </c>
      <c r="F22" s="943" t="b">
        <f>ISNUMBER(#REF!)</f>
        <v>0</v>
      </c>
      <c r="G22" s="943" t="b">
        <f>ISNUMBER(#REF!)</f>
        <v>0</v>
      </c>
      <c r="H22" s="943" t="b">
        <f>ISNUMBER(#REF!)</f>
        <v>0</v>
      </c>
      <c r="I22" s="943" t="b">
        <f>ISNUMBER(#REF!)</f>
        <v>0</v>
      </c>
      <c r="J22" s="943" t="b">
        <f>ISNUMBER(#REF!)</f>
        <v>0</v>
      </c>
      <c r="K22" s="943" t="b">
        <f>ISNUMBER(#REF!)</f>
        <v>0</v>
      </c>
      <c r="L22" s="943" t="b">
        <f>ISNUMBER(#REF!)</f>
        <v>0</v>
      </c>
      <c r="M22" s="943" t="b">
        <f t="shared" si="1"/>
        <v>1</v>
      </c>
      <c r="N22" s="943" t="b">
        <f>ISNUMBER(#REF!)</f>
        <v>0</v>
      </c>
      <c r="O22" s="943" t="b">
        <f>ISNUMBER(#REF!)</f>
        <v>0</v>
      </c>
      <c r="P22" s="943" t="b">
        <f>ISNUMBER(#REF!)</f>
        <v>0</v>
      </c>
      <c r="Q22" s="951" t="str">
        <f t="shared" si="2"/>
        <v/>
      </c>
    </row>
    <row r="23" spans="1:17" ht="27" customHeight="1">
      <c r="A23" s="968">
        <f t="shared" si="3"/>
        <v>45006.947916666664</v>
      </c>
      <c r="B23" s="949" t="s">
        <v>296</v>
      </c>
      <c r="C23" s="950">
        <f t="shared" si="0"/>
        <v>0</v>
      </c>
      <c r="E23" s="943" t="b">
        <f>ISNUMBER(#REF!)</f>
        <v>0</v>
      </c>
      <c r="F23" s="943" t="b">
        <f>ISNUMBER(#REF!)</f>
        <v>0</v>
      </c>
      <c r="G23" s="943" t="b">
        <f>ISNUMBER(#REF!)</f>
        <v>0</v>
      </c>
      <c r="H23" s="943" t="b">
        <f>ISNUMBER(#REF!)</f>
        <v>0</v>
      </c>
      <c r="I23" s="943" t="b">
        <f>ISNUMBER(#REF!)</f>
        <v>0</v>
      </c>
      <c r="J23" s="943" t="b">
        <f>ISNUMBER(#REF!)</f>
        <v>0</v>
      </c>
      <c r="K23" s="943" t="b">
        <f>ISNUMBER(#REF!)</f>
        <v>0</v>
      </c>
      <c r="L23" s="943" t="b">
        <f>ISNUMBER(#REF!)</f>
        <v>0</v>
      </c>
      <c r="M23" s="943" t="b">
        <f t="shared" si="1"/>
        <v>1</v>
      </c>
      <c r="N23" s="943" t="b">
        <f>ISNUMBER(#REF!)</f>
        <v>0</v>
      </c>
      <c r="O23" s="943" t="b">
        <f>ISNUMBER(#REF!)</f>
        <v>0</v>
      </c>
      <c r="P23" s="943" t="b">
        <f>ISNUMBER(#REF!)</f>
        <v>0</v>
      </c>
      <c r="Q23" s="951" t="str">
        <f t="shared" si="2"/>
        <v/>
      </c>
    </row>
    <row r="24" spans="1:17" ht="27" customHeight="1">
      <c r="A24" s="968">
        <f t="shared" si="3"/>
        <v>45006.947916666664</v>
      </c>
      <c r="B24" s="949" t="s">
        <v>297</v>
      </c>
      <c r="C24" s="950">
        <f t="shared" si="0"/>
        <v>-1.0461</v>
      </c>
      <c r="E24" s="943" t="b">
        <f>ISNUMBER(#REF!)</f>
        <v>0</v>
      </c>
      <c r="F24" s="943" t="b">
        <f>ISNUMBER(#REF!)</f>
        <v>0</v>
      </c>
      <c r="G24" s="943" t="b">
        <f>ISNUMBER(#REF!)</f>
        <v>0</v>
      </c>
      <c r="H24" s="943" t="b">
        <f>ISNUMBER(#REF!)</f>
        <v>0</v>
      </c>
      <c r="I24" s="943" t="b">
        <f>ISNUMBER(#REF!)</f>
        <v>0</v>
      </c>
      <c r="J24" s="943" t="b">
        <f>ISNUMBER(#REF!)</f>
        <v>0</v>
      </c>
      <c r="K24" s="943" t="b">
        <f>ISNUMBER(#REF!)</f>
        <v>0</v>
      </c>
      <c r="L24" s="943" t="b">
        <f>ISNUMBER(#REF!)</f>
        <v>0</v>
      </c>
      <c r="M24" s="943" t="b">
        <f t="shared" si="1"/>
        <v>1</v>
      </c>
      <c r="N24" s="943" t="b">
        <f>ISNUMBER(#REF!)</f>
        <v>0</v>
      </c>
      <c r="O24" s="943" t="b">
        <f>ISNUMBER(#REF!)</f>
        <v>0</v>
      </c>
      <c r="P24" s="943" t="b">
        <f>ISNUMBER(#REF!)</f>
        <v>0</v>
      </c>
      <c r="Q24" s="951" t="str">
        <f t="shared" si="2"/>
        <v/>
      </c>
    </row>
    <row r="25" spans="1:17" ht="27" customHeight="1">
      <c r="A25" s="968">
        <f t="shared" si="3"/>
        <v>45006.947916666664</v>
      </c>
      <c r="B25" s="949" t="s">
        <v>298</v>
      </c>
      <c r="C25" s="950">
        <f t="shared" si="0"/>
        <v>0</v>
      </c>
      <c r="E25" s="943" t="b">
        <f>ISNUMBER(#REF!)</f>
        <v>0</v>
      </c>
      <c r="F25" s="943" t="b">
        <f>ISNUMBER(#REF!)</f>
        <v>0</v>
      </c>
      <c r="G25" s="943" t="b">
        <f>ISNUMBER(#REF!)</f>
        <v>0</v>
      </c>
      <c r="H25" s="943" t="b">
        <f>ISNUMBER(#REF!)</f>
        <v>0</v>
      </c>
      <c r="I25" s="943" t="b">
        <f>ISNUMBER(#REF!)</f>
        <v>0</v>
      </c>
      <c r="J25" s="943" t="b">
        <f>ISNUMBER(#REF!)</f>
        <v>0</v>
      </c>
      <c r="K25" s="943" t="b">
        <f>ISNUMBER(#REF!)</f>
        <v>0</v>
      </c>
      <c r="L25" s="943" t="b">
        <f>ISNUMBER(#REF!)</f>
        <v>0</v>
      </c>
      <c r="M25" s="943" t="b">
        <f t="shared" si="1"/>
        <v>1</v>
      </c>
      <c r="N25" s="943" t="b">
        <f>ISNUMBER(#REF!)</f>
        <v>0</v>
      </c>
      <c r="O25" s="943" t="b">
        <f>ISNUMBER(#REF!)</f>
        <v>0</v>
      </c>
      <c r="P25" s="943" t="b">
        <f>ISNUMBER(#REF!)</f>
        <v>0</v>
      </c>
      <c r="Q25" s="951" t="str">
        <f t="shared" si="2"/>
        <v/>
      </c>
    </row>
    <row r="26" spans="1:17" ht="27" customHeight="1">
      <c r="A26" s="968">
        <f t="shared" si="3"/>
        <v>45006.947916666664</v>
      </c>
      <c r="B26" s="949" t="s">
        <v>299</v>
      </c>
      <c r="C26" s="950">
        <f t="shared" si="0"/>
        <v>0</v>
      </c>
      <c r="E26" s="943" t="b">
        <f>ISNUMBER(#REF!)</f>
        <v>0</v>
      </c>
      <c r="F26" s="943" t="b">
        <f>ISNUMBER(#REF!)</f>
        <v>0</v>
      </c>
      <c r="G26" s="943" t="b">
        <f>ISNUMBER(#REF!)</f>
        <v>0</v>
      </c>
      <c r="H26" s="943" t="b">
        <f>ISNUMBER(#REF!)</f>
        <v>0</v>
      </c>
      <c r="I26" s="943" t="b">
        <f>ISNUMBER(#REF!)</f>
        <v>0</v>
      </c>
      <c r="J26" s="943" t="b">
        <f>ISNUMBER(#REF!)</f>
        <v>0</v>
      </c>
      <c r="K26" s="943" t="b">
        <f>ISNUMBER(#REF!)</f>
        <v>0</v>
      </c>
      <c r="L26" s="943" t="b">
        <f>ISNUMBER(#REF!)</f>
        <v>0</v>
      </c>
      <c r="M26" s="943" t="b">
        <f t="shared" si="1"/>
        <v>1</v>
      </c>
      <c r="N26" s="943" t="b">
        <f>ISNUMBER(#REF!)</f>
        <v>0</v>
      </c>
      <c r="O26" s="943" t="b">
        <f>ISNUMBER(#REF!)</f>
        <v>0</v>
      </c>
      <c r="P26" s="943" t="b">
        <f>ISNUMBER(#REF!)</f>
        <v>0</v>
      </c>
      <c r="Q26" s="951" t="str">
        <f t="shared" si="2"/>
        <v/>
      </c>
    </row>
    <row r="27" spans="1:17" ht="27" customHeight="1">
      <c r="A27" s="968">
        <f t="shared" si="3"/>
        <v>45006.947916666664</v>
      </c>
      <c r="B27" s="949" t="s">
        <v>300</v>
      </c>
      <c r="C27" s="950">
        <f t="shared" si="0"/>
        <v>0</v>
      </c>
      <c r="E27" s="943" t="b">
        <f>ISNUMBER(#REF!)</f>
        <v>0</v>
      </c>
      <c r="F27" s="943" t="b">
        <f>ISNUMBER(#REF!)</f>
        <v>0</v>
      </c>
      <c r="G27" s="943" t="b">
        <f>ISNUMBER(#REF!)</f>
        <v>0</v>
      </c>
      <c r="H27" s="943" t="b">
        <f>ISNUMBER(#REF!)</f>
        <v>0</v>
      </c>
      <c r="I27" s="943" t="b">
        <f>ISNUMBER(#REF!)</f>
        <v>0</v>
      </c>
      <c r="J27" s="943" t="b">
        <f>ISNUMBER(#REF!)</f>
        <v>0</v>
      </c>
      <c r="K27" s="943" t="b">
        <f>ISNUMBER(#REF!)</f>
        <v>0</v>
      </c>
      <c r="L27" s="943" t="b">
        <f>ISNUMBER(#REF!)</f>
        <v>0</v>
      </c>
      <c r="M27" s="943" t="b">
        <f t="shared" si="1"/>
        <v>1</v>
      </c>
      <c r="N27" s="943" t="b">
        <f>ISNUMBER(#REF!)</f>
        <v>0</v>
      </c>
      <c r="O27" s="943" t="b">
        <f>ISNUMBER(#REF!)</f>
        <v>0</v>
      </c>
      <c r="P27" s="943" t="b">
        <f>ISNUMBER(#REF!)</f>
        <v>0</v>
      </c>
      <c r="Q27" s="951" t="str">
        <f t="shared" si="2"/>
        <v/>
      </c>
    </row>
    <row r="28" spans="1:17" ht="27" customHeight="1">
      <c r="A28" s="968">
        <f t="shared" si="3"/>
        <v>45006.947916666664</v>
      </c>
      <c r="B28" s="949" t="s">
        <v>301</v>
      </c>
      <c r="C28" s="950">
        <f t="shared" si="0"/>
        <v>0</v>
      </c>
      <c r="E28" s="943" t="b">
        <f>ISNUMBER(#REF!)</f>
        <v>0</v>
      </c>
      <c r="F28" s="943" t="b">
        <f>ISNUMBER(#REF!)</f>
        <v>0</v>
      </c>
      <c r="G28" s="943" t="b">
        <f>ISNUMBER(#REF!)</f>
        <v>0</v>
      </c>
      <c r="H28" s="943" t="b">
        <f>ISNUMBER(#REF!)</f>
        <v>0</v>
      </c>
      <c r="I28" s="943" t="b">
        <f>ISNUMBER(#REF!)</f>
        <v>0</v>
      </c>
      <c r="J28" s="943" t="b">
        <f>ISNUMBER(#REF!)</f>
        <v>0</v>
      </c>
      <c r="K28" s="943" t="b">
        <f>ISNUMBER(#REF!)</f>
        <v>0</v>
      </c>
      <c r="L28" s="943" t="b">
        <f>ISNUMBER(#REF!)</f>
        <v>0</v>
      </c>
      <c r="M28" s="943" t="b">
        <f t="shared" si="1"/>
        <v>1</v>
      </c>
      <c r="N28" s="943" t="b">
        <f>ISNUMBER(#REF!)</f>
        <v>0</v>
      </c>
      <c r="O28" s="943" t="b">
        <f>ISNUMBER(#REF!)</f>
        <v>0</v>
      </c>
      <c r="P28" s="943" t="b">
        <f>ISNUMBER(#REF!)</f>
        <v>0</v>
      </c>
      <c r="Q28" s="951" t="str">
        <f t="shared" si="2"/>
        <v/>
      </c>
    </row>
    <row r="29" spans="1:17" ht="27" customHeight="1">
      <c r="A29" s="968">
        <f t="shared" si="3"/>
        <v>45006.947916666664</v>
      </c>
      <c r="B29" s="949" t="s">
        <v>302</v>
      </c>
      <c r="C29" s="950">
        <f t="shared" si="0"/>
        <v>0</v>
      </c>
      <c r="E29" s="943" t="b">
        <f>ISNUMBER(#REF!)</f>
        <v>0</v>
      </c>
      <c r="F29" s="943" t="b">
        <f>ISNUMBER(#REF!)</f>
        <v>0</v>
      </c>
      <c r="G29" s="943" t="b">
        <f>ISNUMBER(#REF!)</f>
        <v>0</v>
      </c>
      <c r="H29" s="943" t="b">
        <f>ISNUMBER(#REF!)</f>
        <v>0</v>
      </c>
      <c r="I29" s="943" t="b">
        <f>ISNUMBER(#REF!)</f>
        <v>0</v>
      </c>
      <c r="J29" s="943" t="b">
        <f>ISNUMBER(#REF!)</f>
        <v>0</v>
      </c>
      <c r="K29" s="943" t="b">
        <f>ISNUMBER(#REF!)</f>
        <v>0</v>
      </c>
      <c r="L29" s="943" t="b">
        <f>ISNUMBER(#REF!)</f>
        <v>0</v>
      </c>
      <c r="M29" s="943" t="b">
        <f t="shared" si="1"/>
        <v>1</v>
      </c>
      <c r="N29" s="943" t="b">
        <f>ISNUMBER(#REF!)</f>
        <v>0</v>
      </c>
      <c r="O29" s="943" t="b">
        <f>ISNUMBER(#REF!)</f>
        <v>0</v>
      </c>
      <c r="P29" s="943" t="b">
        <f>ISNUMBER(#REF!)</f>
        <v>0</v>
      </c>
      <c r="Q29" s="951" t="str">
        <f t="shared" si="2"/>
        <v/>
      </c>
    </row>
    <row r="30" spans="1:17" ht="27" customHeight="1">
      <c r="A30" s="968">
        <f t="shared" si="3"/>
        <v>45006.947916666664</v>
      </c>
      <c r="B30" s="949" t="s">
        <v>312</v>
      </c>
      <c r="C30" s="950">
        <f t="shared" si="0"/>
        <v>0</v>
      </c>
      <c r="E30" s="943" t="b">
        <f>ISNUMBER(#REF!)</f>
        <v>0</v>
      </c>
      <c r="F30" s="943" t="b">
        <f>ISNUMBER(#REF!)</f>
        <v>0</v>
      </c>
      <c r="G30" s="943" t="b">
        <f>ISNUMBER(#REF!)</f>
        <v>0</v>
      </c>
      <c r="H30" s="943" t="b">
        <f>ISNUMBER(#REF!)</f>
        <v>0</v>
      </c>
      <c r="I30" s="943" t="b">
        <f>ISNUMBER(#REF!)</f>
        <v>0</v>
      </c>
      <c r="J30" s="943" t="b">
        <f>ISNUMBER(#REF!)</f>
        <v>0</v>
      </c>
      <c r="K30" s="943" t="b">
        <f>ISNUMBER(#REF!)</f>
        <v>0</v>
      </c>
      <c r="L30" s="943" t="b">
        <f>ISNUMBER(#REF!)</f>
        <v>0</v>
      </c>
      <c r="M30" s="943" t="b">
        <f t="shared" si="1"/>
        <v>1</v>
      </c>
      <c r="N30" s="943" t="b">
        <f>ISNUMBER(#REF!)</f>
        <v>0</v>
      </c>
      <c r="O30" s="943" t="b">
        <f>ISNUMBER(#REF!)</f>
        <v>0</v>
      </c>
      <c r="P30" s="943" t="b">
        <f>ISNUMBER(#REF!)</f>
        <v>0</v>
      </c>
      <c r="Q30" s="951" t="str">
        <f t="shared" si="2"/>
        <v/>
      </c>
    </row>
    <row r="31" spans="1:17" ht="27" customHeight="1">
      <c r="A31" s="968">
        <f t="shared" si="3"/>
        <v>45006.947916666664</v>
      </c>
      <c r="B31" s="949" t="s">
        <v>313</v>
      </c>
      <c r="C31" s="950">
        <f t="shared" si="0"/>
        <v>0</v>
      </c>
      <c r="E31" s="943" t="b">
        <f>ISNUMBER(#REF!)</f>
        <v>0</v>
      </c>
      <c r="F31" s="943" t="b">
        <f>ISNUMBER(#REF!)</f>
        <v>0</v>
      </c>
      <c r="G31" s="943" t="b">
        <f>ISNUMBER(#REF!)</f>
        <v>0</v>
      </c>
      <c r="H31" s="943" t="b">
        <f>ISNUMBER(#REF!)</f>
        <v>0</v>
      </c>
      <c r="I31" s="943" t="b">
        <f>ISNUMBER(#REF!)</f>
        <v>0</v>
      </c>
      <c r="J31" s="943" t="b">
        <f>ISNUMBER(#REF!)</f>
        <v>0</v>
      </c>
      <c r="K31" s="943" t="b">
        <f>ISNUMBER(#REF!)</f>
        <v>0</v>
      </c>
      <c r="L31" s="943" t="b">
        <f>ISNUMBER(#REF!)</f>
        <v>0</v>
      </c>
      <c r="M31" s="943" t="b">
        <f t="shared" si="1"/>
        <v>1</v>
      </c>
      <c r="N31" s="943" t="b">
        <f>ISNUMBER(#REF!)</f>
        <v>0</v>
      </c>
      <c r="O31" s="943" t="b">
        <f>ISNUMBER(#REF!)</f>
        <v>0</v>
      </c>
      <c r="P31" s="943" t="b">
        <f>ISNUMBER(#REF!)</f>
        <v>0</v>
      </c>
      <c r="Q31" s="951" t="str">
        <f t="shared" si="2"/>
        <v/>
      </c>
    </row>
    <row r="32" spans="1:17" ht="27" customHeight="1">
      <c r="A32" s="968">
        <f t="shared" si="3"/>
        <v>45006.947916666664</v>
      </c>
      <c r="B32" s="949" t="s">
        <v>314</v>
      </c>
      <c r="C32" s="950">
        <f t="shared" si="0"/>
        <v>0</v>
      </c>
      <c r="E32" s="943" t="b">
        <f>ISNUMBER(#REF!)</f>
        <v>0</v>
      </c>
      <c r="F32" s="943" t="b">
        <f>ISNUMBER(#REF!)</f>
        <v>0</v>
      </c>
      <c r="G32" s="943" t="b">
        <f>ISNUMBER(#REF!)</f>
        <v>0</v>
      </c>
      <c r="H32" s="943" t="b">
        <f>ISNUMBER(#REF!)</f>
        <v>0</v>
      </c>
      <c r="I32" s="943" t="b">
        <f>ISNUMBER(#REF!)</f>
        <v>0</v>
      </c>
      <c r="J32" s="943" t="b">
        <f>ISNUMBER(#REF!)</f>
        <v>0</v>
      </c>
      <c r="K32" s="943" t="b">
        <f>ISNUMBER(#REF!)</f>
        <v>0</v>
      </c>
      <c r="L32" s="943" t="b">
        <f>ISNUMBER(#REF!)</f>
        <v>0</v>
      </c>
      <c r="M32" s="943" t="b">
        <f t="shared" si="1"/>
        <v>1</v>
      </c>
      <c r="N32" s="943" t="b">
        <f>ISNUMBER(#REF!)</f>
        <v>0</v>
      </c>
      <c r="O32" s="943" t="b">
        <f>ISNUMBER(#REF!)</f>
        <v>0</v>
      </c>
      <c r="P32" s="943" t="b">
        <f>ISNUMBER(#REF!)</f>
        <v>0</v>
      </c>
      <c r="Q32" s="951" t="str">
        <f t="shared" si="2"/>
        <v/>
      </c>
    </row>
    <row r="33" spans="1:17" ht="27" customHeight="1">
      <c r="A33" s="968">
        <f t="shared" si="3"/>
        <v>45006.947916666664</v>
      </c>
      <c r="B33" s="949" t="s">
        <v>315</v>
      </c>
      <c r="C33" s="950">
        <f t="shared" si="0"/>
        <v>0</v>
      </c>
      <c r="E33" s="943" t="b">
        <f>ISNUMBER(#REF!)</f>
        <v>0</v>
      </c>
      <c r="F33" s="943" t="b">
        <f>ISNUMBER(#REF!)</f>
        <v>0</v>
      </c>
      <c r="G33" s="943" t="b">
        <f>ISNUMBER(#REF!)</f>
        <v>0</v>
      </c>
      <c r="H33" s="943" t="b">
        <f>ISNUMBER(#REF!)</f>
        <v>0</v>
      </c>
      <c r="I33" s="943" t="b">
        <f>ISNUMBER(#REF!)</f>
        <v>0</v>
      </c>
      <c r="J33" s="943" t="b">
        <f>ISNUMBER(#REF!)</f>
        <v>0</v>
      </c>
      <c r="K33" s="943" t="b">
        <f>ISNUMBER(#REF!)</f>
        <v>0</v>
      </c>
      <c r="L33" s="943" t="b">
        <f>ISNUMBER(#REF!)</f>
        <v>0</v>
      </c>
      <c r="M33" s="943" t="b">
        <f t="shared" si="1"/>
        <v>1</v>
      </c>
      <c r="N33" s="943" t="b">
        <f>ISNUMBER(#REF!)</f>
        <v>0</v>
      </c>
      <c r="O33" s="943" t="b">
        <f>ISNUMBER(#REF!)</f>
        <v>0</v>
      </c>
      <c r="P33" s="943" t="b">
        <f>ISNUMBER(#REF!)</f>
        <v>0</v>
      </c>
      <c r="Q33" s="951" t="str">
        <f t="shared" si="2"/>
        <v/>
      </c>
    </row>
    <row r="34" spans="1:17" ht="27" customHeight="1">
      <c r="A34" s="968">
        <f t="shared" si="3"/>
        <v>45006.947916666664</v>
      </c>
      <c r="B34" s="949" t="s">
        <v>316</v>
      </c>
      <c r="C34" s="950">
        <f t="shared" si="0"/>
        <v>0</v>
      </c>
      <c r="E34" s="943" t="b">
        <f>ISNUMBER(#REF!)</f>
        <v>0</v>
      </c>
      <c r="F34" s="943" t="b">
        <f>ISNUMBER(#REF!)</f>
        <v>0</v>
      </c>
      <c r="G34" s="943" t="b">
        <f>ISNUMBER(#REF!)</f>
        <v>0</v>
      </c>
      <c r="H34" s="943" t="b">
        <f>ISNUMBER(#REF!)</f>
        <v>0</v>
      </c>
      <c r="I34" s="943" t="b">
        <f>ISNUMBER(#REF!)</f>
        <v>0</v>
      </c>
      <c r="J34" s="943" t="b">
        <f>ISNUMBER(#REF!)</f>
        <v>0</v>
      </c>
      <c r="K34" s="943" t="b">
        <f>ISNUMBER(#REF!)</f>
        <v>0</v>
      </c>
      <c r="L34" s="943" t="b">
        <f>ISNUMBER(#REF!)</f>
        <v>0</v>
      </c>
      <c r="M34" s="943" t="b">
        <f t="shared" si="1"/>
        <v>1</v>
      </c>
      <c r="N34" s="943" t="b">
        <f>ISNUMBER(#REF!)</f>
        <v>0</v>
      </c>
      <c r="O34" s="943" t="b">
        <f>ISNUMBER(#REF!)</f>
        <v>0</v>
      </c>
      <c r="P34" s="943" t="b">
        <f>ISNUMBER(#REF!)</f>
        <v>0</v>
      </c>
      <c r="Q34" s="951" t="str">
        <f t="shared" si="2"/>
        <v/>
      </c>
    </row>
    <row r="35" spans="1:17" ht="27" customHeight="1">
      <c r="A35" s="968">
        <f t="shared" si="3"/>
        <v>45006.947916666664</v>
      </c>
      <c r="B35" s="949" t="s">
        <v>317</v>
      </c>
      <c r="C35" s="950">
        <f t="shared" si="0"/>
        <v>0</v>
      </c>
      <c r="E35" s="943" t="b">
        <f>ISNUMBER(#REF!)</f>
        <v>0</v>
      </c>
      <c r="F35" s="943" t="b">
        <f>ISNUMBER(#REF!)</f>
        <v>0</v>
      </c>
      <c r="G35" s="943" t="b">
        <f>ISNUMBER(#REF!)</f>
        <v>0</v>
      </c>
      <c r="H35" s="943" t="b">
        <f>ISNUMBER(#REF!)</f>
        <v>0</v>
      </c>
      <c r="I35" s="943" t="b">
        <f>ISNUMBER(#REF!)</f>
        <v>0</v>
      </c>
      <c r="J35" s="943" t="b">
        <f>ISNUMBER(#REF!)</f>
        <v>0</v>
      </c>
      <c r="K35" s="943" t="b">
        <f>ISNUMBER(#REF!)</f>
        <v>0</v>
      </c>
      <c r="L35" s="943" t="b">
        <f>ISNUMBER(#REF!)</f>
        <v>0</v>
      </c>
      <c r="M35" s="943" t="b">
        <f t="shared" si="1"/>
        <v>1</v>
      </c>
      <c r="N35" s="943" t="b">
        <f>ISNUMBER(#REF!)</f>
        <v>0</v>
      </c>
      <c r="O35" s="943" t="b">
        <f>ISNUMBER(#REF!)</f>
        <v>0</v>
      </c>
      <c r="P35" s="943" t="b">
        <f>ISNUMBER(#REF!)</f>
        <v>0</v>
      </c>
      <c r="Q35" s="951" t="str">
        <f t="shared" si="2"/>
        <v/>
      </c>
    </row>
    <row r="36" spans="1:17" ht="27" customHeight="1">
      <c r="A36" s="968">
        <f t="shared" si="3"/>
        <v>45006.947916666664</v>
      </c>
      <c r="B36" s="949" t="s">
        <v>318</v>
      </c>
      <c r="C36" s="950">
        <f t="shared" si="0"/>
        <v>0</v>
      </c>
      <c r="E36" s="943" t="b">
        <f>ISNUMBER(#REF!)</f>
        <v>0</v>
      </c>
      <c r="F36" s="943" t="b">
        <f>ISNUMBER(#REF!)</f>
        <v>0</v>
      </c>
      <c r="G36" s="943" t="b">
        <f>ISNUMBER(#REF!)</f>
        <v>0</v>
      </c>
      <c r="H36" s="943" t="b">
        <f>ISNUMBER(#REF!)</f>
        <v>0</v>
      </c>
      <c r="I36" s="943" t="b">
        <f>ISNUMBER(#REF!)</f>
        <v>0</v>
      </c>
      <c r="J36" s="943" t="b">
        <f>ISNUMBER(#REF!)</f>
        <v>0</v>
      </c>
      <c r="K36" s="943" t="b">
        <f>ISNUMBER(#REF!)</f>
        <v>0</v>
      </c>
      <c r="L36" s="943" t="b">
        <f>ISNUMBER(#REF!)</f>
        <v>0</v>
      </c>
      <c r="M36" s="943" t="b">
        <f t="shared" ref="M36:M45" si="4">ISNUMBER(C36)</f>
        <v>1</v>
      </c>
      <c r="N36" s="943" t="b">
        <f>ISNUMBER(#REF!)</f>
        <v>0</v>
      </c>
      <c r="O36" s="943" t="b">
        <f>ISNUMBER(#REF!)</f>
        <v>0</v>
      </c>
      <c r="P36" s="943" t="b">
        <f>ISNUMBER(#REF!)</f>
        <v>0</v>
      </c>
      <c r="Q36" s="951" t="str">
        <f t="shared" ref="Q36:Q45" si="5">IF(M36=TRUE,"",1)</f>
        <v/>
      </c>
    </row>
    <row r="37" spans="1:17" ht="27" customHeight="1">
      <c r="A37" s="968">
        <f t="shared" si="3"/>
        <v>45006.947916666664</v>
      </c>
      <c r="B37" s="949" t="s">
        <v>319</v>
      </c>
      <c r="C37" s="950">
        <f t="shared" si="0"/>
        <v>0</v>
      </c>
      <c r="E37" s="943" t="b">
        <f>ISNUMBER(#REF!)</f>
        <v>0</v>
      </c>
      <c r="F37" s="943" t="b">
        <f>ISNUMBER(#REF!)</f>
        <v>0</v>
      </c>
      <c r="G37" s="943" t="b">
        <f>ISNUMBER(#REF!)</f>
        <v>0</v>
      </c>
      <c r="H37" s="943" t="b">
        <f>ISNUMBER(#REF!)</f>
        <v>0</v>
      </c>
      <c r="I37" s="943" t="b">
        <f>ISNUMBER(#REF!)</f>
        <v>0</v>
      </c>
      <c r="J37" s="943" t="b">
        <f>ISNUMBER(#REF!)</f>
        <v>0</v>
      </c>
      <c r="K37" s="943" t="b">
        <f>ISNUMBER(#REF!)</f>
        <v>0</v>
      </c>
      <c r="L37" s="943" t="b">
        <f>ISNUMBER(#REF!)</f>
        <v>0</v>
      </c>
      <c r="M37" s="943" t="b">
        <f t="shared" si="4"/>
        <v>1</v>
      </c>
      <c r="N37" s="943" t="b">
        <f>ISNUMBER(#REF!)</f>
        <v>0</v>
      </c>
      <c r="O37" s="943" t="b">
        <f>ISNUMBER(#REF!)</f>
        <v>0</v>
      </c>
      <c r="P37" s="943" t="b">
        <f>ISNUMBER(#REF!)</f>
        <v>0</v>
      </c>
      <c r="Q37" s="951" t="str">
        <f t="shared" si="5"/>
        <v/>
      </c>
    </row>
    <row r="38" spans="1:17" ht="27" customHeight="1">
      <c r="A38" s="968">
        <f t="shared" si="3"/>
        <v>45006.947916666664</v>
      </c>
      <c r="B38" s="949" t="s">
        <v>320</v>
      </c>
      <c r="C38" s="950">
        <f t="shared" si="0"/>
        <v>-1.0461</v>
      </c>
      <c r="E38" s="943" t="b">
        <f>ISNUMBER(#REF!)</f>
        <v>0</v>
      </c>
      <c r="F38" s="943" t="b">
        <f>ISNUMBER(#REF!)</f>
        <v>0</v>
      </c>
      <c r="G38" s="943" t="b">
        <f>ISNUMBER(#REF!)</f>
        <v>0</v>
      </c>
      <c r="H38" s="943" t="b">
        <f>ISNUMBER(#REF!)</f>
        <v>0</v>
      </c>
      <c r="I38" s="943" t="b">
        <f>ISNUMBER(#REF!)</f>
        <v>0</v>
      </c>
      <c r="J38" s="943" t="b">
        <f>ISNUMBER(#REF!)</f>
        <v>0</v>
      </c>
      <c r="K38" s="943" t="b">
        <f>ISNUMBER(#REF!)</f>
        <v>0</v>
      </c>
      <c r="L38" s="943" t="b">
        <f>ISNUMBER(#REF!)</f>
        <v>0</v>
      </c>
      <c r="M38" s="943" t="b">
        <f t="shared" si="4"/>
        <v>1</v>
      </c>
      <c r="N38" s="943" t="b">
        <f>ISNUMBER(#REF!)</f>
        <v>0</v>
      </c>
      <c r="O38" s="943" t="b">
        <f>ISNUMBER(#REF!)</f>
        <v>0</v>
      </c>
      <c r="P38" s="943" t="b">
        <f>ISNUMBER(#REF!)</f>
        <v>0</v>
      </c>
      <c r="Q38" s="951" t="str">
        <f t="shared" si="5"/>
        <v/>
      </c>
    </row>
    <row r="39" spans="1:17" ht="27" customHeight="1">
      <c r="A39" s="968">
        <f t="shared" si="3"/>
        <v>45006.947916666664</v>
      </c>
      <c r="B39" s="949" t="s">
        <v>321</v>
      </c>
      <c r="C39" s="950">
        <f t="shared" si="0"/>
        <v>0</v>
      </c>
      <c r="E39" s="943" t="b">
        <f>ISNUMBER(#REF!)</f>
        <v>0</v>
      </c>
      <c r="F39" s="943" t="b">
        <f>ISNUMBER(#REF!)</f>
        <v>0</v>
      </c>
      <c r="G39" s="943" t="b">
        <f>ISNUMBER(#REF!)</f>
        <v>0</v>
      </c>
      <c r="H39" s="943" t="b">
        <f>ISNUMBER(#REF!)</f>
        <v>0</v>
      </c>
      <c r="I39" s="943" t="b">
        <f>ISNUMBER(#REF!)</f>
        <v>0</v>
      </c>
      <c r="J39" s="943" t="b">
        <f>ISNUMBER(#REF!)</f>
        <v>0</v>
      </c>
      <c r="K39" s="943" t="b">
        <f>ISNUMBER(#REF!)</f>
        <v>0</v>
      </c>
      <c r="L39" s="943" t="b">
        <f>ISNUMBER(#REF!)</f>
        <v>0</v>
      </c>
      <c r="M39" s="943" t="b">
        <f t="shared" si="4"/>
        <v>1</v>
      </c>
      <c r="N39" s="943" t="b">
        <f>ISNUMBER(#REF!)</f>
        <v>0</v>
      </c>
      <c r="O39" s="943" t="b">
        <f>ISNUMBER(#REF!)</f>
        <v>0</v>
      </c>
      <c r="P39" s="943" t="b">
        <f>ISNUMBER(#REF!)</f>
        <v>0</v>
      </c>
      <c r="Q39" s="951" t="str">
        <f t="shared" si="5"/>
        <v/>
      </c>
    </row>
    <row r="40" spans="1:17" ht="27" customHeight="1">
      <c r="A40" s="968">
        <f t="shared" si="3"/>
        <v>45006.947916666664</v>
      </c>
      <c r="B40" s="949" t="s">
        <v>322</v>
      </c>
      <c r="C40" s="950">
        <f t="shared" si="0"/>
        <v>0</v>
      </c>
      <c r="E40" s="943" t="b">
        <f>ISNUMBER(#REF!)</f>
        <v>0</v>
      </c>
      <c r="F40" s="943" t="b">
        <f>ISNUMBER(#REF!)</f>
        <v>0</v>
      </c>
      <c r="G40" s="943" t="b">
        <f>ISNUMBER(#REF!)</f>
        <v>0</v>
      </c>
      <c r="H40" s="943" t="b">
        <f>ISNUMBER(#REF!)</f>
        <v>0</v>
      </c>
      <c r="I40" s="943" t="b">
        <f>ISNUMBER(#REF!)</f>
        <v>0</v>
      </c>
      <c r="J40" s="943" t="b">
        <f>ISNUMBER(#REF!)</f>
        <v>0</v>
      </c>
      <c r="K40" s="943" t="b">
        <f>ISNUMBER(#REF!)</f>
        <v>0</v>
      </c>
      <c r="L40" s="943" t="b">
        <f>ISNUMBER(#REF!)</f>
        <v>0</v>
      </c>
      <c r="M40" s="943" t="b">
        <f t="shared" si="4"/>
        <v>1</v>
      </c>
      <c r="N40" s="943" t="b">
        <f>ISNUMBER(#REF!)</f>
        <v>0</v>
      </c>
      <c r="O40" s="943" t="b">
        <f>ISNUMBER(#REF!)</f>
        <v>0</v>
      </c>
      <c r="P40" s="943" t="b">
        <f>ISNUMBER(#REF!)</f>
        <v>0</v>
      </c>
      <c r="Q40" s="951" t="str">
        <f t="shared" si="5"/>
        <v/>
      </c>
    </row>
    <row r="41" spans="1:17" ht="27" customHeight="1">
      <c r="A41" s="968">
        <f t="shared" si="3"/>
        <v>45006.947916666664</v>
      </c>
      <c r="B41" s="949" t="s">
        <v>323</v>
      </c>
      <c r="C41" s="950">
        <f t="shared" si="0"/>
        <v>0</v>
      </c>
      <c r="E41" s="943" t="b">
        <f>ISNUMBER(#REF!)</f>
        <v>0</v>
      </c>
      <c r="F41" s="943" t="b">
        <f>ISNUMBER(#REF!)</f>
        <v>0</v>
      </c>
      <c r="G41" s="943" t="b">
        <f>ISNUMBER(#REF!)</f>
        <v>0</v>
      </c>
      <c r="H41" s="943" t="b">
        <f>ISNUMBER(#REF!)</f>
        <v>0</v>
      </c>
      <c r="I41" s="943" t="b">
        <f>ISNUMBER(#REF!)</f>
        <v>0</v>
      </c>
      <c r="J41" s="943" t="b">
        <f>ISNUMBER(#REF!)</f>
        <v>0</v>
      </c>
      <c r="K41" s="943" t="b">
        <f>ISNUMBER(#REF!)</f>
        <v>0</v>
      </c>
      <c r="L41" s="943" t="b">
        <f>ISNUMBER(#REF!)</f>
        <v>0</v>
      </c>
      <c r="M41" s="943" t="b">
        <f t="shared" si="4"/>
        <v>1</v>
      </c>
      <c r="N41" s="943" t="b">
        <f>ISNUMBER(#REF!)</f>
        <v>0</v>
      </c>
      <c r="O41" s="943" t="b">
        <f>ISNUMBER(#REF!)</f>
        <v>0</v>
      </c>
      <c r="P41" s="943" t="b">
        <f>ISNUMBER(#REF!)</f>
        <v>0</v>
      </c>
      <c r="Q41" s="951" t="str">
        <f t="shared" si="5"/>
        <v/>
      </c>
    </row>
    <row r="42" spans="1:17" ht="27" customHeight="1">
      <c r="A42" s="968">
        <f t="shared" si="3"/>
        <v>45006.947916666664</v>
      </c>
      <c r="B42" s="949" t="s">
        <v>324</v>
      </c>
      <c r="C42" s="950">
        <f t="shared" si="0"/>
        <v>0</v>
      </c>
      <c r="E42" s="943" t="b">
        <f>ISNUMBER(#REF!)</f>
        <v>0</v>
      </c>
      <c r="F42" s="943" t="b">
        <f>ISNUMBER(#REF!)</f>
        <v>0</v>
      </c>
      <c r="G42" s="943" t="b">
        <f>ISNUMBER(#REF!)</f>
        <v>0</v>
      </c>
      <c r="H42" s="943" t="b">
        <f>ISNUMBER(#REF!)</f>
        <v>0</v>
      </c>
      <c r="I42" s="943" t="b">
        <f>ISNUMBER(#REF!)</f>
        <v>0</v>
      </c>
      <c r="J42" s="943" t="b">
        <f>ISNUMBER(#REF!)</f>
        <v>0</v>
      </c>
      <c r="K42" s="943" t="b">
        <f>ISNUMBER(#REF!)</f>
        <v>0</v>
      </c>
      <c r="L42" s="943" t="b">
        <f>ISNUMBER(#REF!)</f>
        <v>0</v>
      </c>
      <c r="M42" s="943" t="b">
        <f t="shared" si="4"/>
        <v>1</v>
      </c>
      <c r="N42" s="943" t="b">
        <f>ISNUMBER(#REF!)</f>
        <v>0</v>
      </c>
      <c r="O42" s="943" t="b">
        <f>ISNUMBER(#REF!)</f>
        <v>0</v>
      </c>
      <c r="P42" s="943" t="b">
        <f>ISNUMBER(#REF!)</f>
        <v>0</v>
      </c>
      <c r="Q42" s="951" t="str">
        <f t="shared" si="5"/>
        <v/>
      </c>
    </row>
    <row r="43" spans="1:17" ht="27" customHeight="1">
      <c r="A43" s="968">
        <f t="shared" si="3"/>
        <v>45006.947916666664</v>
      </c>
      <c r="B43" s="949" t="s">
        <v>325</v>
      </c>
      <c r="C43" s="950">
        <f t="shared" si="0"/>
        <v>0</v>
      </c>
      <c r="E43" s="943" t="b">
        <f>ISNUMBER(#REF!)</f>
        <v>0</v>
      </c>
      <c r="F43" s="943" t="b">
        <f>ISNUMBER(#REF!)</f>
        <v>0</v>
      </c>
      <c r="G43" s="943" t="b">
        <f>ISNUMBER(#REF!)</f>
        <v>0</v>
      </c>
      <c r="H43" s="943" t="b">
        <f>ISNUMBER(#REF!)</f>
        <v>0</v>
      </c>
      <c r="I43" s="943" t="b">
        <f>ISNUMBER(#REF!)</f>
        <v>0</v>
      </c>
      <c r="J43" s="943" t="b">
        <f>ISNUMBER(#REF!)</f>
        <v>0</v>
      </c>
      <c r="K43" s="943" t="b">
        <f>ISNUMBER(#REF!)</f>
        <v>0</v>
      </c>
      <c r="L43" s="943" t="b">
        <f>ISNUMBER(#REF!)</f>
        <v>0</v>
      </c>
      <c r="M43" s="943" t="b">
        <f t="shared" si="4"/>
        <v>1</v>
      </c>
      <c r="N43" s="943" t="b">
        <f>ISNUMBER(#REF!)</f>
        <v>0</v>
      </c>
      <c r="O43" s="943" t="b">
        <f>ISNUMBER(#REF!)</f>
        <v>0</v>
      </c>
      <c r="P43" s="943" t="b">
        <f>ISNUMBER(#REF!)</f>
        <v>0</v>
      </c>
      <c r="Q43" s="951" t="str">
        <f t="shared" si="5"/>
        <v/>
      </c>
    </row>
    <row r="44" spans="1:17" ht="27" customHeight="1">
      <c r="A44" s="968">
        <f t="shared" si="3"/>
        <v>45006.947916666664</v>
      </c>
      <c r="B44" s="949" t="s">
        <v>335</v>
      </c>
      <c r="C44" s="950">
        <f t="shared" si="0"/>
        <v>0</v>
      </c>
      <c r="E44" s="943" t="b">
        <f>ISNUMBER(#REF!)</f>
        <v>0</v>
      </c>
      <c r="F44" s="943" t="b">
        <f>ISNUMBER(#REF!)</f>
        <v>0</v>
      </c>
      <c r="G44" s="943" t="b">
        <f>ISNUMBER(#REF!)</f>
        <v>0</v>
      </c>
      <c r="H44" s="943" t="b">
        <f>ISNUMBER(#REF!)</f>
        <v>0</v>
      </c>
      <c r="I44" s="943" t="b">
        <f>ISNUMBER(#REF!)</f>
        <v>0</v>
      </c>
      <c r="J44" s="943" t="b">
        <f>ISNUMBER(#REF!)</f>
        <v>0</v>
      </c>
      <c r="K44" s="943" t="b">
        <f>ISNUMBER(#REF!)</f>
        <v>0</v>
      </c>
      <c r="L44" s="943" t="b">
        <f>ISNUMBER(#REF!)</f>
        <v>0</v>
      </c>
      <c r="M44" s="943" t="b">
        <f t="shared" si="4"/>
        <v>1</v>
      </c>
      <c r="N44" s="943" t="b">
        <f>ISNUMBER(#REF!)</f>
        <v>0</v>
      </c>
      <c r="O44" s="943" t="b">
        <f>ISNUMBER(#REF!)</f>
        <v>0</v>
      </c>
      <c r="P44" s="943" t="b">
        <f>ISNUMBER(#REF!)</f>
        <v>0</v>
      </c>
      <c r="Q44" s="951" t="str">
        <f t="shared" si="5"/>
        <v/>
      </c>
    </row>
    <row r="45" spans="1:17" ht="27" customHeight="1">
      <c r="A45" s="968">
        <f t="shared" si="3"/>
        <v>45006.947916666664</v>
      </c>
      <c r="B45" s="949" t="s">
        <v>336</v>
      </c>
      <c r="C45" s="950">
        <f t="shared" si="0"/>
        <v>0</v>
      </c>
      <c r="E45" s="943" t="b">
        <f>ISNUMBER(#REF!)</f>
        <v>0</v>
      </c>
      <c r="F45" s="943" t="b">
        <f>ISNUMBER(#REF!)</f>
        <v>0</v>
      </c>
      <c r="G45" s="943" t="b">
        <f>ISNUMBER(#REF!)</f>
        <v>0</v>
      </c>
      <c r="H45" s="943" t="b">
        <f>ISNUMBER(#REF!)</f>
        <v>0</v>
      </c>
      <c r="I45" s="943" t="b">
        <f>ISNUMBER(#REF!)</f>
        <v>0</v>
      </c>
      <c r="J45" s="943" t="b">
        <f>ISNUMBER(#REF!)</f>
        <v>0</v>
      </c>
      <c r="K45" s="943" t="b">
        <f>ISNUMBER(#REF!)</f>
        <v>0</v>
      </c>
      <c r="L45" s="943" t="b">
        <f>ISNUMBER(#REF!)</f>
        <v>0</v>
      </c>
      <c r="M45" s="943" t="b">
        <f t="shared" si="4"/>
        <v>1</v>
      </c>
      <c r="N45" s="943" t="b">
        <f>ISNUMBER(#REF!)</f>
        <v>0</v>
      </c>
      <c r="O45" s="943" t="b">
        <f>ISNUMBER(#REF!)</f>
        <v>0</v>
      </c>
      <c r="P45" s="943" t="b">
        <f>ISNUMBER(#REF!)</f>
        <v>0</v>
      </c>
      <c r="Q45" s="951" t="str">
        <f t="shared" si="5"/>
        <v/>
      </c>
    </row>
  </sheetData>
  <phoneticPr fontId="6"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69"/>
  <sheetViews>
    <sheetView topLeftCell="A17" zoomScale="70" zoomScaleNormal="70" workbookViewId="0">
      <selection activeCell="C4" sqref="C4:C45"/>
    </sheetView>
  </sheetViews>
  <sheetFormatPr defaultRowHeight="19.5"/>
  <cols>
    <col min="1" max="1" width="24.5" style="967" customWidth="1"/>
    <col min="2" max="2" width="23" style="957" customWidth="1"/>
    <col min="3" max="3" width="20.125" style="958" customWidth="1"/>
    <col min="4" max="4" width="9" style="943"/>
    <col min="5" max="16" width="9" style="943" hidden="1" customWidth="1"/>
    <col min="17" max="16384" width="9" style="943"/>
  </cols>
  <sheetData>
    <row r="1" spans="1:17" ht="71.45" customHeight="1">
      <c r="A1" s="963" t="s">
        <v>351</v>
      </c>
      <c r="B1" s="941"/>
      <c r="C1" s="942"/>
    </row>
    <row r="2" spans="1:17" s="946" customFormat="1" ht="18.75">
      <c r="A2" s="966" t="s">
        <v>352</v>
      </c>
      <c r="B2" s="944" t="s">
        <v>353</v>
      </c>
      <c r="C2" s="945" t="s">
        <v>373</v>
      </c>
      <c r="E2" s="947">
        <v>1</v>
      </c>
      <c r="F2" s="947" t="s">
        <v>876</v>
      </c>
      <c r="G2" s="947">
        <v>2</v>
      </c>
      <c r="H2" s="947" t="s">
        <v>876</v>
      </c>
      <c r="I2" s="947">
        <v>3</v>
      </c>
      <c r="J2" s="947" t="s">
        <v>876</v>
      </c>
      <c r="K2" s="947">
        <v>4</v>
      </c>
      <c r="L2" s="947" t="s">
        <v>876</v>
      </c>
      <c r="M2" s="947">
        <v>5</v>
      </c>
      <c r="N2" s="947" t="s">
        <v>876</v>
      </c>
      <c r="O2" s="947">
        <v>6</v>
      </c>
      <c r="P2" s="947" t="s">
        <v>876</v>
      </c>
      <c r="Q2" s="948">
        <v>6</v>
      </c>
    </row>
    <row r="3" spans="1:17" s="946" customFormat="1" ht="18.75">
      <c r="A3" s="966" t="s">
        <v>376</v>
      </c>
      <c r="B3" s="944" t="s">
        <v>377</v>
      </c>
      <c r="C3" s="945" t="s">
        <v>388</v>
      </c>
      <c r="Q3" s="960"/>
    </row>
    <row r="4" spans="1:17">
      <c r="A4" s="971">
        <f>MENU!Y24</f>
        <v>45006.125</v>
      </c>
      <c r="B4" s="355" t="s">
        <v>268</v>
      </c>
      <c r="C4" s="950">
        <f t="shared" ref="C4:C45" si="0">IFERROR(VLOOKUP($B4,_XM_XT_THUCTE,39,0),"")</f>
        <v>0</v>
      </c>
      <c r="E4" s="943" t="b">
        <f>ISNUMBER(#REF!)</f>
        <v>0</v>
      </c>
      <c r="F4" s="943" t="b">
        <f>ISNUMBER(#REF!)</f>
        <v>0</v>
      </c>
      <c r="G4" s="943" t="b">
        <f>ISNUMBER(#REF!)</f>
        <v>0</v>
      </c>
      <c r="H4" s="943" t="b">
        <f>ISNUMBER(#REF!)</f>
        <v>0</v>
      </c>
      <c r="I4" s="943" t="b">
        <f>ISNUMBER(#REF!)</f>
        <v>0</v>
      </c>
      <c r="J4" s="943" t="b">
        <f>ISNUMBER(#REF!)</f>
        <v>0</v>
      </c>
      <c r="K4" s="943" t="b">
        <f>ISNUMBER(#REF!)</f>
        <v>0</v>
      </c>
      <c r="L4" s="943" t="b">
        <f>ISNUMBER(#REF!)</f>
        <v>0</v>
      </c>
      <c r="M4" s="943" t="b">
        <f>ISNUMBER(#REF!)</f>
        <v>0</v>
      </c>
      <c r="N4" s="943" t="b">
        <f>ISNUMBER(#REF!)</f>
        <v>0</v>
      </c>
      <c r="O4" s="943" t="b">
        <f t="shared" ref="O4:O35" si="1">ISNUMBER(C4)</f>
        <v>1</v>
      </c>
      <c r="P4" s="943" t="b">
        <f>ISNUMBER(#REF!)</f>
        <v>0</v>
      </c>
      <c r="Q4" s="951" t="str">
        <f t="shared" ref="Q4:Q35" si="2">IF(O4=TRUE,"",1)</f>
        <v/>
      </c>
    </row>
    <row r="5" spans="1:17">
      <c r="A5" s="972">
        <f>IF(B5="","",$A$4)</f>
        <v>45006.125</v>
      </c>
      <c r="B5" s="355" t="s">
        <v>269</v>
      </c>
      <c r="C5" s="950">
        <f t="shared" si="0"/>
        <v>0</v>
      </c>
      <c r="E5" s="943" t="b">
        <f>ISNUMBER(#REF!)</f>
        <v>0</v>
      </c>
      <c r="F5" s="943" t="b">
        <f>ISNUMBER(#REF!)</f>
        <v>0</v>
      </c>
      <c r="G5" s="943" t="b">
        <f>ISNUMBER(#REF!)</f>
        <v>0</v>
      </c>
      <c r="H5" s="943" t="b">
        <f>ISNUMBER(#REF!)</f>
        <v>0</v>
      </c>
      <c r="I5" s="943" t="b">
        <f>ISNUMBER(#REF!)</f>
        <v>0</v>
      </c>
      <c r="J5" s="943" t="b">
        <f>ISNUMBER(#REF!)</f>
        <v>0</v>
      </c>
      <c r="K5" s="943" t="b">
        <f>ISNUMBER(#REF!)</f>
        <v>0</v>
      </c>
      <c r="L5" s="943" t="b">
        <f>ISNUMBER(#REF!)</f>
        <v>0</v>
      </c>
      <c r="M5" s="943" t="b">
        <f>ISNUMBER(#REF!)</f>
        <v>0</v>
      </c>
      <c r="N5" s="943" t="b">
        <f>ISNUMBER(#REF!)</f>
        <v>0</v>
      </c>
      <c r="O5" s="943" t="b">
        <f t="shared" si="1"/>
        <v>1</v>
      </c>
      <c r="P5" s="943" t="b">
        <f>ISNUMBER(#REF!)</f>
        <v>0</v>
      </c>
      <c r="Q5" s="951" t="str">
        <f t="shared" si="2"/>
        <v/>
      </c>
    </row>
    <row r="6" spans="1:17">
      <c r="A6" s="972">
        <f t="shared" ref="A6:A69" si="3">IF(B6="","",$A$4)</f>
        <v>45006.125</v>
      </c>
      <c r="B6" s="355" t="s">
        <v>270</v>
      </c>
      <c r="C6" s="950">
        <f t="shared" si="0"/>
        <v>0</v>
      </c>
      <c r="E6" s="943" t="b">
        <f>ISNUMBER(#REF!)</f>
        <v>0</v>
      </c>
      <c r="F6" s="943" t="b">
        <f>ISNUMBER(#REF!)</f>
        <v>0</v>
      </c>
      <c r="G6" s="943" t="b">
        <f>ISNUMBER(#REF!)</f>
        <v>0</v>
      </c>
      <c r="H6" s="943" t="b">
        <f>ISNUMBER(#REF!)</f>
        <v>0</v>
      </c>
      <c r="I6" s="943" t="b">
        <f>ISNUMBER(#REF!)</f>
        <v>0</v>
      </c>
      <c r="J6" s="943" t="b">
        <f>ISNUMBER(#REF!)</f>
        <v>0</v>
      </c>
      <c r="K6" s="943" t="b">
        <f>ISNUMBER(#REF!)</f>
        <v>0</v>
      </c>
      <c r="L6" s="943" t="b">
        <f>ISNUMBER(#REF!)</f>
        <v>0</v>
      </c>
      <c r="M6" s="943" t="b">
        <f>ISNUMBER(#REF!)</f>
        <v>0</v>
      </c>
      <c r="N6" s="943" t="b">
        <f>ISNUMBER(#REF!)</f>
        <v>0</v>
      </c>
      <c r="O6" s="943" t="b">
        <f t="shared" si="1"/>
        <v>1</v>
      </c>
      <c r="P6" s="943" t="b">
        <f>ISNUMBER(#REF!)</f>
        <v>0</v>
      </c>
      <c r="Q6" s="951" t="str">
        <f t="shared" si="2"/>
        <v/>
      </c>
    </row>
    <row r="7" spans="1:17">
      <c r="A7" s="972">
        <f t="shared" si="3"/>
        <v>45006.125</v>
      </c>
      <c r="B7" s="355" t="s">
        <v>271</v>
      </c>
      <c r="C7" s="950">
        <f t="shared" si="0"/>
        <v>0</v>
      </c>
      <c r="E7" s="943" t="b">
        <f>ISNUMBER(#REF!)</f>
        <v>0</v>
      </c>
      <c r="F7" s="943" t="b">
        <f>ISNUMBER(#REF!)</f>
        <v>0</v>
      </c>
      <c r="G7" s="943" t="b">
        <f>ISNUMBER(#REF!)</f>
        <v>0</v>
      </c>
      <c r="H7" s="943" t="b">
        <f>ISNUMBER(#REF!)</f>
        <v>0</v>
      </c>
      <c r="I7" s="943" t="b">
        <f>ISNUMBER(#REF!)</f>
        <v>0</v>
      </c>
      <c r="J7" s="943" t="b">
        <f>ISNUMBER(#REF!)</f>
        <v>0</v>
      </c>
      <c r="K7" s="943" t="b">
        <f>ISNUMBER(#REF!)</f>
        <v>0</v>
      </c>
      <c r="L7" s="943" t="b">
        <f>ISNUMBER(#REF!)</f>
        <v>0</v>
      </c>
      <c r="M7" s="943" t="b">
        <f>ISNUMBER(#REF!)</f>
        <v>0</v>
      </c>
      <c r="N7" s="943" t="b">
        <f>ISNUMBER(#REF!)</f>
        <v>0</v>
      </c>
      <c r="O7" s="943" t="b">
        <f t="shared" si="1"/>
        <v>1</v>
      </c>
      <c r="P7" s="943" t="b">
        <f>ISNUMBER(#REF!)</f>
        <v>0</v>
      </c>
      <c r="Q7" s="951" t="str">
        <f t="shared" si="2"/>
        <v/>
      </c>
    </row>
    <row r="8" spans="1:17">
      <c r="A8" s="972">
        <f t="shared" si="3"/>
        <v>45006.125</v>
      </c>
      <c r="B8" s="355" t="s">
        <v>272</v>
      </c>
      <c r="C8" s="950">
        <f t="shared" si="0"/>
        <v>0</v>
      </c>
      <c r="E8" s="943" t="b">
        <f>ISNUMBER(#REF!)</f>
        <v>0</v>
      </c>
      <c r="F8" s="943" t="b">
        <f>ISNUMBER(#REF!)</f>
        <v>0</v>
      </c>
      <c r="G8" s="943" t="b">
        <f>ISNUMBER(#REF!)</f>
        <v>0</v>
      </c>
      <c r="H8" s="943" t="b">
        <f>ISNUMBER(#REF!)</f>
        <v>0</v>
      </c>
      <c r="I8" s="943" t="b">
        <f>ISNUMBER(#REF!)</f>
        <v>0</v>
      </c>
      <c r="J8" s="943" t="b">
        <f>ISNUMBER(#REF!)</f>
        <v>0</v>
      </c>
      <c r="K8" s="943" t="b">
        <f>ISNUMBER(#REF!)</f>
        <v>0</v>
      </c>
      <c r="L8" s="943" t="b">
        <f>ISNUMBER(#REF!)</f>
        <v>0</v>
      </c>
      <c r="M8" s="943" t="b">
        <f>ISNUMBER(#REF!)</f>
        <v>0</v>
      </c>
      <c r="N8" s="943" t="b">
        <f>ISNUMBER(#REF!)</f>
        <v>0</v>
      </c>
      <c r="O8" s="943" t="b">
        <f t="shared" si="1"/>
        <v>1</v>
      </c>
      <c r="P8" s="943" t="b">
        <f>ISNUMBER(#REF!)</f>
        <v>0</v>
      </c>
      <c r="Q8" s="951" t="str">
        <f t="shared" si="2"/>
        <v/>
      </c>
    </row>
    <row r="9" spans="1:17">
      <c r="A9" s="972">
        <f t="shared" si="3"/>
        <v>45006.125</v>
      </c>
      <c r="B9" s="355" t="s">
        <v>273</v>
      </c>
      <c r="C9" s="950">
        <f t="shared" si="0"/>
        <v>0</v>
      </c>
      <c r="E9" s="943" t="b">
        <f>ISNUMBER(#REF!)</f>
        <v>0</v>
      </c>
      <c r="F9" s="943" t="b">
        <f>ISNUMBER(#REF!)</f>
        <v>0</v>
      </c>
      <c r="G9" s="943" t="b">
        <f>ISNUMBER(#REF!)</f>
        <v>0</v>
      </c>
      <c r="H9" s="943" t="b">
        <f>ISNUMBER(#REF!)</f>
        <v>0</v>
      </c>
      <c r="I9" s="943" t="b">
        <f>ISNUMBER(#REF!)</f>
        <v>0</v>
      </c>
      <c r="J9" s="943" t="b">
        <f>ISNUMBER(#REF!)</f>
        <v>0</v>
      </c>
      <c r="K9" s="943" t="b">
        <f>ISNUMBER(#REF!)</f>
        <v>0</v>
      </c>
      <c r="L9" s="943" t="b">
        <f>ISNUMBER(#REF!)</f>
        <v>0</v>
      </c>
      <c r="M9" s="943" t="b">
        <f>ISNUMBER(#REF!)</f>
        <v>0</v>
      </c>
      <c r="N9" s="943" t="b">
        <f>ISNUMBER(#REF!)</f>
        <v>0</v>
      </c>
      <c r="O9" s="943" t="b">
        <f t="shared" si="1"/>
        <v>1</v>
      </c>
      <c r="P9" s="943" t="b">
        <f>ISNUMBER(#REF!)</f>
        <v>0</v>
      </c>
      <c r="Q9" s="951" t="str">
        <f t="shared" si="2"/>
        <v/>
      </c>
    </row>
    <row r="10" spans="1:17">
      <c r="A10" s="972">
        <f t="shared" si="3"/>
        <v>45006.125</v>
      </c>
      <c r="B10" s="355" t="s">
        <v>279</v>
      </c>
      <c r="C10" s="950">
        <f t="shared" si="0"/>
        <v>0</v>
      </c>
      <c r="E10" s="943" t="b">
        <f>ISNUMBER(#REF!)</f>
        <v>0</v>
      </c>
      <c r="F10" s="943" t="b">
        <f>ISNUMBER(#REF!)</f>
        <v>0</v>
      </c>
      <c r="G10" s="943" t="b">
        <f>ISNUMBER(#REF!)</f>
        <v>0</v>
      </c>
      <c r="H10" s="943" t="b">
        <f>ISNUMBER(#REF!)</f>
        <v>0</v>
      </c>
      <c r="I10" s="943" t="b">
        <f>ISNUMBER(#REF!)</f>
        <v>0</v>
      </c>
      <c r="J10" s="943" t="b">
        <f>ISNUMBER(#REF!)</f>
        <v>0</v>
      </c>
      <c r="K10" s="943" t="b">
        <f>ISNUMBER(#REF!)</f>
        <v>0</v>
      </c>
      <c r="L10" s="943" t="b">
        <f>ISNUMBER(#REF!)</f>
        <v>0</v>
      </c>
      <c r="M10" s="943" t="b">
        <f>ISNUMBER(#REF!)</f>
        <v>0</v>
      </c>
      <c r="N10" s="943" t="b">
        <f>ISNUMBER(#REF!)</f>
        <v>0</v>
      </c>
      <c r="O10" s="943" t="b">
        <f t="shared" si="1"/>
        <v>1</v>
      </c>
      <c r="P10" s="943" t="b">
        <f>ISNUMBER(#REF!)</f>
        <v>0</v>
      </c>
      <c r="Q10" s="951" t="str">
        <f t="shared" si="2"/>
        <v/>
      </c>
    </row>
    <row r="11" spans="1:17">
      <c r="A11" s="972">
        <f t="shared" si="3"/>
        <v>45006.125</v>
      </c>
      <c r="B11" s="355" t="s">
        <v>281</v>
      </c>
      <c r="C11" s="950">
        <f t="shared" si="0"/>
        <v>0</v>
      </c>
      <c r="E11" s="943" t="b">
        <f>ISNUMBER(#REF!)</f>
        <v>0</v>
      </c>
      <c r="F11" s="943" t="b">
        <f>ISNUMBER(#REF!)</f>
        <v>0</v>
      </c>
      <c r="G11" s="943" t="b">
        <f>ISNUMBER(#REF!)</f>
        <v>0</v>
      </c>
      <c r="H11" s="943" t="b">
        <f>ISNUMBER(#REF!)</f>
        <v>0</v>
      </c>
      <c r="I11" s="943" t="b">
        <f>ISNUMBER(#REF!)</f>
        <v>0</v>
      </c>
      <c r="J11" s="943" t="b">
        <f>ISNUMBER(#REF!)</f>
        <v>0</v>
      </c>
      <c r="K11" s="943" t="b">
        <f>ISNUMBER(#REF!)</f>
        <v>0</v>
      </c>
      <c r="L11" s="943" t="b">
        <f>ISNUMBER(#REF!)</f>
        <v>0</v>
      </c>
      <c r="M11" s="943" t="b">
        <f>ISNUMBER(#REF!)</f>
        <v>0</v>
      </c>
      <c r="N11" s="943" t="b">
        <f>ISNUMBER(#REF!)</f>
        <v>0</v>
      </c>
      <c r="O11" s="943" t="b">
        <f t="shared" si="1"/>
        <v>1</v>
      </c>
      <c r="P11" s="943" t="b">
        <f>ISNUMBER(#REF!)</f>
        <v>0</v>
      </c>
      <c r="Q11" s="951" t="str">
        <f t="shared" si="2"/>
        <v/>
      </c>
    </row>
    <row r="12" spans="1:17">
      <c r="A12" s="972">
        <f t="shared" si="3"/>
        <v>45006.125</v>
      </c>
      <c r="B12" s="355" t="s">
        <v>274</v>
      </c>
      <c r="C12" s="950">
        <f t="shared" si="0"/>
        <v>0</v>
      </c>
      <c r="E12" s="943" t="b">
        <f>ISNUMBER(#REF!)</f>
        <v>0</v>
      </c>
      <c r="F12" s="943" t="b">
        <f>ISNUMBER(#REF!)</f>
        <v>0</v>
      </c>
      <c r="G12" s="943" t="b">
        <f>ISNUMBER(#REF!)</f>
        <v>0</v>
      </c>
      <c r="H12" s="943" t="b">
        <f>ISNUMBER(#REF!)</f>
        <v>0</v>
      </c>
      <c r="I12" s="943" t="b">
        <f>ISNUMBER(#REF!)</f>
        <v>0</v>
      </c>
      <c r="J12" s="943" t="b">
        <f>ISNUMBER(#REF!)</f>
        <v>0</v>
      </c>
      <c r="K12" s="943" t="b">
        <f>ISNUMBER(#REF!)</f>
        <v>0</v>
      </c>
      <c r="L12" s="943" t="b">
        <f>ISNUMBER(#REF!)</f>
        <v>0</v>
      </c>
      <c r="M12" s="943" t="b">
        <f>ISNUMBER(#REF!)</f>
        <v>0</v>
      </c>
      <c r="N12" s="943" t="b">
        <f>ISNUMBER(#REF!)</f>
        <v>0</v>
      </c>
      <c r="O12" s="943" t="b">
        <f t="shared" si="1"/>
        <v>1</v>
      </c>
      <c r="P12" s="943" t="b">
        <f>ISNUMBER(#REF!)</f>
        <v>0</v>
      </c>
      <c r="Q12" s="951" t="str">
        <f t="shared" si="2"/>
        <v/>
      </c>
    </row>
    <row r="13" spans="1:17">
      <c r="A13" s="972">
        <f t="shared" si="3"/>
        <v>45006.125</v>
      </c>
      <c r="B13" s="355" t="s">
        <v>275</v>
      </c>
      <c r="C13" s="950">
        <f t="shared" si="0"/>
        <v>0</v>
      </c>
      <c r="E13" s="943" t="b">
        <f>ISNUMBER(#REF!)</f>
        <v>0</v>
      </c>
      <c r="F13" s="943" t="b">
        <f>ISNUMBER(#REF!)</f>
        <v>0</v>
      </c>
      <c r="G13" s="943" t="b">
        <f>ISNUMBER(#REF!)</f>
        <v>0</v>
      </c>
      <c r="H13" s="943" t="b">
        <f>ISNUMBER(#REF!)</f>
        <v>0</v>
      </c>
      <c r="I13" s="943" t="b">
        <f>ISNUMBER(#REF!)</f>
        <v>0</v>
      </c>
      <c r="J13" s="943" t="b">
        <f>ISNUMBER(#REF!)</f>
        <v>0</v>
      </c>
      <c r="K13" s="943" t="b">
        <f>ISNUMBER(#REF!)</f>
        <v>0</v>
      </c>
      <c r="L13" s="943" t="b">
        <f>ISNUMBER(#REF!)</f>
        <v>0</v>
      </c>
      <c r="M13" s="943" t="b">
        <f>ISNUMBER(#REF!)</f>
        <v>0</v>
      </c>
      <c r="N13" s="943" t="b">
        <f>ISNUMBER(#REF!)</f>
        <v>0</v>
      </c>
      <c r="O13" s="943" t="b">
        <f t="shared" si="1"/>
        <v>1</v>
      </c>
      <c r="P13" s="943" t="b">
        <f>ISNUMBER(#REF!)</f>
        <v>0</v>
      </c>
      <c r="Q13" s="951" t="str">
        <f t="shared" si="2"/>
        <v/>
      </c>
    </row>
    <row r="14" spans="1:17">
      <c r="A14" s="972">
        <f t="shared" si="3"/>
        <v>45006.125</v>
      </c>
      <c r="B14" s="355" t="s">
        <v>276</v>
      </c>
      <c r="C14" s="950">
        <f t="shared" si="0"/>
        <v>0</v>
      </c>
      <c r="E14" s="943" t="b">
        <f>ISNUMBER(#REF!)</f>
        <v>0</v>
      </c>
      <c r="F14" s="943" t="b">
        <f>ISNUMBER(#REF!)</f>
        <v>0</v>
      </c>
      <c r="G14" s="943" t="b">
        <f>ISNUMBER(#REF!)</f>
        <v>0</v>
      </c>
      <c r="H14" s="943" t="b">
        <f>ISNUMBER(#REF!)</f>
        <v>0</v>
      </c>
      <c r="I14" s="943" t="b">
        <f>ISNUMBER(#REF!)</f>
        <v>0</v>
      </c>
      <c r="J14" s="943" t="b">
        <f>ISNUMBER(#REF!)</f>
        <v>0</v>
      </c>
      <c r="K14" s="943" t="b">
        <f>ISNUMBER(#REF!)</f>
        <v>0</v>
      </c>
      <c r="L14" s="943" t="b">
        <f>ISNUMBER(#REF!)</f>
        <v>0</v>
      </c>
      <c r="M14" s="943" t="b">
        <f>ISNUMBER(#REF!)</f>
        <v>0</v>
      </c>
      <c r="N14" s="943" t="b">
        <f>ISNUMBER(#REF!)</f>
        <v>0</v>
      </c>
      <c r="O14" s="943" t="b">
        <f t="shared" si="1"/>
        <v>1</v>
      </c>
      <c r="P14" s="943" t="b">
        <f>ISNUMBER(#REF!)</f>
        <v>0</v>
      </c>
      <c r="Q14" s="951" t="str">
        <f t="shared" si="2"/>
        <v/>
      </c>
    </row>
    <row r="15" spans="1:17">
      <c r="A15" s="972">
        <f t="shared" si="3"/>
        <v>45006.125</v>
      </c>
      <c r="B15" s="355" t="s">
        <v>277</v>
      </c>
      <c r="C15" s="950">
        <f t="shared" si="0"/>
        <v>0</v>
      </c>
      <c r="E15" s="943" t="b">
        <f>ISNUMBER(#REF!)</f>
        <v>0</v>
      </c>
      <c r="F15" s="943" t="b">
        <f>ISNUMBER(#REF!)</f>
        <v>0</v>
      </c>
      <c r="G15" s="943" t="b">
        <f>ISNUMBER(#REF!)</f>
        <v>0</v>
      </c>
      <c r="H15" s="943" t="b">
        <f>ISNUMBER(#REF!)</f>
        <v>0</v>
      </c>
      <c r="I15" s="943" t="b">
        <f>ISNUMBER(#REF!)</f>
        <v>0</v>
      </c>
      <c r="J15" s="943" t="b">
        <f>ISNUMBER(#REF!)</f>
        <v>0</v>
      </c>
      <c r="K15" s="943" t="b">
        <f>ISNUMBER(#REF!)</f>
        <v>0</v>
      </c>
      <c r="L15" s="943" t="b">
        <f>ISNUMBER(#REF!)</f>
        <v>0</v>
      </c>
      <c r="M15" s="943" t="b">
        <f>ISNUMBER(#REF!)</f>
        <v>0</v>
      </c>
      <c r="N15" s="943" t="b">
        <f>ISNUMBER(#REF!)</f>
        <v>0</v>
      </c>
      <c r="O15" s="943" t="b">
        <f t="shared" si="1"/>
        <v>1</v>
      </c>
      <c r="P15" s="943" t="b">
        <f>ISNUMBER(#REF!)</f>
        <v>0</v>
      </c>
      <c r="Q15" s="951" t="str">
        <f t="shared" si="2"/>
        <v/>
      </c>
    </row>
    <row r="16" spans="1:17">
      <c r="A16" s="972">
        <f t="shared" si="3"/>
        <v>45006.125</v>
      </c>
      <c r="B16" s="355" t="s">
        <v>289</v>
      </c>
      <c r="C16" s="950">
        <f t="shared" si="0"/>
        <v>0</v>
      </c>
      <c r="E16" s="943" t="b">
        <f>ISNUMBER(#REF!)</f>
        <v>0</v>
      </c>
      <c r="F16" s="943" t="b">
        <f>ISNUMBER(#REF!)</f>
        <v>0</v>
      </c>
      <c r="G16" s="943" t="b">
        <f>ISNUMBER(#REF!)</f>
        <v>0</v>
      </c>
      <c r="H16" s="943" t="b">
        <f>ISNUMBER(#REF!)</f>
        <v>0</v>
      </c>
      <c r="I16" s="943" t="b">
        <f>ISNUMBER(#REF!)</f>
        <v>0</v>
      </c>
      <c r="J16" s="943" t="b">
        <f>ISNUMBER(#REF!)</f>
        <v>0</v>
      </c>
      <c r="K16" s="943" t="b">
        <f>ISNUMBER(#REF!)</f>
        <v>0</v>
      </c>
      <c r="L16" s="943" t="b">
        <f>ISNUMBER(#REF!)</f>
        <v>0</v>
      </c>
      <c r="M16" s="943" t="b">
        <f>ISNUMBER(#REF!)</f>
        <v>0</v>
      </c>
      <c r="N16" s="943" t="b">
        <f>ISNUMBER(#REF!)</f>
        <v>0</v>
      </c>
      <c r="O16" s="943" t="b">
        <f t="shared" si="1"/>
        <v>1</v>
      </c>
      <c r="P16" s="943" t="b">
        <f>ISNUMBER(#REF!)</f>
        <v>0</v>
      </c>
      <c r="Q16" s="951" t="str">
        <f t="shared" si="2"/>
        <v/>
      </c>
    </row>
    <row r="17" spans="1:17">
      <c r="A17" s="972">
        <f t="shared" si="3"/>
        <v>45006.125</v>
      </c>
      <c r="B17" s="355" t="s">
        <v>290</v>
      </c>
      <c r="C17" s="950">
        <f t="shared" si="0"/>
        <v>0</v>
      </c>
      <c r="E17" s="943" t="b">
        <f>ISNUMBER(#REF!)</f>
        <v>0</v>
      </c>
      <c r="F17" s="943" t="b">
        <f>ISNUMBER(#REF!)</f>
        <v>0</v>
      </c>
      <c r="G17" s="943" t="b">
        <f>ISNUMBER(#REF!)</f>
        <v>0</v>
      </c>
      <c r="H17" s="943" t="b">
        <f>ISNUMBER(#REF!)</f>
        <v>0</v>
      </c>
      <c r="I17" s="943" t="b">
        <f>ISNUMBER(#REF!)</f>
        <v>0</v>
      </c>
      <c r="J17" s="943" t="b">
        <f>ISNUMBER(#REF!)</f>
        <v>0</v>
      </c>
      <c r="K17" s="943" t="b">
        <f>ISNUMBER(#REF!)</f>
        <v>0</v>
      </c>
      <c r="L17" s="943" t="b">
        <f>ISNUMBER(#REF!)</f>
        <v>0</v>
      </c>
      <c r="M17" s="943" t="b">
        <f>ISNUMBER(#REF!)</f>
        <v>0</v>
      </c>
      <c r="N17" s="943" t="b">
        <f>ISNUMBER(#REF!)</f>
        <v>0</v>
      </c>
      <c r="O17" s="943" t="b">
        <f t="shared" si="1"/>
        <v>1</v>
      </c>
      <c r="P17" s="943" t="b">
        <f>ISNUMBER(#REF!)</f>
        <v>0</v>
      </c>
      <c r="Q17" s="951" t="str">
        <f t="shared" si="2"/>
        <v/>
      </c>
    </row>
    <row r="18" spans="1:17">
      <c r="A18" s="972">
        <f t="shared" si="3"/>
        <v>45006.125</v>
      </c>
      <c r="B18" s="355" t="s">
        <v>291</v>
      </c>
      <c r="C18" s="950">
        <f t="shared" si="0"/>
        <v>0</v>
      </c>
      <c r="E18" s="943" t="b">
        <f>ISNUMBER(#REF!)</f>
        <v>0</v>
      </c>
      <c r="F18" s="943" t="b">
        <f>ISNUMBER(#REF!)</f>
        <v>0</v>
      </c>
      <c r="G18" s="943" t="b">
        <f>ISNUMBER(#REF!)</f>
        <v>0</v>
      </c>
      <c r="H18" s="943" t="b">
        <f>ISNUMBER(#REF!)</f>
        <v>0</v>
      </c>
      <c r="I18" s="943" t="b">
        <f>ISNUMBER(#REF!)</f>
        <v>0</v>
      </c>
      <c r="J18" s="943" t="b">
        <f>ISNUMBER(#REF!)</f>
        <v>0</v>
      </c>
      <c r="K18" s="943" t="b">
        <f>ISNUMBER(#REF!)</f>
        <v>0</v>
      </c>
      <c r="L18" s="943" t="b">
        <f>ISNUMBER(#REF!)</f>
        <v>0</v>
      </c>
      <c r="M18" s="943" t="b">
        <f>ISNUMBER(#REF!)</f>
        <v>0</v>
      </c>
      <c r="N18" s="943" t="b">
        <f>ISNUMBER(#REF!)</f>
        <v>0</v>
      </c>
      <c r="O18" s="943" t="b">
        <f t="shared" si="1"/>
        <v>1</v>
      </c>
      <c r="P18" s="943" t="b">
        <f>ISNUMBER(#REF!)</f>
        <v>0</v>
      </c>
      <c r="Q18" s="951" t="str">
        <f t="shared" si="2"/>
        <v/>
      </c>
    </row>
    <row r="19" spans="1:17">
      <c r="A19" s="972">
        <f t="shared" si="3"/>
        <v>45006.125</v>
      </c>
      <c r="B19" s="355" t="s">
        <v>292</v>
      </c>
      <c r="C19" s="950">
        <f t="shared" si="0"/>
        <v>0</v>
      </c>
      <c r="E19" s="943" t="b">
        <f>ISNUMBER(#REF!)</f>
        <v>0</v>
      </c>
      <c r="F19" s="943" t="b">
        <f>ISNUMBER(#REF!)</f>
        <v>0</v>
      </c>
      <c r="G19" s="943" t="b">
        <f>ISNUMBER(#REF!)</f>
        <v>0</v>
      </c>
      <c r="H19" s="943" t="b">
        <f>ISNUMBER(#REF!)</f>
        <v>0</v>
      </c>
      <c r="I19" s="943" t="b">
        <f>ISNUMBER(#REF!)</f>
        <v>0</v>
      </c>
      <c r="J19" s="943" t="b">
        <f>ISNUMBER(#REF!)</f>
        <v>0</v>
      </c>
      <c r="K19" s="943" t="b">
        <f>ISNUMBER(#REF!)</f>
        <v>0</v>
      </c>
      <c r="L19" s="943" t="b">
        <f>ISNUMBER(#REF!)</f>
        <v>0</v>
      </c>
      <c r="M19" s="943" t="b">
        <f>ISNUMBER(#REF!)</f>
        <v>0</v>
      </c>
      <c r="N19" s="943" t="b">
        <f>ISNUMBER(#REF!)</f>
        <v>0</v>
      </c>
      <c r="O19" s="943" t="b">
        <f t="shared" si="1"/>
        <v>1</v>
      </c>
      <c r="P19" s="943" t="b">
        <f>ISNUMBER(#REF!)</f>
        <v>0</v>
      </c>
      <c r="Q19" s="951" t="str">
        <f t="shared" si="2"/>
        <v/>
      </c>
    </row>
    <row r="20" spans="1:17">
      <c r="A20" s="972">
        <f t="shared" si="3"/>
        <v>45006.125</v>
      </c>
      <c r="B20" s="355" t="s">
        <v>293</v>
      </c>
      <c r="C20" s="950">
        <f t="shared" si="0"/>
        <v>0</v>
      </c>
      <c r="E20" s="943" t="b">
        <f>ISNUMBER(#REF!)</f>
        <v>0</v>
      </c>
      <c r="F20" s="943" t="b">
        <f>ISNUMBER(#REF!)</f>
        <v>0</v>
      </c>
      <c r="G20" s="943" t="b">
        <f>ISNUMBER(#REF!)</f>
        <v>0</v>
      </c>
      <c r="H20" s="943" t="b">
        <f>ISNUMBER(#REF!)</f>
        <v>0</v>
      </c>
      <c r="I20" s="943" t="b">
        <f>ISNUMBER(#REF!)</f>
        <v>0</v>
      </c>
      <c r="J20" s="943" t="b">
        <f>ISNUMBER(#REF!)</f>
        <v>0</v>
      </c>
      <c r="K20" s="943" t="b">
        <f>ISNUMBER(#REF!)</f>
        <v>0</v>
      </c>
      <c r="L20" s="943" t="b">
        <f>ISNUMBER(#REF!)</f>
        <v>0</v>
      </c>
      <c r="M20" s="943" t="b">
        <f>ISNUMBER(#REF!)</f>
        <v>0</v>
      </c>
      <c r="N20" s="943" t="b">
        <f>ISNUMBER(#REF!)</f>
        <v>0</v>
      </c>
      <c r="O20" s="943" t="b">
        <f t="shared" si="1"/>
        <v>1</v>
      </c>
      <c r="P20" s="943" t="b">
        <f>ISNUMBER(#REF!)</f>
        <v>0</v>
      </c>
      <c r="Q20" s="951" t="str">
        <f t="shared" si="2"/>
        <v/>
      </c>
    </row>
    <row r="21" spans="1:17">
      <c r="A21" s="972">
        <f t="shared" si="3"/>
        <v>45006.125</v>
      </c>
      <c r="B21" s="355" t="s">
        <v>294</v>
      </c>
      <c r="C21" s="950">
        <f t="shared" si="0"/>
        <v>0</v>
      </c>
      <c r="E21" s="943" t="b">
        <f>ISNUMBER(#REF!)</f>
        <v>0</v>
      </c>
      <c r="F21" s="943" t="b">
        <f>ISNUMBER(#REF!)</f>
        <v>0</v>
      </c>
      <c r="G21" s="943" t="b">
        <f>ISNUMBER(#REF!)</f>
        <v>0</v>
      </c>
      <c r="H21" s="943" t="b">
        <f>ISNUMBER(#REF!)</f>
        <v>0</v>
      </c>
      <c r="I21" s="943" t="b">
        <f>ISNUMBER(#REF!)</f>
        <v>0</v>
      </c>
      <c r="J21" s="943" t="b">
        <f>ISNUMBER(#REF!)</f>
        <v>0</v>
      </c>
      <c r="K21" s="943" t="b">
        <f>ISNUMBER(#REF!)</f>
        <v>0</v>
      </c>
      <c r="L21" s="943" t="b">
        <f>ISNUMBER(#REF!)</f>
        <v>0</v>
      </c>
      <c r="M21" s="943" t="b">
        <f>ISNUMBER(#REF!)</f>
        <v>0</v>
      </c>
      <c r="N21" s="943" t="b">
        <f>ISNUMBER(#REF!)</f>
        <v>0</v>
      </c>
      <c r="O21" s="943" t="b">
        <f t="shared" si="1"/>
        <v>1</v>
      </c>
      <c r="P21" s="943" t="b">
        <f>ISNUMBER(#REF!)</f>
        <v>0</v>
      </c>
      <c r="Q21" s="951" t="str">
        <f t="shared" si="2"/>
        <v/>
      </c>
    </row>
    <row r="22" spans="1:17">
      <c r="A22" s="972">
        <f t="shared" si="3"/>
        <v>45006.125</v>
      </c>
      <c r="B22" s="355" t="s">
        <v>295</v>
      </c>
      <c r="C22" s="950">
        <f t="shared" si="0"/>
        <v>0</v>
      </c>
      <c r="E22" s="943" t="b">
        <f>ISNUMBER(#REF!)</f>
        <v>0</v>
      </c>
      <c r="F22" s="943" t="b">
        <f>ISNUMBER(#REF!)</f>
        <v>0</v>
      </c>
      <c r="G22" s="943" t="b">
        <f>ISNUMBER(#REF!)</f>
        <v>0</v>
      </c>
      <c r="H22" s="943" t="b">
        <f>ISNUMBER(#REF!)</f>
        <v>0</v>
      </c>
      <c r="I22" s="943" t="b">
        <f>ISNUMBER(#REF!)</f>
        <v>0</v>
      </c>
      <c r="J22" s="943" t="b">
        <f>ISNUMBER(#REF!)</f>
        <v>0</v>
      </c>
      <c r="K22" s="943" t="b">
        <f>ISNUMBER(#REF!)</f>
        <v>0</v>
      </c>
      <c r="L22" s="943" t="b">
        <f>ISNUMBER(#REF!)</f>
        <v>0</v>
      </c>
      <c r="M22" s="943" t="b">
        <f>ISNUMBER(#REF!)</f>
        <v>0</v>
      </c>
      <c r="N22" s="943" t="b">
        <f>ISNUMBER(#REF!)</f>
        <v>0</v>
      </c>
      <c r="O22" s="943" t="b">
        <f t="shared" si="1"/>
        <v>1</v>
      </c>
      <c r="P22" s="943" t="b">
        <f>ISNUMBER(#REF!)</f>
        <v>0</v>
      </c>
      <c r="Q22" s="951" t="str">
        <f t="shared" si="2"/>
        <v/>
      </c>
    </row>
    <row r="23" spans="1:17">
      <c r="A23" s="972">
        <f t="shared" si="3"/>
        <v>45006.125</v>
      </c>
      <c r="B23" s="355" t="s">
        <v>296</v>
      </c>
      <c r="C23" s="950">
        <f t="shared" si="0"/>
        <v>0</v>
      </c>
      <c r="E23" s="943" t="b">
        <f>ISNUMBER(#REF!)</f>
        <v>0</v>
      </c>
      <c r="F23" s="943" t="b">
        <f>ISNUMBER(#REF!)</f>
        <v>0</v>
      </c>
      <c r="G23" s="943" t="b">
        <f>ISNUMBER(#REF!)</f>
        <v>0</v>
      </c>
      <c r="H23" s="943" t="b">
        <f>ISNUMBER(#REF!)</f>
        <v>0</v>
      </c>
      <c r="I23" s="943" t="b">
        <f>ISNUMBER(#REF!)</f>
        <v>0</v>
      </c>
      <c r="J23" s="943" t="b">
        <f>ISNUMBER(#REF!)</f>
        <v>0</v>
      </c>
      <c r="K23" s="943" t="b">
        <f>ISNUMBER(#REF!)</f>
        <v>0</v>
      </c>
      <c r="L23" s="943" t="b">
        <f>ISNUMBER(#REF!)</f>
        <v>0</v>
      </c>
      <c r="M23" s="943" t="b">
        <f>ISNUMBER(#REF!)</f>
        <v>0</v>
      </c>
      <c r="N23" s="943" t="b">
        <f>ISNUMBER(#REF!)</f>
        <v>0</v>
      </c>
      <c r="O23" s="943" t="b">
        <f t="shared" si="1"/>
        <v>1</v>
      </c>
      <c r="P23" s="943" t="b">
        <f>ISNUMBER(#REF!)</f>
        <v>0</v>
      </c>
      <c r="Q23" s="951" t="str">
        <f t="shared" si="2"/>
        <v/>
      </c>
    </row>
    <row r="24" spans="1:17">
      <c r="A24" s="972">
        <f t="shared" si="3"/>
        <v>45006.125</v>
      </c>
      <c r="B24" s="355" t="s">
        <v>297</v>
      </c>
      <c r="C24" s="950">
        <f t="shared" si="0"/>
        <v>-1.0461</v>
      </c>
      <c r="E24" s="943" t="b">
        <f>ISNUMBER(#REF!)</f>
        <v>0</v>
      </c>
      <c r="F24" s="943" t="b">
        <f>ISNUMBER(#REF!)</f>
        <v>0</v>
      </c>
      <c r="G24" s="943" t="b">
        <f>ISNUMBER(#REF!)</f>
        <v>0</v>
      </c>
      <c r="H24" s="943" t="b">
        <f>ISNUMBER(#REF!)</f>
        <v>0</v>
      </c>
      <c r="I24" s="943" t="b">
        <f>ISNUMBER(#REF!)</f>
        <v>0</v>
      </c>
      <c r="J24" s="943" t="b">
        <f>ISNUMBER(#REF!)</f>
        <v>0</v>
      </c>
      <c r="K24" s="943" t="b">
        <f>ISNUMBER(#REF!)</f>
        <v>0</v>
      </c>
      <c r="L24" s="943" t="b">
        <f>ISNUMBER(#REF!)</f>
        <v>0</v>
      </c>
      <c r="M24" s="943" t="b">
        <f>ISNUMBER(#REF!)</f>
        <v>0</v>
      </c>
      <c r="N24" s="943" t="b">
        <f>ISNUMBER(#REF!)</f>
        <v>0</v>
      </c>
      <c r="O24" s="943" t="b">
        <f t="shared" si="1"/>
        <v>1</v>
      </c>
      <c r="P24" s="943" t="b">
        <f>ISNUMBER(#REF!)</f>
        <v>0</v>
      </c>
      <c r="Q24" s="951" t="str">
        <f t="shared" si="2"/>
        <v/>
      </c>
    </row>
    <row r="25" spans="1:17">
      <c r="A25" s="972">
        <f t="shared" si="3"/>
        <v>45006.125</v>
      </c>
      <c r="B25" s="355" t="s">
        <v>298</v>
      </c>
      <c r="C25" s="950">
        <f t="shared" si="0"/>
        <v>0</v>
      </c>
      <c r="E25" s="943" t="b">
        <f>ISNUMBER(#REF!)</f>
        <v>0</v>
      </c>
      <c r="F25" s="943" t="b">
        <f>ISNUMBER(#REF!)</f>
        <v>0</v>
      </c>
      <c r="G25" s="943" t="b">
        <f>ISNUMBER(#REF!)</f>
        <v>0</v>
      </c>
      <c r="H25" s="943" t="b">
        <f>ISNUMBER(#REF!)</f>
        <v>0</v>
      </c>
      <c r="I25" s="943" t="b">
        <f>ISNUMBER(#REF!)</f>
        <v>0</v>
      </c>
      <c r="J25" s="943" t="b">
        <f>ISNUMBER(#REF!)</f>
        <v>0</v>
      </c>
      <c r="K25" s="943" t="b">
        <f>ISNUMBER(#REF!)</f>
        <v>0</v>
      </c>
      <c r="L25" s="943" t="b">
        <f>ISNUMBER(#REF!)</f>
        <v>0</v>
      </c>
      <c r="M25" s="943" t="b">
        <f>ISNUMBER(#REF!)</f>
        <v>0</v>
      </c>
      <c r="N25" s="943" t="b">
        <f>ISNUMBER(#REF!)</f>
        <v>0</v>
      </c>
      <c r="O25" s="943" t="b">
        <f t="shared" si="1"/>
        <v>1</v>
      </c>
      <c r="P25" s="943" t="b">
        <f>ISNUMBER(#REF!)</f>
        <v>0</v>
      </c>
      <c r="Q25" s="951" t="str">
        <f t="shared" si="2"/>
        <v/>
      </c>
    </row>
    <row r="26" spans="1:17">
      <c r="A26" s="972">
        <f t="shared" si="3"/>
        <v>45006.125</v>
      </c>
      <c r="B26" s="355" t="s">
        <v>299</v>
      </c>
      <c r="C26" s="950">
        <f t="shared" si="0"/>
        <v>0</v>
      </c>
      <c r="E26" s="943" t="b">
        <f>ISNUMBER(#REF!)</f>
        <v>0</v>
      </c>
      <c r="F26" s="943" t="b">
        <f>ISNUMBER(#REF!)</f>
        <v>0</v>
      </c>
      <c r="G26" s="943" t="b">
        <f>ISNUMBER(#REF!)</f>
        <v>0</v>
      </c>
      <c r="H26" s="943" t="b">
        <f>ISNUMBER(#REF!)</f>
        <v>0</v>
      </c>
      <c r="I26" s="943" t="b">
        <f>ISNUMBER(#REF!)</f>
        <v>0</v>
      </c>
      <c r="J26" s="943" t="b">
        <f>ISNUMBER(#REF!)</f>
        <v>0</v>
      </c>
      <c r="K26" s="943" t="b">
        <f>ISNUMBER(#REF!)</f>
        <v>0</v>
      </c>
      <c r="L26" s="943" t="b">
        <f>ISNUMBER(#REF!)</f>
        <v>0</v>
      </c>
      <c r="M26" s="943" t="b">
        <f>ISNUMBER(#REF!)</f>
        <v>0</v>
      </c>
      <c r="N26" s="943" t="b">
        <f>ISNUMBER(#REF!)</f>
        <v>0</v>
      </c>
      <c r="O26" s="943" t="b">
        <f t="shared" si="1"/>
        <v>1</v>
      </c>
      <c r="P26" s="943" t="b">
        <f>ISNUMBER(#REF!)</f>
        <v>0</v>
      </c>
      <c r="Q26" s="951" t="str">
        <f t="shared" si="2"/>
        <v/>
      </c>
    </row>
    <row r="27" spans="1:17">
      <c r="A27" s="972">
        <f t="shared" si="3"/>
        <v>45006.125</v>
      </c>
      <c r="B27" s="355" t="s">
        <v>300</v>
      </c>
      <c r="C27" s="950">
        <f t="shared" si="0"/>
        <v>0</v>
      </c>
      <c r="E27" s="943" t="b">
        <f>ISNUMBER(#REF!)</f>
        <v>0</v>
      </c>
      <c r="F27" s="943" t="b">
        <f>ISNUMBER(#REF!)</f>
        <v>0</v>
      </c>
      <c r="G27" s="943" t="b">
        <f>ISNUMBER(#REF!)</f>
        <v>0</v>
      </c>
      <c r="H27" s="943" t="b">
        <f>ISNUMBER(#REF!)</f>
        <v>0</v>
      </c>
      <c r="I27" s="943" t="b">
        <f>ISNUMBER(#REF!)</f>
        <v>0</v>
      </c>
      <c r="J27" s="943" t="b">
        <f>ISNUMBER(#REF!)</f>
        <v>0</v>
      </c>
      <c r="K27" s="943" t="b">
        <f>ISNUMBER(#REF!)</f>
        <v>0</v>
      </c>
      <c r="L27" s="943" t="b">
        <f>ISNUMBER(#REF!)</f>
        <v>0</v>
      </c>
      <c r="M27" s="943" t="b">
        <f>ISNUMBER(#REF!)</f>
        <v>0</v>
      </c>
      <c r="N27" s="943" t="b">
        <f>ISNUMBER(#REF!)</f>
        <v>0</v>
      </c>
      <c r="O27" s="943" t="b">
        <f t="shared" si="1"/>
        <v>1</v>
      </c>
      <c r="P27" s="943" t="b">
        <f>ISNUMBER(#REF!)</f>
        <v>0</v>
      </c>
      <c r="Q27" s="951" t="str">
        <f t="shared" si="2"/>
        <v/>
      </c>
    </row>
    <row r="28" spans="1:17">
      <c r="A28" s="972">
        <f t="shared" si="3"/>
        <v>45006.125</v>
      </c>
      <c r="B28" s="355" t="s">
        <v>301</v>
      </c>
      <c r="C28" s="950">
        <f t="shared" si="0"/>
        <v>0</v>
      </c>
      <c r="E28" s="943" t="b">
        <f>ISNUMBER(#REF!)</f>
        <v>0</v>
      </c>
      <c r="F28" s="943" t="b">
        <f>ISNUMBER(#REF!)</f>
        <v>0</v>
      </c>
      <c r="G28" s="943" t="b">
        <f>ISNUMBER(#REF!)</f>
        <v>0</v>
      </c>
      <c r="H28" s="943" t="b">
        <f>ISNUMBER(#REF!)</f>
        <v>0</v>
      </c>
      <c r="I28" s="943" t="b">
        <f>ISNUMBER(#REF!)</f>
        <v>0</v>
      </c>
      <c r="J28" s="943" t="b">
        <f>ISNUMBER(#REF!)</f>
        <v>0</v>
      </c>
      <c r="K28" s="943" t="b">
        <f>ISNUMBER(#REF!)</f>
        <v>0</v>
      </c>
      <c r="L28" s="943" t="b">
        <f>ISNUMBER(#REF!)</f>
        <v>0</v>
      </c>
      <c r="M28" s="943" t="b">
        <f>ISNUMBER(#REF!)</f>
        <v>0</v>
      </c>
      <c r="N28" s="943" t="b">
        <f>ISNUMBER(#REF!)</f>
        <v>0</v>
      </c>
      <c r="O28" s="943" t="b">
        <f t="shared" si="1"/>
        <v>1</v>
      </c>
      <c r="P28" s="943" t="b">
        <f>ISNUMBER(#REF!)</f>
        <v>0</v>
      </c>
      <c r="Q28" s="951" t="str">
        <f t="shared" si="2"/>
        <v/>
      </c>
    </row>
    <row r="29" spans="1:17">
      <c r="A29" s="972">
        <f t="shared" si="3"/>
        <v>45006.125</v>
      </c>
      <c r="B29" s="355" t="s">
        <v>302</v>
      </c>
      <c r="C29" s="950">
        <f t="shared" si="0"/>
        <v>0</v>
      </c>
      <c r="E29" s="943" t="b">
        <f>ISNUMBER(#REF!)</f>
        <v>0</v>
      </c>
      <c r="F29" s="943" t="b">
        <f>ISNUMBER(#REF!)</f>
        <v>0</v>
      </c>
      <c r="G29" s="943" t="b">
        <f>ISNUMBER(#REF!)</f>
        <v>0</v>
      </c>
      <c r="H29" s="943" t="b">
        <f>ISNUMBER(#REF!)</f>
        <v>0</v>
      </c>
      <c r="I29" s="943" t="b">
        <f>ISNUMBER(#REF!)</f>
        <v>0</v>
      </c>
      <c r="J29" s="943" t="b">
        <f>ISNUMBER(#REF!)</f>
        <v>0</v>
      </c>
      <c r="K29" s="943" t="b">
        <f>ISNUMBER(#REF!)</f>
        <v>0</v>
      </c>
      <c r="L29" s="943" t="b">
        <f>ISNUMBER(#REF!)</f>
        <v>0</v>
      </c>
      <c r="M29" s="943" t="b">
        <f>ISNUMBER(#REF!)</f>
        <v>0</v>
      </c>
      <c r="N29" s="943" t="b">
        <f>ISNUMBER(#REF!)</f>
        <v>0</v>
      </c>
      <c r="O29" s="943" t="b">
        <f t="shared" si="1"/>
        <v>1</v>
      </c>
      <c r="P29" s="943" t="b">
        <f>ISNUMBER(#REF!)</f>
        <v>0</v>
      </c>
      <c r="Q29" s="951" t="str">
        <f t="shared" si="2"/>
        <v/>
      </c>
    </row>
    <row r="30" spans="1:17">
      <c r="A30" s="972">
        <f t="shared" si="3"/>
        <v>45006.125</v>
      </c>
      <c r="B30" s="355" t="s">
        <v>312</v>
      </c>
      <c r="C30" s="950">
        <f t="shared" si="0"/>
        <v>0</v>
      </c>
      <c r="E30" s="943" t="b">
        <f>ISNUMBER(#REF!)</f>
        <v>0</v>
      </c>
      <c r="F30" s="943" t="b">
        <f>ISNUMBER(#REF!)</f>
        <v>0</v>
      </c>
      <c r="G30" s="943" t="b">
        <f>ISNUMBER(#REF!)</f>
        <v>0</v>
      </c>
      <c r="H30" s="943" t="b">
        <f>ISNUMBER(#REF!)</f>
        <v>0</v>
      </c>
      <c r="I30" s="943" t="b">
        <f>ISNUMBER(#REF!)</f>
        <v>0</v>
      </c>
      <c r="J30" s="943" t="b">
        <f>ISNUMBER(#REF!)</f>
        <v>0</v>
      </c>
      <c r="K30" s="943" t="b">
        <f>ISNUMBER(#REF!)</f>
        <v>0</v>
      </c>
      <c r="L30" s="943" t="b">
        <f>ISNUMBER(#REF!)</f>
        <v>0</v>
      </c>
      <c r="M30" s="943" t="b">
        <f>ISNUMBER(#REF!)</f>
        <v>0</v>
      </c>
      <c r="N30" s="943" t="b">
        <f>ISNUMBER(#REF!)</f>
        <v>0</v>
      </c>
      <c r="O30" s="943" t="b">
        <f t="shared" si="1"/>
        <v>1</v>
      </c>
      <c r="P30" s="943" t="b">
        <f>ISNUMBER(#REF!)</f>
        <v>0</v>
      </c>
      <c r="Q30" s="951" t="str">
        <f t="shared" si="2"/>
        <v/>
      </c>
    </row>
    <row r="31" spans="1:17">
      <c r="A31" s="972">
        <f t="shared" si="3"/>
        <v>45006.125</v>
      </c>
      <c r="B31" s="355" t="s">
        <v>313</v>
      </c>
      <c r="C31" s="950">
        <f t="shared" si="0"/>
        <v>0</v>
      </c>
      <c r="E31" s="943" t="b">
        <f>ISNUMBER(#REF!)</f>
        <v>0</v>
      </c>
      <c r="F31" s="943" t="b">
        <f>ISNUMBER(#REF!)</f>
        <v>0</v>
      </c>
      <c r="G31" s="943" t="b">
        <f>ISNUMBER(#REF!)</f>
        <v>0</v>
      </c>
      <c r="H31" s="943" t="b">
        <f>ISNUMBER(#REF!)</f>
        <v>0</v>
      </c>
      <c r="I31" s="943" t="b">
        <f>ISNUMBER(#REF!)</f>
        <v>0</v>
      </c>
      <c r="J31" s="943" t="b">
        <f>ISNUMBER(#REF!)</f>
        <v>0</v>
      </c>
      <c r="K31" s="943" t="b">
        <f>ISNUMBER(#REF!)</f>
        <v>0</v>
      </c>
      <c r="L31" s="943" t="b">
        <f>ISNUMBER(#REF!)</f>
        <v>0</v>
      </c>
      <c r="M31" s="943" t="b">
        <f>ISNUMBER(#REF!)</f>
        <v>0</v>
      </c>
      <c r="N31" s="943" t="b">
        <f>ISNUMBER(#REF!)</f>
        <v>0</v>
      </c>
      <c r="O31" s="943" t="b">
        <f t="shared" si="1"/>
        <v>1</v>
      </c>
      <c r="P31" s="943" t="b">
        <f>ISNUMBER(#REF!)</f>
        <v>0</v>
      </c>
      <c r="Q31" s="951" t="str">
        <f t="shared" si="2"/>
        <v/>
      </c>
    </row>
    <row r="32" spans="1:17">
      <c r="A32" s="972">
        <f t="shared" si="3"/>
        <v>45006.125</v>
      </c>
      <c r="B32" s="355" t="s">
        <v>314</v>
      </c>
      <c r="C32" s="950">
        <f t="shared" si="0"/>
        <v>0</v>
      </c>
      <c r="E32" s="943" t="b">
        <f>ISNUMBER(#REF!)</f>
        <v>0</v>
      </c>
      <c r="F32" s="943" t="b">
        <f>ISNUMBER(#REF!)</f>
        <v>0</v>
      </c>
      <c r="G32" s="943" t="b">
        <f>ISNUMBER(#REF!)</f>
        <v>0</v>
      </c>
      <c r="H32" s="943" t="b">
        <f>ISNUMBER(#REF!)</f>
        <v>0</v>
      </c>
      <c r="I32" s="943" t="b">
        <f>ISNUMBER(#REF!)</f>
        <v>0</v>
      </c>
      <c r="J32" s="943" t="b">
        <f>ISNUMBER(#REF!)</f>
        <v>0</v>
      </c>
      <c r="K32" s="943" t="b">
        <f>ISNUMBER(#REF!)</f>
        <v>0</v>
      </c>
      <c r="L32" s="943" t="b">
        <f>ISNUMBER(#REF!)</f>
        <v>0</v>
      </c>
      <c r="M32" s="943" t="b">
        <f>ISNUMBER(#REF!)</f>
        <v>0</v>
      </c>
      <c r="N32" s="943" t="b">
        <f>ISNUMBER(#REF!)</f>
        <v>0</v>
      </c>
      <c r="O32" s="943" t="b">
        <f t="shared" si="1"/>
        <v>1</v>
      </c>
      <c r="P32" s="943" t="b">
        <f>ISNUMBER(#REF!)</f>
        <v>0</v>
      </c>
      <c r="Q32" s="951" t="str">
        <f t="shared" si="2"/>
        <v/>
      </c>
    </row>
    <row r="33" spans="1:17">
      <c r="A33" s="972">
        <f t="shared" si="3"/>
        <v>45006.125</v>
      </c>
      <c r="B33" s="355" t="s">
        <v>315</v>
      </c>
      <c r="C33" s="950">
        <f t="shared" si="0"/>
        <v>0</v>
      </c>
      <c r="E33" s="943" t="b">
        <f>ISNUMBER(#REF!)</f>
        <v>0</v>
      </c>
      <c r="F33" s="943" t="b">
        <f>ISNUMBER(#REF!)</f>
        <v>0</v>
      </c>
      <c r="G33" s="943" t="b">
        <f>ISNUMBER(#REF!)</f>
        <v>0</v>
      </c>
      <c r="H33" s="943" t="b">
        <f>ISNUMBER(#REF!)</f>
        <v>0</v>
      </c>
      <c r="I33" s="943" t="b">
        <f>ISNUMBER(#REF!)</f>
        <v>0</v>
      </c>
      <c r="J33" s="943" t="b">
        <f>ISNUMBER(#REF!)</f>
        <v>0</v>
      </c>
      <c r="K33" s="943" t="b">
        <f>ISNUMBER(#REF!)</f>
        <v>0</v>
      </c>
      <c r="L33" s="943" t="b">
        <f>ISNUMBER(#REF!)</f>
        <v>0</v>
      </c>
      <c r="M33" s="943" t="b">
        <f>ISNUMBER(#REF!)</f>
        <v>0</v>
      </c>
      <c r="N33" s="943" t="b">
        <f>ISNUMBER(#REF!)</f>
        <v>0</v>
      </c>
      <c r="O33" s="943" t="b">
        <f t="shared" si="1"/>
        <v>1</v>
      </c>
      <c r="P33" s="943" t="b">
        <f>ISNUMBER(#REF!)</f>
        <v>0</v>
      </c>
      <c r="Q33" s="951" t="str">
        <f t="shared" si="2"/>
        <v/>
      </c>
    </row>
    <row r="34" spans="1:17">
      <c r="A34" s="972">
        <f t="shared" si="3"/>
        <v>45006.125</v>
      </c>
      <c r="B34" s="355" t="s">
        <v>316</v>
      </c>
      <c r="C34" s="950">
        <f t="shared" si="0"/>
        <v>0</v>
      </c>
      <c r="E34" s="943" t="b">
        <f>ISNUMBER(#REF!)</f>
        <v>0</v>
      </c>
      <c r="F34" s="943" t="b">
        <f>ISNUMBER(#REF!)</f>
        <v>0</v>
      </c>
      <c r="G34" s="943" t="b">
        <f>ISNUMBER(#REF!)</f>
        <v>0</v>
      </c>
      <c r="H34" s="943" t="b">
        <f>ISNUMBER(#REF!)</f>
        <v>0</v>
      </c>
      <c r="I34" s="943" t="b">
        <f>ISNUMBER(#REF!)</f>
        <v>0</v>
      </c>
      <c r="J34" s="943" t="b">
        <f>ISNUMBER(#REF!)</f>
        <v>0</v>
      </c>
      <c r="K34" s="943" t="b">
        <f>ISNUMBER(#REF!)</f>
        <v>0</v>
      </c>
      <c r="L34" s="943" t="b">
        <f>ISNUMBER(#REF!)</f>
        <v>0</v>
      </c>
      <c r="M34" s="943" t="b">
        <f>ISNUMBER(#REF!)</f>
        <v>0</v>
      </c>
      <c r="N34" s="943" t="b">
        <f>ISNUMBER(#REF!)</f>
        <v>0</v>
      </c>
      <c r="O34" s="943" t="b">
        <f t="shared" si="1"/>
        <v>1</v>
      </c>
      <c r="P34" s="943" t="b">
        <f>ISNUMBER(#REF!)</f>
        <v>0</v>
      </c>
      <c r="Q34" s="951" t="str">
        <f t="shared" si="2"/>
        <v/>
      </c>
    </row>
    <row r="35" spans="1:17">
      <c r="A35" s="972">
        <f t="shared" si="3"/>
        <v>45006.125</v>
      </c>
      <c r="B35" s="355" t="s">
        <v>317</v>
      </c>
      <c r="C35" s="950">
        <f t="shared" si="0"/>
        <v>0</v>
      </c>
      <c r="E35" s="943" t="b">
        <f>ISNUMBER(#REF!)</f>
        <v>0</v>
      </c>
      <c r="F35" s="943" t="b">
        <f>ISNUMBER(#REF!)</f>
        <v>0</v>
      </c>
      <c r="G35" s="943" t="b">
        <f>ISNUMBER(#REF!)</f>
        <v>0</v>
      </c>
      <c r="H35" s="943" t="b">
        <f>ISNUMBER(#REF!)</f>
        <v>0</v>
      </c>
      <c r="I35" s="943" t="b">
        <f>ISNUMBER(#REF!)</f>
        <v>0</v>
      </c>
      <c r="J35" s="943" t="b">
        <f>ISNUMBER(#REF!)</f>
        <v>0</v>
      </c>
      <c r="K35" s="943" t="b">
        <f>ISNUMBER(#REF!)</f>
        <v>0</v>
      </c>
      <c r="L35" s="943" t="b">
        <f>ISNUMBER(#REF!)</f>
        <v>0</v>
      </c>
      <c r="M35" s="943" t="b">
        <f>ISNUMBER(#REF!)</f>
        <v>0</v>
      </c>
      <c r="N35" s="943" t="b">
        <f>ISNUMBER(#REF!)</f>
        <v>0</v>
      </c>
      <c r="O35" s="943" t="b">
        <f t="shared" si="1"/>
        <v>1</v>
      </c>
      <c r="P35" s="943" t="b">
        <f>ISNUMBER(#REF!)</f>
        <v>0</v>
      </c>
      <c r="Q35" s="951" t="str">
        <f t="shared" si="2"/>
        <v/>
      </c>
    </row>
    <row r="36" spans="1:17">
      <c r="A36" s="972">
        <f t="shared" si="3"/>
        <v>45006.125</v>
      </c>
      <c r="B36" s="355" t="s">
        <v>318</v>
      </c>
      <c r="C36" s="950">
        <f t="shared" si="0"/>
        <v>0</v>
      </c>
      <c r="E36" s="943" t="b">
        <f>ISNUMBER(#REF!)</f>
        <v>0</v>
      </c>
      <c r="F36" s="943" t="b">
        <f>ISNUMBER(#REF!)</f>
        <v>0</v>
      </c>
      <c r="G36" s="943" t="b">
        <f>ISNUMBER(#REF!)</f>
        <v>0</v>
      </c>
      <c r="H36" s="943" t="b">
        <f>ISNUMBER(#REF!)</f>
        <v>0</v>
      </c>
      <c r="I36" s="943" t="b">
        <f>ISNUMBER(#REF!)</f>
        <v>0</v>
      </c>
      <c r="J36" s="943" t="b">
        <f>ISNUMBER(#REF!)</f>
        <v>0</v>
      </c>
      <c r="K36" s="943" t="b">
        <f>ISNUMBER(#REF!)</f>
        <v>0</v>
      </c>
      <c r="L36" s="943" t="b">
        <f>ISNUMBER(#REF!)</f>
        <v>0</v>
      </c>
      <c r="M36" s="943" t="b">
        <f>ISNUMBER(#REF!)</f>
        <v>0</v>
      </c>
      <c r="N36" s="943" t="b">
        <f>ISNUMBER(#REF!)</f>
        <v>0</v>
      </c>
      <c r="O36" s="943" t="b">
        <f t="shared" ref="O36:O67" si="4">ISNUMBER(C36)</f>
        <v>1</v>
      </c>
      <c r="P36" s="943" t="b">
        <f>ISNUMBER(#REF!)</f>
        <v>0</v>
      </c>
      <c r="Q36" s="951" t="str">
        <f t="shared" ref="Q36:Q67" si="5">IF(O36=TRUE,"",1)</f>
        <v/>
      </c>
    </row>
    <row r="37" spans="1:17">
      <c r="A37" s="972">
        <f t="shared" si="3"/>
        <v>45006.125</v>
      </c>
      <c r="B37" s="355" t="s">
        <v>319</v>
      </c>
      <c r="C37" s="950">
        <f t="shared" si="0"/>
        <v>0</v>
      </c>
      <c r="E37" s="943" t="b">
        <f>ISNUMBER(#REF!)</f>
        <v>0</v>
      </c>
      <c r="F37" s="943" t="b">
        <f>ISNUMBER(#REF!)</f>
        <v>0</v>
      </c>
      <c r="G37" s="943" t="b">
        <f>ISNUMBER(#REF!)</f>
        <v>0</v>
      </c>
      <c r="H37" s="943" t="b">
        <f>ISNUMBER(#REF!)</f>
        <v>0</v>
      </c>
      <c r="I37" s="943" t="b">
        <f>ISNUMBER(#REF!)</f>
        <v>0</v>
      </c>
      <c r="J37" s="943" t="b">
        <f>ISNUMBER(#REF!)</f>
        <v>0</v>
      </c>
      <c r="K37" s="943" t="b">
        <f>ISNUMBER(#REF!)</f>
        <v>0</v>
      </c>
      <c r="L37" s="943" t="b">
        <f>ISNUMBER(#REF!)</f>
        <v>0</v>
      </c>
      <c r="M37" s="943" t="b">
        <f>ISNUMBER(#REF!)</f>
        <v>0</v>
      </c>
      <c r="N37" s="943" t="b">
        <f>ISNUMBER(#REF!)</f>
        <v>0</v>
      </c>
      <c r="O37" s="943" t="b">
        <f t="shared" si="4"/>
        <v>1</v>
      </c>
      <c r="P37" s="943" t="b">
        <f>ISNUMBER(#REF!)</f>
        <v>0</v>
      </c>
      <c r="Q37" s="951" t="str">
        <f t="shared" si="5"/>
        <v/>
      </c>
    </row>
    <row r="38" spans="1:17">
      <c r="A38" s="972">
        <f t="shared" si="3"/>
        <v>45006.125</v>
      </c>
      <c r="B38" s="355" t="s">
        <v>320</v>
      </c>
      <c r="C38" s="950">
        <f t="shared" si="0"/>
        <v>-1.0461</v>
      </c>
      <c r="E38" s="943" t="b">
        <f>ISNUMBER(#REF!)</f>
        <v>0</v>
      </c>
      <c r="F38" s="943" t="b">
        <f>ISNUMBER(#REF!)</f>
        <v>0</v>
      </c>
      <c r="G38" s="943" t="b">
        <f>ISNUMBER(#REF!)</f>
        <v>0</v>
      </c>
      <c r="H38" s="943" t="b">
        <f>ISNUMBER(#REF!)</f>
        <v>0</v>
      </c>
      <c r="I38" s="943" t="b">
        <f>ISNUMBER(#REF!)</f>
        <v>0</v>
      </c>
      <c r="J38" s="943" t="b">
        <f>ISNUMBER(#REF!)</f>
        <v>0</v>
      </c>
      <c r="K38" s="943" t="b">
        <f>ISNUMBER(#REF!)</f>
        <v>0</v>
      </c>
      <c r="L38" s="943" t="b">
        <f>ISNUMBER(#REF!)</f>
        <v>0</v>
      </c>
      <c r="M38" s="943" t="b">
        <f>ISNUMBER(#REF!)</f>
        <v>0</v>
      </c>
      <c r="N38" s="943" t="b">
        <f>ISNUMBER(#REF!)</f>
        <v>0</v>
      </c>
      <c r="O38" s="943" t="b">
        <f t="shared" si="4"/>
        <v>1</v>
      </c>
      <c r="P38" s="943" t="b">
        <f>ISNUMBER(#REF!)</f>
        <v>0</v>
      </c>
      <c r="Q38" s="951" t="str">
        <f t="shared" si="5"/>
        <v/>
      </c>
    </row>
    <row r="39" spans="1:17">
      <c r="A39" s="972">
        <f t="shared" si="3"/>
        <v>45006.125</v>
      </c>
      <c r="B39" s="355" t="s">
        <v>321</v>
      </c>
      <c r="C39" s="950">
        <f t="shared" si="0"/>
        <v>0</v>
      </c>
      <c r="E39" s="943" t="b">
        <f>ISNUMBER(#REF!)</f>
        <v>0</v>
      </c>
      <c r="F39" s="943" t="b">
        <f>ISNUMBER(#REF!)</f>
        <v>0</v>
      </c>
      <c r="G39" s="943" t="b">
        <f>ISNUMBER(#REF!)</f>
        <v>0</v>
      </c>
      <c r="H39" s="943" t="b">
        <f>ISNUMBER(#REF!)</f>
        <v>0</v>
      </c>
      <c r="I39" s="943" t="b">
        <f>ISNUMBER(#REF!)</f>
        <v>0</v>
      </c>
      <c r="J39" s="943" t="b">
        <f>ISNUMBER(#REF!)</f>
        <v>0</v>
      </c>
      <c r="K39" s="943" t="b">
        <f>ISNUMBER(#REF!)</f>
        <v>0</v>
      </c>
      <c r="L39" s="943" t="b">
        <f>ISNUMBER(#REF!)</f>
        <v>0</v>
      </c>
      <c r="M39" s="943" t="b">
        <f>ISNUMBER(#REF!)</f>
        <v>0</v>
      </c>
      <c r="N39" s="943" t="b">
        <f>ISNUMBER(#REF!)</f>
        <v>0</v>
      </c>
      <c r="O39" s="943" t="b">
        <f t="shared" si="4"/>
        <v>1</v>
      </c>
      <c r="P39" s="943" t="b">
        <f>ISNUMBER(#REF!)</f>
        <v>0</v>
      </c>
      <c r="Q39" s="951" t="str">
        <f t="shared" si="5"/>
        <v/>
      </c>
    </row>
    <row r="40" spans="1:17">
      <c r="A40" s="972">
        <f t="shared" si="3"/>
        <v>45006.125</v>
      </c>
      <c r="B40" s="355" t="s">
        <v>322</v>
      </c>
      <c r="C40" s="950">
        <f t="shared" si="0"/>
        <v>0</v>
      </c>
      <c r="E40" s="943" t="b">
        <f>ISNUMBER(#REF!)</f>
        <v>0</v>
      </c>
      <c r="F40" s="943" t="b">
        <f>ISNUMBER(#REF!)</f>
        <v>0</v>
      </c>
      <c r="G40" s="943" t="b">
        <f>ISNUMBER(#REF!)</f>
        <v>0</v>
      </c>
      <c r="H40" s="943" t="b">
        <f>ISNUMBER(#REF!)</f>
        <v>0</v>
      </c>
      <c r="I40" s="943" t="b">
        <f>ISNUMBER(#REF!)</f>
        <v>0</v>
      </c>
      <c r="J40" s="943" t="b">
        <f>ISNUMBER(#REF!)</f>
        <v>0</v>
      </c>
      <c r="K40" s="943" t="b">
        <f>ISNUMBER(#REF!)</f>
        <v>0</v>
      </c>
      <c r="L40" s="943" t="b">
        <f>ISNUMBER(#REF!)</f>
        <v>0</v>
      </c>
      <c r="M40" s="943" t="b">
        <f>ISNUMBER(#REF!)</f>
        <v>0</v>
      </c>
      <c r="N40" s="943" t="b">
        <f>ISNUMBER(#REF!)</f>
        <v>0</v>
      </c>
      <c r="O40" s="943" t="b">
        <f t="shared" si="4"/>
        <v>1</v>
      </c>
      <c r="P40" s="943" t="b">
        <f>ISNUMBER(#REF!)</f>
        <v>0</v>
      </c>
      <c r="Q40" s="951" t="str">
        <f t="shared" si="5"/>
        <v/>
      </c>
    </row>
    <row r="41" spans="1:17">
      <c r="A41" s="972">
        <f t="shared" si="3"/>
        <v>45006.125</v>
      </c>
      <c r="B41" s="355" t="s">
        <v>323</v>
      </c>
      <c r="C41" s="950">
        <f t="shared" si="0"/>
        <v>0</v>
      </c>
      <c r="E41" s="943" t="b">
        <f>ISNUMBER(#REF!)</f>
        <v>0</v>
      </c>
      <c r="F41" s="943" t="b">
        <f>ISNUMBER(#REF!)</f>
        <v>0</v>
      </c>
      <c r="G41" s="943" t="b">
        <f>ISNUMBER(#REF!)</f>
        <v>0</v>
      </c>
      <c r="H41" s="943" t="b">
        <f>ISNUMBER(#REF!)</f>
        <v>0</v>
      </c>
      <c r="I41" s="943" t="b">
        <f>ISNUMBER(#REF!)</f>
        <v>0</v>
      </c>
      <c r="J41" s="943" t="b">
        <f>ISNUMBER(#REF!)</f>
        <v>0</v>
      </c>
      <c r="K41" s="943" t="b">
        <f>ISNUMBER(#REF!)</f>
        <v>0</v>
      </c>
      <c r="L41" s="943" t="b">
        <f>ISNUMBER(#REF!)</f>
        <v>0</v>
      </c>
      <c r="M41" s="943" t="b">
        <f>ISNUMBER(#REF!)</f>
        <v>0</v>
      </c>
      <c r="N41" s="943" t="b">
        <f>ISNUMBER(#REF!)</f>
        <v>0</v>
      </c>
      <c r="O41" s="943" t="b">
        <f t="shared" si="4"/>
        <v>1</v>
      </c>
      <c r="P41" s="943" t="b">
        <f>ISNUMBER(#REF!)</f>
        <v>0</v>
      </c>
      <c r="Q41" s="951" t="str">
        <f t="shared" si="5"/>
        <v/>
      </c>
    </row>
    <row r="42" spans="1:17">
      <c r="A42" s="972">
        <f t="shared" si="3"/>
        <v>45006.125</v>
      </c>
      <c r="B42" s="355" t="s">
        <v>324</v>
      </c>
      <c r="C42" s="950">
        <f t="shared" si="0"/>
        <v>0</v>
      </c>
      <c r="E42" s="943" t="b">
        <f>ISNUMBER(#REF!)</f>
        <v>0</v>
      </c>
      <c r="F42" s="943" t="b">
        <f>ISNUMBER(#REF!)</f>
        <v>0</v>
      </c>
      <c r="G42" s="943" t="b">
        <f>ISNUMBER(#REF!)</f>
        <v>0</v>
      </c>
      <c r="H42" s="943" t="b">
        <f>ISNUMBER(#REF!)</f>
        <v>0</v>
      </c>
      <c r="I42" s="943" t="b">
        <f>ISNUMBER(#REF!)</f>
        <v>0</v>
      </c>
      <c r="J42" s="943" t="b">
        <f>ISNUMBER(#REF!)</f>
        <v>0</v>
      </c>
      <c r="K42" s="943" t="b">
        <f>ISNUMBER(#REF!)</f>
        <v>0</v>
      </c>
      <c r="L42" s="943" t="b">
        <f>ISNUMBER(#REF!)</f>
        <v>0</v>
      </c>
      <c r="M42" s="943" t="b">
        <f>ISNUMBER(#REF!)</f>
        <v>0</v>
      </c>
      <c r="N42" s="943" t="b">
        <f>ISNUMBER(#REF!)</f>
        <v>0</v>
      </c>
      <c r="O42" s="943" t="b">
        <f t="shared" si="4"/>
        <v>1</v>
      </c>
      <c r="P42" s="943" t="b">
        <f>ISNUMBER(#REF!)</f>
        <v>0</v>
      </c>
      <c r="Q42" s="951" t="str">
        <f t="shared" si="5"/>
        <v/>
      </c>
    </row>
    <row r="43" spans="1:17">
      <c r="A43" s="972">
        <f t="shared" si="3"/>
        <v>45006.125</v>
      </c>
      <c r="B43" s="355" t="s">
        <v>325</v>
      </c>
      <c r="C43" s="950">
        <f t="shared" si="0"/>
        <v>0</v>
      </c>
      <c r="E43" s="943" t="b">
        <f>ISNUMBER(#REF!)</f>
        <v>0</v>
      </c>
      <c r="F43" s="943" t="b">
        <f>ISNUMBER(#REF!)</f>
        <v>0</v>
      </c>
      <c r="G43" s="943" t="b">
        <f>ISNUMBER(#REF!)</f>
        <v>0</v>
      </c>
      <c r="H43" s="943" t="b">
        <f>ISNUMBER(#REF!)</f>
        <v>0</v>
      </c>
      <c r="I43" s="943" t="b">
        <f>ISNUMBER(#REF!)</f>
        <v>0</v>
      </c>
      <c r="J43" s="943" t="b">
        <f>ISNUMBER(#REF!)</f>
        <v>0</v>
      </c>
      <c r="K43" s="943" t="b">
        <f>ISNUMBER(#REF!)</f>
        <v>0</v>
      </c>
      <c r="L43" s="943" t="b">
        <f>ISNUMBER(#REF!)</f>
        <v>0</v>
      </c>
      <c r="M43" s="943" t="b">
        <f>ISNUMBER(#REF!)</f>
        <v>0</v>
      </c>
      <c r="N43" s="943" t="b">
        <f>ISNUMBER(#REF!)</f>
        <v>0</v>
      </c>
      <c r="O43" s="943" t="b">
        <f t="shared" si="4"/>
        <v>1</v>
      </c>
      <c r="P43" s="943" t="b">
        <f>ISNUMBER(#REF!)</f>
        <v>0</v>
      </c>
      <c r="Q43" s="951" t="str">
        <f t="shared" si="5"/>
        <v/>
      </c>
    </row>
    <row r="44" spans="1:17">
      <c r="A44" s="972">
        <f t="shared" si="3"/>
        <v>45006.125</v>
      </c>
      <c r="B44" s="355" t="s">
        <v>335</v>
      </c>
      <c r="C44" s="950">
        <f t="shared" si="0"/>
        <v>0</v>
      </c>
      <c r="E44" s="943" t="b">
        <f>ISNUMBER(#REF!)</f>
        <v>0</v>
      </c>
      <c r="F44" s="943" t="b">
        <f>ISNUMBER(#REF!)</f>
        <v>0</v>
      </c>
      <c r="G44" s="943" t="b">
        <f>ISNUMBER(#REF!)</f>
        <v>0</v>
      </c>
      <c r="H44" s="943" t="b">
        <f>ISNUMBER(#REF!)</f>
        <v>0</v>
      </c>
      <c r="I44" s="943" t="b">
        <f>ISNUMBER(#REF!)</f>
        <v>0</v>
      </c>
      <c r="J44" s="943" t="b">
        <f>ISNUMBER(#REF!)</f>
        <v>0</v>
      </c>
      <c r="K44" s="943" t="b">
        <f>ISNUMBER(#REF!)</f>
        <v>0</v>
      </c>
      <c r="L44" s="943" t="b">
        <f>ISNUMBER(#REF!)</f>
        <v>0</v>
      </c>
      <c r="M44" s="943" t="b">
        <f>ISNUMBER(#REF!)</f>
        <v>0</v>
      </c>
      <c r="N44" s="943" t="b">
        <f>ISNUMBER(#REF!)</f>
        <v>0</v>
      </c>
      <c r="O44" s="943" t="b">
        <f t="shared" si="4"/>
        <v>1</v>
      </c>
      <c r="P44" s="943" t="b">
        <f>ISNUMBER(#REF!)</f>
        <v>0</v>
      </c>
      <c r="Q44" s="951" t="str">
        <f t="shared" si="5"/>
        <v/>
      </c>
    </row>
    <row r="45" spans="1:17">
      <c r="A45" s="972">
        <f t="shared" si="3"/>
        <v>45006.125</v>
      </c>
      <c r="B45" s="355" t="s">
        <v>336</v>
      </c>
      <c r="C45" s="950">
        <f t="shared" si="0"/>
        <v>0</v>
      </c>
      <c r="E45" s="943" t="b">
        <f>ISNUMBER(#REF!)</f>
        <v>0</v>
      </c>
      <c r="F45" s="943" t="b">
        <f>ISNUMBER(#REF!)</f>
        <v>0</v>
      </c>
      <c r="G45" s="943" t="b">
        <f>ISNUMBER(#REF!)</f>
        <v>0</v>
      </c>
      <c r="H45" s="943" t="b">
        <f>ISNUMBER(#REF!)</f>
        <v>0</v>
      </c>
      <c r="I45" s="943" t="b">
        <f>ISNUMBER(#REF!)</f>
        <v>0</v>
      </c>
      <c r="J45" s="943" t="b">
        <f>ISNUMBER(#REF!)</f>
        <v>0</v>
      </c>
      <c r="K45" s="943" t="b">
        <f>ISNUMBER(#REF!)</f>
        <v>0</v>
      </c>
      <c r="L45" s="943" t="b">
        <f>ISNUMBER(#REF!)</f>
        <v>0</v>
      </c>
      <c r="M45" s="943" t="b">
        <f>ISNUMBER(#REF!)</f>
        <v>0</v>
      </c>
      <c r="N45" s="943" t="b">
        <f>ISNUMBER(#REF!)</f>
        <v>0</v>
      </c>
      <c r="O45" s="943" t="b">
        <f t="shared" si="4"/>
        <v>1</v>
      </c>
      <c r="P45" s="943" t="b">
        <f>ISNUMBER(#REF!)</f>
        <v>0</v>
      </c>
      <c r="Q45" s="951" t="str">
        <f t="shared" si="5"/>
        <v/>
      </c>
    </row>
    <row r="46" spans="1:17" s="954" customFormat="1">
      <c r="A46" s="980">
        <f t="shared" si="3"/>
        <v>45006.125</v>
      </c>
      <c r="B46" s="876" t="s">
        <v>459</v>
      </c>
      <c r="C46" s="953">
        <f t="shared" ref="C46:C69" si="6">IFERROR(VLOOKUP($B46,RLMLXD,32,0),"")</f>
        <v>0</v>
      </c>
      <c r="E46" s="954" t="b">
        <f>ISNUMBER(#REF!)</f>
        <v>0</v>
      </c>
      <c r="F46" s="954" t="b">
        <f>ISNUMBER(#REF!)</f>
        <v>0</v>
      </c>
      <c r="G46" s="954" t="b">
        <f>ISNUMBER(#REF!)</f>
        <v>0</v>
      </c>
      <c r="H46" s="954" t="b">
        <f>ISNUMBER(#REF!)</f>
        <v>0</v>
      </c>
      <c r="I46" s="954" t="b">
        <f>ISNUMBER(#REF!)</f>
        <v>0</v>
      </c>
      <c r="J46" s="954" t="b">
        <f>ISNUMBER(#REF!)</f>
        <v>0</v>
      </c>
      <c r="K46" s="954" t="b">
        <f>ISNUMBER(#REF!)</f>
        <v>0</v>
      </c>
      <c r="L46" s="954" t="b">
        <f>ISNUMBER(#REF!)</f>
        <v>0</v>
      </c>
      <c r="M46" s="954" t="b">
        <f>ISNUMBER(#REF!)</f>
        <v>0</v>
      </c>
      <c r="N46" s="954" t="b">
        <f>ISNUMBER(#REF!)</f>
        <v>0</v>
      </c>
      <c r="O46" s="954" t="b">
        <f t="shared" si="4"/>
        <v>1</v>
      </c>
      <c r="P46" s="954" t="b">
        <f>ISNUMBER(#REF!)</f>
        <v>0</v>
      </c>
      <c r="Q46" s="952" t="str">
        <f t="shared" si="5"/>
        <v/>
      </c>
    </row>
    <row r="47" spans="1:17">
      <c r="A47" s="972">
        <f t="shared" si="3"/>
        <v>45006.125</v>
      </c>
      <c r="B47" s="355" t="s">
        <v>463</v>
      </c>
      <c r="C47" s="950">
        <f t="shared" si="6"/>
        <v>0</v>
      </c>
      <c r="E47" s="943" t="b">
        <f>ISNUMBER(#REF!)</f>
        <v>0</v>
      </c>
      <c r="F47" s="943" t="b">
        <f>ISNUMBER(#REF!)</f>
        <v>0</v>
      </c>
      <c r="G47" s="943" t="b">
        <f>ISNUMBER(#REF!)</f>
        <v>0</v>
      </c>
      <c r="H47" s="943" t="b">
        <f>ISNUMBER(#REF!)</f>
        <v>0</v>
      </c>
      <c r="I47" s="943" t="b">
        <f>ISNUMBER(#REF!)</f>
        <v>0</v>
      </c>
      <c r="J47" s="943" t="b">
        <f>ISNUMBER(#REF!)</f>
        <v>0</v>
      </c>
      <c r="K47" s="943" t="b">
        <f>ISNUMBER(#REF!)</f>
        <v>0</v>
      </c>
      <c r="L47" s="943" t="b">
        <f>ISNUMBER(#REF!)</f>
        <v>0</v>
      </c>
      <c r="M47" s="943" t="b">
        <f>ISNUMBER(#REF!)</f>
        <v>0</v>
      </c>
      <c r="N47" s="943" t="b">
        <f>ISNUMBER(#REF!)</f>
        <v>0</v>
      </c>
      <c r="O47" s="943" t="b">
        <f t="shared" si="4"/>
        <v>1</v>
      </c>
      <c r="P47" s="943" t="b">
        <f>ISNUMBER(#REF!)</f>
        <v>0</v>
      </c>
      <c r="Q47" s="951" t="str">
        <f t="shared" si="5"/>
        <v/>
      </c>
    </row>
    <row r="48" spans="1:17">
      <c r="A48" s="972">
        <f t="shared" si="3"/>
        <v>45006.125</v>
      </c>
      <c r="B48" s="355" t="s">
        <v>464</v>
      </c>
      <c r="C48" s="950">
        <f t="shared" si="6"/>
        <v>0</v>
      </c>
      <c r="E48" s="943" t="b">
        <f>ISNUMBER(#REF!)</f>
        <v>0</v>
      </c>
      <c r="F48" s="943" t="b">
        <f>ISNUMBER(#REF!)</f>
        <v>0</v>
      </c>
      <c r="G48" s="943" t="b">
        <f>ISNUMBER(#REF!)</f>
        <v>0</v>
      </c>
      <c r="H48" s="943" t="b">
        <f>ISNUMBER(#REF!)</f>
        <v>0</v>
      </c>
      <c r="I48" s="943" t="b">
        <f>ISNUMBER(#REF!)</f>
        <v>0</v>
      </c>
      <c r="J48" s="943" t="b">
        <f>ISNUMBER(#REF!)</f>
        <v>0</v>
      </c>
      <c r="K48" s="943" t="b">
        <f>ISNUMBER(#REF!)</f>
        <v>0</v>
      </c>
      <c r="L48" s="943" t="b">
        <f>ISNUMBER(#REF!)</f>
        <v>0</v>
      </c>
      <c r="M48" s="943" t="b">
        <f>ISNUMBER(#REF!)</f>
        <v>0</v>
      </c>
      <c r="N48" s="943" t="b">
        <f>ISNUMBER(#REF!)</f>
        <v>0</v>
      </c>
      <c r="O48" s="943" t="b">
        <f t="shared" si="4"/>
        <v>1</v>
      </c>
      <c r="P48" s="943" t="b">
        <f>ISNUMBER(#REF!)</f>
        <v>0</v>
      </c>
      <c r="Q48" s="951" t="str">
        <f t="shared" si="5"/>
        <v/>
      </c>
    </row>
    <row r="49" spans="1:17">
      <c r="A49" s="972">
        <f t="shared" si="3"/>
        <v>45006.125</v>
      </c>
      <c r="B49" s="355" t="s">
        <v>467</v>
      </c>
      <c r="C49" s="950">
        <f t="shared" si="6"/>
        <v>0</v>
      </c>
      <c r="E49" s="943" t="b">
        <f>ISNUMBER(#REF!)</f>
        <v>0</v>
      </c>
      <c r="F49" s="943" t="b">
        <f>ISNUMBER(#REF!)</f>
        <v>0</v>
      </c>
      <c r="G49" s="943" t="b">
        <f>ISNUMBER(#REF!)</f>
        <v>0</v>
      </c>
      <c r="H49" s="943" t="b">
        <f>ISNUMBER(#REF!)</f>
        <v>0</v>
      </c>
      <c r="I49" s="943" t="b">
        <f>ISNUMBER(#REF!)</f>
        <v>0</v>
      </c>
      <c r="J49" s="943" t="b">
        <f>ISNUMBER(#REF!)</f>
        <v>0</v>
      </c>
      <c r="K49" s="943" t="b">
        <f>ISNUMBER(#REF!)</f>
        <v>0</v>
      </c>
      <c r="L49" s="943" t="b">
        <f>ISNUMBER(#REF!)</f>
        <v>0</v>
      </c>
      <c r="M49" s="943" t="b">
        <f>ISNUMBER(#REF!)</f>
        <v>0</v>
      </c>
      <c r="N49" s="943" t="b">
        <f>ISNUMBER(#REF!)</f>
        <v>0</v>
      </c>
      <c r="O49" s="943" t="b">
        <f t="shared" si="4"/>
        <v>1</v>
      </c>
      <c r="P49" s="943" t="b">
        <f>ISNUMBER(#REF!)</f>
        <v>0</v>
      </c>
      <c r="Q49" s="951" t="str">
        <f t="shared" si="5"/>
        <v/>
      </c>
    </row>
    <row r="50" spans="1:17">
      <c r="A50" s="972">
        <f t="shared" si="3"/>
        <v>45006.125</v>
      </c>
      <c r="B50" s="355" t="s">
        <v>468</v>
      </c>
      <c r="C50" s="950">
        <f t="shared" si="6"/>
        <v>0</v>
      </c>
      <c r="E50" s="943" t="b">
        <f>ISNUMBER(#REF!)</f>
        <v>0</v>
      </c>
      <c r="F50" s="943" t="b">
        <f>ISNUMBER(#REF!)</f>
        <v>0</v>
      </c>
      <c r="G50" s="943" t="b">
        <f>ISNUMBER(#REF!)</f>
        <v>0</v>
      </c>
      <c r="H50" s="943" t="b">
        <f>ISNUMBER(#REF!)</f>
        <v>0</v>
      </c>
      <c r="I50" s="943" t="b">
        <f>ISNUMBER(#REF!)</f>
        <v>0</v>
      </c>
      <c r="J50" s="943" t="b">
        <f>ISNUMBER(#REF!)</f>
        <v>0</v>
      </c>
      <c r="K50" s="943" t="b">
        <f>ISNUMBER(#REF!)</f>
        <v>0</v>
      </c>
      <c r="L50" s="943" t="b">
        <f>ISNUMBER(#REF!)</f>
        <v>0</v>
      </c>
      <c r="M50" s="943" t="b">
        <f>ISNUMBER(#REF!)</f>
        <v>0</v>
      </c>
      <c r="N50" s="943" t="b">
        <f>ISNUMBER(#REF!)</f>
        <v>0</v>
      </c>
      <c r="O50" s="943" t="b">
        <f t="shared" si="4"/>
        <v>1</v>
      </c>
      <c r="P50" s="943" t="b">
        <f>ISNUMBER(#REF!)</f>
        <v>0</v>
      </c>
      <c r="Q50" s="951" t="str">
        <f t="shared" si="5"/>
        <v/>
      </c>
    </row>
    <row r="51" spans="1:17">
      <c r="A51" s="972">
        <f t="shared" si="3"/>
        <v>45006.125</v>
      </c>
      <c r="B51" s="355" t="s">
        <v>470</v>
      </c>
      <c r="C51" s="950">
        <f t="shared" si="6"/>
        <v>0</v>
      </c>
      <c r="E51" s="943" t="b">
        <f>ISNUMBER(#REF!)</f>
        <v>0</v>
      </c>
      <c r="F51" s="943" t="b">
        <f>ISNUMBER(#REF!)</f>
        <v>0</v>
      </c>
      <c r="G51" s="943" t="b">
        <f>ISNUMBER(#REF!)</f>
        <v>0</v>
      </c>
      <c r="H51" s="943" t="b">
        <f>ISNUMBER(#REF!)</f>
        <v>0</v>
      </c>
      <c r="I51" s="943" t="b">
        <f>ISNUMBER(#REF!)</f>
        <v>0</v>
      </c>
      <c r="J51" s="943" t="b">
        <f>ISNUMBER(#REF!)</f>
        <v>0</v>
      </c>
      <c r="K51" s="943" t="b">
        <f>ISNUMBER(#REF!)</f>
        <v>0</v>
      </c>
      <c r="L51" s="943" t="b">
        <f>ISNUMBER(#REF!)</f>
        <v>0</v>
      </c>
      <c r="M51" s="943" t="b">
        <f>ISNUMBER(#REF!)</f>
        <v>0</v>
      </c>
      <c r="N51" s="943" t="b">
        <f>ISNUMBER(#REF!)</f>
        <v>0</v>
      </c>
      <c r="O51" s="943" t="b">
        <f t="shared" si="4"/>
        <v>1</v>
      </c>
      <c r="P51" s="943" t="b">
        <f>ISNUMBER(#REF!)</f>
        <v>0</v>
      </c>
      <c r="Q51" s="951" t="str">
        <f t="shared" si="5"/>
        <v/>
      </c>
    </row>
    <row r="52" spans="1:17">
      <c r="A52" s="972">
        <f t="shared" si="3"/>
        <v>45006.125</v>
      </c>
      <c r="B52" s="355" t="s">
        <v>472</v>
      </c>
      <c r="C52" s="950">
        <f t="shared" si="6"/>
        <v>0</v>
      </c>
      <c r="E52" s="943" t="b">
        <f>ISNUMBER(#REF!)</f>
        <v>0</v>
      </c>
      <c r="F52" s="943" t="b">
        <f>ISNUMBER(#REF!)</f>
        <v>0</v>
      </c>
      <c r="G52" s="943" t="b">
        <f>ISNUMBER(#REF!)</f>
        <v>0</v>
      </c>
      <c r="H52" s="943" t="b">
        <f>ISNUMBER(#REF!)</f>
        <v>0</v>
      </c>
      <c r="I52" s="943" t="b">
        <f>ISNUMBER(#REF!)</f>
        <v>0</v>
      </c>
      <c r="J52" s="943" t="b">
        <f>ISNUMBER(#REF!)</f>
        <v>0</v>
      </c>
      <c r="K52" s="943" t="b">
        <f>ISNUMBER(#REF!)</f>
        <v>0</v>
      </c>
      <c r="L52" s="943" t="b">
        <f>ISNUMBER(#REF!)</f>
        <v>0</v>
      </c>
      <c r="M52" s="943" t="b">
        <f>ISNUMBER(#REF!)</f>
        <v>0</v>
      </c>
      <c r="N52" s="943" t="b">
        <f>ISNUMBER(#REF!)</f>
        <v>0</v>
      </c>
      <c r="O52" s="943" t="b">
        <f t="shared" si="4"/>
        <v>1</v>
      </c>
      <c r="P52" s="943" t="b">
        <f>ISNUMBER(#REF!)</f>
        <v>0</v>
      </c>
      <c r="Q52" s="951" t="str">
        <f t="shared" si="5"/>
        <v/>
      </c>
    </row>
    <row r="53" spans="1:17">
      <c r="A53" s="972">
        <f t="shared" si="3"/>
        <v>45006.125</v>
      </c>
      <c r="B53" s="355" t="s">
        <v>473</v>
      </c>
      <c r="C53" s="950">
        <f t="shared" si="6"/>
        <v>0</v>
      </c>
      <c r="E53" s="943" t="b">
        <f>ISNUMBER(#REF!)</f>
        <v>0</v>
      </c>
      <c r="F53" s="943" t="b">
        <f>ISNUMBER(#REF!)</f>
        <v>0</v>
      </c>
      <c r="G53" s="943" t="b">
        <f>ISNUMBER(#REF!)</f>
        <v>0</v>
      </c>
      <c r="H53" s="943" t="b">
        <f>ISNUMBER(#REF!)</f>
        <v>0</v>
      </c>
      <c r="I53" s="943" t="b">
        <f>ISNUMBER(#REF!)</f>
        <v>0</v>
      </c>
      <c r="J53" s="943" t="b">
        <f>ISNUMBER(#REF!)</f>
        <v>0</v>
      </c>
      <c r="K53" s="943" t="b">
        <f>ISNUMBER(#REF!)</f>
        <v>0</v>
      </c>
      <c r="L53" s="943" t="b">
        <f>ISNUMBER(#REF!)</f>
        <v>0</v>
      </c>
      <c r="M53" s="943" t="b">
        <f>ISNUMBER(#REF!)</f>
        <v>0</v>
      </c>
      <c r="N53" s="943" t="b">
        <f>ISNUMBER(#REF!)</f>
        <v>0</v>
      </c>
      <c r="O53" s="943" t="b">
        <f t="shared" si="4"/>
        <v>1</v>
      </c>
      <c r="P53" s="943" t="b">
        <f>ISNUMBER(#REF!)</f>
        <v>0</v>
      </c>
      <c r="Q53" s="951" t="str">
        <f t="shared" si="5"/>
        <v/>
      </c>
    </row>
    <row r="54" spans="1:17">
      <c r="A54" s="972">
        <f t="shared" si="3"/>
        <v>45006.125</v>
      </c>
      <c r="B54" s="355" t="s">
        <v>474</v>
      </c>
      <c r="C54" s="950">
        <f t="shared" si="6"/>
        <v>0</v>
      </c>
      <c r="E54" s="943" t="b">
        <f>ISNUMBER(#REF!)</f>
        <v>0</v>
      </c>
      <c r="F54" s="943" t="b">
        <f>ISNUMBER(#REF!)</f>
        <v>0</v>
      </c>
      <c r="G54" s="943" t="b">
        <f>ISNUMBER(#REF!)</f>
        <v>0</v>
      </c>
      <c r="H54" s="943" t="b">
        <f>ISNUMBER(#REF!)</f>
        <v>0</v>
      </c>
      <c r="I54" s="943" t="b">
        <f>ISNUMBER(#REF!)</f>
        <v>0</v>
      </c>
      <c r="J54" s="943" t="b">
        <f>ISNUMBER(#REF!)</f>
        <v>0</v>
      </c>
      <c r="K54" s="943" t="b">
        <f>ISNUMBER(#REF!)</f>
        <v>0</v>
      </c>
      <c r="L54" s="943" t="b">
        <f>ISNUMBER(#REF!)</f>
        <v>0</v>
      </c>
      <c r="M54" s="943" t="b">
        <f>ISNUMBER(#REF!)</f>
        <v>0</v>
      </c>
      <c r="N54" s="943" t="b">
        <f>ISNUMBER(#REF!)</f>
        <v>0</v>
      </c>
      <c r="O54" s="943" t="b">
        <f t="shared" si="4"/>
        <v>1</v>
      </c>
      <c r="P54" s="943" t="b">
        <f>ISNUMBER(#REF!)</f>
        <v>0</v>
      </c>
      <c r="Q54" s="951" t="str">
        <f t="shared" si="5"/>
        <v/>
      </c>
    </row>
    <row r="55" spans="1:17">
      <c r="A55" s="972">
        <f t="shared" si="3"/>
        <v>45006.125</v>
      </c>
      <c r="B55" s="355" t="s">
        <v>477</v>
      </c>
      <c r="C55" s="950">
        <f t="shared" si="6"/>
        <v>0</v>
      </c>
      <c r="E55" s="943" t="b">
        <f>ISNUMBER(#REF!)</f>
        <v>0</v>
      </c>
      <c r="F55" s="943" t="b">
        <f>ISNUMBER(#REF!)</f>
        <v>0</v>
      </c>
      <c r="G55" s="943" t="b">
        <f>ISNUMBER(#REF!)</f>
        <v>0</v>
      </c>
      <c r="H55" s="943" t="b">
        <f>ISNUMBER(#REF!)</f>
        <v>0</v>
      </c>
      <c r="I55" s="943" t="b">
        <f>ISNUMBER(#REF!)</f>
        <v>0</v>
      </c>
      <c r="J55" s="943" t="b">
        <f>ISNUMBER(#REF!)</f>
        <v>0</v>
      </c>
      <c r="K55" s="943" t="b">
        <f>ISNUMBER(#REF!)</f>
        <v>0</v>
      </c>
      <c r="L55" s="943" t="b">
        <f>ISNUMBER(#REF!)</f>
        <v>0</v>
      </c>
      <c r="M55" s="943" t="b">
        <f>ISNUMBER(#REF!)</f>
        <v>0</v>
      </c>
      <c r="N55" s="943" t="b">
        <f>ISNUMBER(#REF!)</f>
        <v>0</v>
      </c>
      <c r="O55" s="943" t="b">
        <f t="shared" si="4"/>
        <v>1</v>
      </c>
      <c r="P55" s="943" t="b">
        <f>ISNUMBER(#REF!)</f>
        <v>0</v>
      </c>
      <c r="Q55" s="951" t="str">
        <f t="shared" si="5"/>
        <v/>
      </c>
    </row>
    <row r="56" spans="1:17">
      <c r="A56" s="972">
        <f t="shared" si="3"/>
        <v>45006.125</v>
      </c>
      <c r="B56" s="355" t="s">
        <v>982</v>
      </c>
      <c r="C56" s="950">
        <f t="shared" si="6"/>
        <v>0</v>
      </c>
      <c r="E56" s="943" t="b">
        <f>ISNUMBER(#REF!)</f>
        <v>0</v>
      </c>
      <c r="F56" s="943" t="b">
        <f>ISNUMBER(#REF!)</f>
        <v>0</v>
      </c>
      <c r="G56" s="943" t="b">
        <f>ISNUMBER(#REF!)</f>
        <v>0</v>
      </c>
      <c r="H56" s="943" t="b">
        <f>ISNUMBER(#REF!)</f>
        <v>0</v>
      </c>
      <c r="I56" s="943" t="b">
        <f>ISNUMBER(#REF!)</f>
        <v>0</v>
      </c>
      <c r="J56" s="943" t="b">
        <f>ISNUMBER(#REF!)</f>
        <v>0</v>
      </c>
      <c r="K56" s="943" t="b">
        <f>ISNUMBER(#REF!)</f>
        <v>0</v>
      </c>
      <c r="L56" s="943" t="b">
        <f>ISNUMBER(#REF!)</f>
        <v>0</v>
      </c>
      <c r="M56" s="943" t="b">
        <f>ISNUMBER(#REF!)</f>
        <v>0</v>
      </c>
      <c r="N56" s="943" t="b">
        <f>ISNUMBER(#REF!)</f>
        <v>0</v>
      </c>
      <c r="O56" s="943" t="b">
        <f t="shared" si="4"/>
        <v>1</v>
      </c>
      <c r="P56" s="943" t="b">
        <f>ISNUMBER(#REF!)</f>
        <v>0</v>
      </c>
      <c r="Q56" s="951" t="str">
        <f t="shared" si="5"/>
        <v/>
      </c>
    </row>
    <row r="57" spans="1:17">
      <c r="A57" s="972">
        <f t="shared" si="3"/>
        <v>45006.125</v>
      </c>
      <c r="B57" s="355" t="s">
        <v>983</v>
      </c>
      <c r="C57" s="950">
        <f t="shared" si="6"/>
        <v>0</v>
      </c>
      <c r="E57" s="943" t="b">
        <f>ISNUMBER(#REF!)</f>
        <v>0</v>
      </c>
      <c r="F57" s="943" t="b">
        <f>ISNUMBER(#REF!)</f>
        <v>0</v>
      </c>
      <c r="G57" s="943" t="b">
        <f>ISNUMBER(#REF!)</f>
        <v>0</v>
      </c>
      <c r="H57" s="943" t="b">
        <f>ISNUMBER(#REF!)</f>
        <v>0</v>
      </c>
      <c r="I57" s="943" t="b">
        <f>ISNUMBER(#REF!)</f>
        <v>0</v>
      </c>
      <c r="J57" s="943" t="b">
        <f>ISNUMBER(#REF!)</f>
        <v>0</v>
      </c>
      <c r="K57" s="943" t="b">
        <f>ISNUMBER(#REF!)</f>
        <v>0</v>
      </c>
      <c r="L57" s="943" t="b">
        <f>ISNUMBER(#REF!)</f>
        <v>0</v>
      </c>
      <c r="M57" s="943" t="b">
        <f>ISNUMBER(#REF!)</f>
        <v>0</v>
      </c>
      <c r="N57" s="943" t="b">
        <f>ISNUMBER(#REF!)</f>
        <v>0</v>
      </c>
      <c r="O57" s="943" t="b">
        <f t="shared" si="4"/>
        <v>1</v>
      </c>
      <c r="P57" s="943" t="b">
        <f>ISNUMBER(#REF!)</f>
        <v>0</v>
      </c>
      <c r="Q57" s="951" t="str">
        <f t="shared" si="5"/>
        <v/>
      </c>
    </row>
    <row r="58" spans="1:17">
      <c r="A58" s="972">
        <f t="shared" si="3"/>
        <v>45006.125</v>
      </c>
      <c r="B58" s="355" t="s">
        <v>987</v>
      </c>
      <c r="C58" s="950">
        <f t="shared" si="6"/>
        <v>0</v>
      </c>
      <c r="E58" s="943" t="b">
        <f>ISNUMBER(#REF!)</f>
        <v>0</v>
      </c>
      <c r="F58" s="943" t="b">
        <f>ISNUMBER(#REF!)</f>
        <v>0</v>
      </c>
      <c r="G58" s="943" t="b">
        <f>ISNUMBER(#REF!)</f>
        <v>0</v>
      </c>
      <c r="H58" s="943" t="b">
        <f>ISNUMBER(#REF!)</f>
        <v>0</v>
      </c>
      <c r="I58" s="943" t="b">
        <f>ISNUMBER(#REF!)</f>
        <v>0</v>
      </c>
      <c r="J58" s="943" t="b">
        <f>ISNUMBER(#REF!)</f>
        <v>0</v>
      </c>
      <c r="K58" s="943" t="b">
        <f>ISNUMBER(#REF!)</f>
        <v>0</v>
      </c>
      <c r="L58" s="943" t="b">
        <f>ISNUMBER(#REF!)</f>
        <v>0</v>
      </c>
      <c r="M58" s="943" t="b">
        <f>ISNUMBER(#REF!)</f>
        <v>0</v>
      </c>
      <c r="N58" s="943" t="b">
        <f>ISNUMBER(#REF!)</f>
        <v>0</v>
      </c>
      <c r="O58" s="943" t="b">
        <f t="shared" si="4"/>
        <v>1</v>
      </c>
      <c r="P58" s="943" t="b">
        <f>ISNUMBER(#REF!)</f>
        <v>0</v>
      </c>
      <c r="Q58" s="951" t="str">
        <f t="shared" si="5"/>
        <v/>
      </c>
    </row>
    <row r="59" spans="1:17">
      <c r="A59" s="972">
        <f t="shared" si="3"/>
        <v>45006.125</v>
      </c>
      <c r="B59" s="355" t="s">
        <v>989</v>
      </c>
      <c r="C59" s="950">
        <f t="shared" si="6"/>
        <v>0</v>
      </c>
      <c r="E59" s="943" t="b">
        <f>ISNUMBER(#REF!)</f>
        <v>0</v>
      </c>
      <c r="F59" s="943" t="b">
        <f>ISNUMBER(#REF!)</f>
        <v>0</v>
      </c>
      <c r="G59" s="943" t="b">
        <f>ISNUMBER(#REF!)</f>
        <v>0</v>
      </c>
      <c r="H59" s="943" t="b">
        <f>ISNUMBER(#REF!)</f>
        <v>0</v>
      </c>
      <c r="I59" s="943" t="b">
        <f>ISNUMBER(#REF!)</f>
        <v>0</v>
      </c>
      <c r="J59" s="943" t="b">
        <f>ISNUMBER(#REF!)</f>
        <v>0</v>
      </c>
      <c r="K59" s="943" t="b">
        <f>ISNUMBER(#REF!)</f>
        <v>0</v>
      </c>
      <c r="L59" s="943" t="b">
        <f>ISNUMBER(#REF!)</f>
        <v>0</v>
      </c>
      <c r="M59" s="943" t="b">
        <f>ISNUMBER(#REF!)</f>
        <v>0</v>
      </c>
      <c r="N59" s="943" t="b">
        <f>ISNUMBER(#REF!)</f>
        <v>0</v>
      </c>
      <c r="O59" s="943" t="b">
        <f t="shared" si="4"/>
        <v>1</v>
      </c>
      <c r="P59" s="943" t="b">
        <f>ISNUMBER(#REF!)</f>
        <v>0</v>
      </c>
      <c r="Q59" s="951" t="str">
        <f t="shared" si="5"/>
        <v/>
      </c>
    </row>
    <row r="60" spans="1:17">
      <c r="A60" s="972">
        <f t="shared" si="3"/>
        <v>45006.125</v>
      </c>
      <c r="B60" s="355" t="s">
        <v>990</v>
      </c>
      <c r="C60" s="950">
        <f t="shared" si="6"/>
        <v>0</v>
      </c>
      <c r="E60" s="943" t="b">
        <f>ISNUMBER(#REF!)</f>
        <v>0</v>
      </c>
      <c r="F60" s="943" t="b">
        <f>ISNUMBER(#REF!)</f>
        <v>0</v>
      </c>
      <c r="G60" s="943" t="b">
        <f>ISNUMBER(#REF!)</f>
        <v>0</v>
      </c>
      <c r="H60" s="943" t="b">
        <f>ISNUMBER(#REF!)</f>
        <v>0</v>
      </c>
      <c r="I60" s="943" t="b">
        <f>ISNUMBER(#REF!)</f>
        <v>0</v>
      </c>
      <c r="J60" s="943" t="b">
        <f>ISNUMBER(#REF!)</f>
        <v>0</v>
      </c>
      <c r="K60" s="943" t="b">
        <f>ISNUMBER(#REF!)</f>
        <v>0</v>
      </c>
      <c r="L60" s="943" t="b">
        <f>ISNUMBER(#REF!)</f>
        <v>0</v>
      </c>
      <c r="M60" s="943" t="b">
        <f>ISNUMBER(#REF!)</f>
        <v>0</v>
      </c>
      <c r="N60" s="943" t="b">
        <f>ISNUMBER(#REF!)</f>
        <v>0</v>
      </c>
      <c r="O60" s="943" t="b">
        <f t="shared" si="4"/>
        <v>1</v>
      </c>
      <c r="P60" s="943" t="b">
        <f>ISNUMBER(#REF!)</f>
        <v>0</v>
      </c>
      <c r="Q60" s="951" t="str">
        <f t="shared" si="5"/>
        <v/>
      </c>
    </row>
    <row r="61" spans="1:17">
      <c r="A61" s="972">
        <f t="shared" si="3"/>
        <v>45006.125</v>
      </c>
      <c r="B61" s="355" t="s">
        <v>985</v>
      </c>
      <c r="C61" s="950">
        <f t="shared" si="6"/>
        <v>0</v>
      </c>
      <c r="E61" s="943" t="b">
        <f>ISNUMBER(#REF!)</f>
        <v>0</v>
      </c>
      <c r="F61" s="943" t="b">
        <f>ISNUMBER(#REF!)</f>
        <v>0</v>
      </c>
      <c r="G61" s="943" t="b">
        <f>ISNUMBER(#REF!)</f>
        <v>0</v>
      </c>
      <c r="H61" s="943" t="b">
        <f>ISNUMBER(#REF!)</f>
        <v>0</v>
      </c>
      <c r="I61" s="943" t="b">
        <f>ISNUMBER(#REF!)</f>
        <v>0</v>
      </c>
      <c r="J61" s="943" t="b">
        <f>ISNUMBER(#REF!)</f>
        <v>0</v>
      </c>
      <c r="K61" s="943" t="b">
        <f>ISNUMBER(#REF!)</f>
        <v>0</v>
      </c>
      <c r="L61" s="943" t="b">
        <f>ISNUMBER(#REF!)</f>
        <v>0</v>
      </c>
      <c r="M61" s="943" t="b">
        <f>ISNUMBER(#REF!)</f>
        <v>0</v>
      </c>
      <c r="N61" s="943" t="b">
        <f>ISNUMBER(#REF!)</f>
        <v>0</v>
      </c>
      <c r="O61" s="943" t="b">
        <f t="shared" si="4"/>
        <v>1</v>
      </c>
      <c r="P61" s="943" t="b">
        <f>ISNUMBER(#REF!)</f>
        <v>0</v>
      </c>
      <c r="Q61" s="951" t="str">
        <f t="shared" si="5"/>
        <v/>
      </c>
    </row>
    <row r="62" spans="1:17">
      <c r="A62" s="972">
        <f t="shared" si="3"/>
        <v>45006.125</v>
      </c>
      <c r="B62" s="355" t="s">
        <v>986</v>
      </c>
      <c r="C62" s="950">
        <f t="shared" si="6"/>
        <v>0</v>
      </c>
      <c r="E62" s="943" t="b">
        <f>ISNUMBER(#REF!)</f>
        <v>0</v>
      </c>
      <c r="F62" s="943" t="b">
        <f>ISNUMBER(#REF!)</f>
        <v>0</v>
      </c>
      <c r="G62" s="943" t="b">
        <f>ISNUMBER(#REF!)</f>
        <v>0</v>
      </c>
      <c r="H62" s="943" t="b">
        <f>ISNUMBER(#REF!)</f>
        <v>0</v>
      </c>
      <c r="I62" s="943" t="b">
        <f>ISNUMBER(#REF!)</f>
        <v>0</v>
      </c>
      <c r="J62" s="943" t="b">
        <f>ISNUMBER(#REF!)</f>
        <v>0</v>
      </c>
      <c r="K62" s="943" t="b">
        <f>ISNUMBER(#REF!)</f>
        <v>0</v>
      </c>
      <c r="L62" s="943" t="b">
        <f>ISNUMBER(#REF!)</f>
        <v>0</v>
      </c>
      <c r="M62" s="943" t="b">
        <f>ISNUMBER(#REF!)</f>
        <v>0</v>
      </c>
      <c r="N62" s="943" t="b">
        <f>ISNUMBER(#REF!)</f>
        <v>0</v>
      </c>
      <c r="O62" s="943" t="b">
        <f t="shared" si="4"/>
        <v>1</v>
      </c>
      <c r="P62" s="943" t="b">
        <f>ISNUMBER(#REF!)</f>
        <v>0</v>
      </c>
      <c r="Q62" s="951" t="str">
        <f t="shared" si="5"/>
        <v/>
      </c>
    </row>
    <row r="63" spans="1:17">
      <c r="A63" s="972">
        <f t="shared" si="3"/>
        <v>45006.125</v>
      </c>
      <c r="B63" s="355" t="s">
        <v>916</v>
      </c>
      <c r="C63" s="950">
        <f t="shared" si="6"/>
        <v>0</v>
      </c>
      <c r="E63" s="943" t="b">
        <f>ISNUMBER(#REF!)</f>
        <v>0</v>
      </c>
      <c r="F63" s="943" t="b">
        <f>ISNUMBER(#REF!)</f>
        <v>0</v>
      </c>
      <c r="G63" s="943" t="b">
        <f>ISNUMBER(#REF!)</f>
        <v>0</v>
      </c>
      <c r="H63" s="943" t="b">
        <f>ISNUMBER(#REF!)</f>
        <v>0</v>
      </c>
      <c r="I63" s="943" t="b">
        <f>ISNUMBER(#REF!)</f>
        <v>0</v>
      </c>
      <c r="J63" s="943" t="b">
        <f>ISNUMBER(#REF!)</f>
        <v>0</v>
      </c>
      <c r="K63" s="943" t="b">
        <f>ISNUMBER(#REF!)</f>
        <v>0</v>
      </c>
      <c r="L63" s="943" t="b">
        <f>ISNUMBER(#REF!)</f>
        <v>0</v>
      </c>
      <c r="M63" s="943" t="b">
        <f>ISNUMBER(#REF!)</f>
        <v>0</v>
      </c>
      <c r="N63" s="943" t="b">
        <f>ISNUMBER(#REF!)</f>
        <v>0</v>
      </c>
      <c r="O63" s="943" t="b">
        <f t="shared" si="4"/>
        <v>1</v>
      </c>
      <c r="P63" s="943" t="b">
        <f>ISNUMBER(#REF!)</f>
        <v>0</v>
      </c>
      <c r="Q63" s="951" t="str">
        <f t="shared" si="5"/>
        <v/>
      </c>
    </row>
    <row r="64" spans="1:17">
      <c r="A64" s="972">
        <f t="shared" si="3"/>
        <v>45006.125</v>
      </c>
      <c r="B64" s="355" t="s">
        <v>915</v>
      </c>
      <c r="C64" s="950">
        <f t="shared" si="6"/>
        <v>0</v>
      </c>
      <c r="E64" s="943" t="b">
        <f>ISNUMBER(#REF!)</f>
        <v>0</v>
      </c>
      <c r="F64" s="943" t="b">
        <f>ISNUMBER(#REF!)</f>
        <v>0</v>
      </c>
      <c r="G64" s="943" t="b">
        <f>ISNUMBER(#REF!)</f>
        <v>0</v>
      </c>
      <c r="H64" s="943" t="b">
        <f>ISNUMBER(#REF!)</f>
        <v>0</v>
      </c>
      <c r="I64" s="943" t="b">
        <f>ISNUMBER(#REF!)</f>
        <v>0</v>
      </c>
      <c r="J64" s="943" t="b">
        <f>ISNUMBER(#REF!)</f>
        <v>0</v>
      </c>
      <c r="K64" s="943" t="b">
        <f>ISNUMBER(#REF!)</f>
        <v>0</v>
      </c>
      <c r="L64" s="943" t="b">
        <f>ISNUMBER(#REF!)</f>
        <v>0</v>
      </c>
      <c r="M64" s="943" t="b">
        <f>ISNUMBER(#REF!)</f>
        <v>0</v>
      </c>
      <c r="N64" s="943" t="b">
        <f>ISNUMBER(#REF!)</f>
        <v>0</v>
      </c>
      <c r="O64" s="943" t="b">
        <f t="shared" si="4"/>
        <v>1</v>
      </c>
      <c r="P64" s="943" t="b">
        <f>ISNUMBER(#REF!)</f>
        <v>0</v>
      </c>
      <c r="Q64" s="951" t="str">
        <f t="shared" si="5"/>
        <v/>
      </c>
    </row>
    <row r="65" spans="1:17">
      <c r="A65" s="972">
        <f t="shared" si="3"/>
        <v>45006.125</v>
      </c>
      <c r="B65" s="355" t="s">
        <v>917</v>
      </c>
      <c r="C65" s="950">
        <f t="shared" si="6"/>
        <v>0</v>
      </c>
      <c r="E65" s="943" t="b">
        <f>ISNUMBER(#REF!)</f>
        <v>0</v>
      </c>
      <c r="F65" s="943" t="b">
        <f>ISNUMBER(#REF!)</f>
        <v>0</v>
      </c>
      <c r="G65" s="943" t="b">
        <f>ISNUMBER(#REF!)</f>
        <v>0</v>
      </c>
      <c r="H65" s="943" t="b">
        <f>ISNUMBER(#REF!)</f>
        <v>0</v>
      </c>
      <c r="I65" s="943" t="b">
        <f>ISNUMBER(#REF!)</f>
        <v>0</v>
      </c>
      <c r="J65" s="943" t="b">
        <f>ISNUMBER(#REF!)</f>
        <v>0</v>
      </c>
      <c r="K65" s="943" t="b">
        <f>ISNUMBER(#REF!)</f>
        <v>0</v>
      </c>
      <c r="L65" s="943" t="b">
        <f>ISNUMBER(#REF!)</f>
        <v>0</v>
      </c>
      <c r="M65" s="943" t="b">
        <f>ISNUMBER(#REF!)</f>
        <v>0</v>
      </c>
      <c r="N65" s="943" t="b">
        <f>ISNUMBER(#REF!)</f>
        <v>0</v>
      </c>
      <c r="O65" s="943" t="b">
        <f t="shared" si="4"/>
        <v>1</v>
      </c>
      <c r="P65" s="943" t="b">
        <f>ISNUMBER(#REF!)</f>
        <v>0</v>
      </c>
      <c r="Q65" s="951" t="str">
        <f t="shared" si="5"/>
        <v/>
      </c>
    </row>
    <row r="66" spans="1:17">
      <c r="A66" s="972">
        <f t="shared" si="3"/>
        <v>45006.125</v>
      </c>
      <c r="B66" s="355" t="s">
        <v>918</v>
      </c>
      <c r="C66" s="950">
        <f t="shared" si="6"/>
        <v>0</v>
      </c>
      <c r="E66" s="943" t="b">
        <f>ISNUMBER(#REF!)</f>
        <v>0</v>
      </c>
      <c r="F66" s="943" t="b">
        <f>ISNUMBER(#REF!)</f>
        <v>0</v>
      </c>
      <c r="G66" s="943" t="b">
        <f>ISNUMBER(#REF!)</f>
        <v>0</v>
      </c>
      <c r="H66" s="943" t="b">
        <f>ISNUMBER(#REF!)</f>
        <v>0</v>
      </c>
      <c r="I66" s="943" t="b">
        <f>ISNUMBER(#REF!)</f>
        <v>0</v>
      </c>
      <c r="J66" s="943" t="b">
        <f>ISNUMBER(#REF!)</f>
        <v>0</v>
      </c>
      <c r="K66" s="943" t="b">
        <f>ISNUMBER(#REF!)</f>
        <v>0</v>
      </c>
      <c r="L66" s="943" t="b">
        <f>ISNUMBER(#REF!)</f>
        <v>0</v>
      </c>
      <c r="M66" s="943" t="b">
        <f>ISNUMBER(#REF!)</f>
        <v>0</v>
      </c>
      <c r="N66" s="943" t="b">
        <f>ISNUMBER(#REF!)</f>
        <v>0</v>
      </c>
      <c r="O66" s="943" t="b">
        <f t="shared" si="4"/>
        <v>1</v>
      </c>
      <c r="P66" s="943" t="b">
        <f>ISNUMBER(#REF!)</f>
        <v>0</v>
      </c>
      <c r="Q66" s="951" t="str">
        <f t="shared" si="5"/>
        <v/>
      </c>
    </row>
    <row r="67" spans="1:17">
      <c r="A67" s="972">
        <f t="shared" si="3"/>
        <v>45006.125</v>
      </c>
      <c r="B67" s="355" t="s">
        <v>919</v>
      </c>
      <c r="C67" s="950">
        <f t="shared" si="6"/>
        <v>0</v>
      </c>
      <c r="E67" s="943" t="b">
        <f>ISNUMBER(#REF!)</f>
        <v>0</v>
      </c>
      <c r="F67" s="943" t="b">
        <f>ISNUMBER(#REF!)</f>
        <v>0</v>
      </c>
      <c r="G67" s="943" t="b">
        <f>ISNUMBER(#REF!)</f>
        <v>0</v>
      </c>
      <c r="H67" s="943" t="b">
        <f>ISNUMBER(#REF!)</f>
        <v>0</v>
      </c>
      <c r="I67" s="943" t="b">
        <f>ISNUMBER(#REF!)</f>
        <v>0</v>
      </c>
      <c r="J67" s="943" t="b">
        <f>ISNUMBER(#REF!)</f>
        <v>0</v>
      </c>
      <c r="K67" s="943" t="b">
        <f>ISNUMBER(#REF!)</f>
        <v>0</v>
      </c>
      <c r="L67" s="943" t="b">
        <f>ISNUMBER(#REF!)</f>
        <v>0</v>
      </c>
      <c r="M67" s="943" t="b">
        <f>ISNUMBER(#REF!)</f>
        <v>0</v>
      </c>
      <c r="N67" s="943" t="b">
        <f>ISNUMBER(#REF!)</f>
        <v>0</v>
      </c>
      <c r="O67" s="943" t="b">
        <f t="shared" si="4"/>
        <v>1</v>
      </c>
      <c r="P67" s="943" t="b">
        <f>ISNUMBER(#REF!)</f>
        <v>0</v>
      </c>
      <c r="Q67" s="951" t="str">
        <f t="shared" si="5"/>
        <v/>
      </c>
    </row>
    <row r="68" spans="1:17">
      <c r="A68" s="972">
        <f t="shared" si="3"/>
        <v>45006.125</v>
      </c>
      <c r="B68" s="355" t="s">
        <v>920</v>
      </c>
      <c r="C68" s="950">
        <f t="shared" si="6"/>
        <v>0</v>
      </c>
      <c r="E68" s="943" t="b">
        <f>ISNUMBER(#REF!)</f>
        <v>0</v>
      </c>
      <c r="F68" s="943" t="b">
        <f>ISNUMBER(#REF!)</f>
        <v>0</v>
      </c>
      <c r="G68" s="943" t="b">
        <f>ISNUMBER(#REF!)</f>
        <v>0</v>
      </c>
      <c r="H68" s="943" t="b">
        <f>ISNUMBER(#REF!)</f>
        <v>0</v>
      </c>
      <c r="I68" s="943" t="b">
        <f>ISNUMBER(#REF!)</f>
        <v>0</v>
      </c>
      <c r="J68" s="943" t="b">
        <f>ISNUMBER(#REF!)</f>
        <v>0</v>
      </c>
      <c r="K68" s="943" t="b">
        <f>ISNUMBER(#REF!)</f>
        <v>0</v>
      </c>
      <c r="L68" s="943" t="b">
        <f>ISNUMBER(#REF!)</f>
        <v>0</v>
      </c>
      <c r="M68" s="943" t="b">
        <f>ISNUMBER(#REF!)</f>
        <v>0</v>
      </c>
      <c r="N68" s="943" t="b">
        <f>ISNUMBER(#REF!)</f>
        <v>0</v>
      </c>
      <c r="O68" s="943" t="b">
        <f t="shared" ref="O68:O69" si="7">ISNUMBER(C68)</f>
        <v>1</v>
      </c>
      <c r="P68" s="943" t="b">
        <f>ISNUMBER(#REF!)</f>
        <v>0</v>
      </c>
      <c r="Q68" s="951" t="str">
        <f t="shared" ref="Q68:Q69" si="8">IF(O68=TRUE,"",1)</f>
        <v/>
      </c>
    </row>
    <row r="69" spans="1:17">
      <c r="A69" s="972">
        <f t="shared" si="3"/>
        <v>45006.125</v>
      </c>
      <c r="B69" s="355" t="s">
        <v>921</v>
      </c>
      <c r="C69" s="950">
        <f t="shared" si="6"/>
        <v>0</v>
      </c>
      <c r="E69" s="943" t="b">
        <f>ISNUMBER(#REF!)</f>
        <v>0</v>
      </c>
      <c r="F69" s="943" t="b">
        <f>ISNUMBER(#REF!)</f>
        <v>0</v>
      </c>
      <c r="G69" s="943" t="b">
        <f>ISNUMBER(#REF!)</f>
        <v>0</v>
      </c>
      <c r="H69" s="943" t="b">
        <f>ISNUMBER(#REF!)</f>
        <v>0</v>
      </c>
      <c r="I69" s="943" t="b">
        <f>ISNUMBER(#REF!)</f>
        <v>0</v>
      </c>
      <c r="J69" s="943" t="b">
        <f>ISNUMBER(#REF!)</f>
        <v>0</v>
      </c>
      <c r="K69" s="943" t="b">
        <f>ISNUMBER(#REF!)</f>
        <v>0</v>
      </c>
      <c r="L69" s="943" t="b">
        <f>ISNUMBER(#REF!)</f>
        <v>0</v>
      </c>
      <c r="M69" s="943" t="b">
        <f>ISNUMBER(#REF!)</f>
        <v>0</v>
      </c>
      <c r="N69" s="943" t="b">
        <f>ISNUMBER(#REF!)</f>
        <v>0</v>
      </c>
      <c r="O69" s="943" t="b">
        <f t="shared" si="7"/>
        <v>1</v>
      </c>
      <c r="P69" s="943" t="b">
        <f>ISNUMBER(#REF!)</f>
        <v>0</v>
      </c>
      <c r="Q69" s="951" t="str">
        <f t="shared" si="8"/>
        <v/>
      </c>
    </row>
  </sheetData>
  <phoneticPr fontId="6"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tabColor theme="8" tint="0.39997558519241921"/>
  </sheetPr>
  <dimension ref="A1:Q28"/>
  <sheetViews>
    <sheetView zoomScale="70" zoomScaleNormal="70" workbookViewId="0"/>
  </sheetViews>
  <sheetFormatPr defaultRowHeight="19.5"/>
  <cols>
    <col min="1" max="1" width="24.5" style="967" customWidth="1"/>
    <col min="2" max="2" width="23" style="957" customWidth="1"/>
    <col min="3" max="3" width="20.125" style="958" customWidth="1"/>
    <col min="4" max="4" width="9" style="943"/>
    <col min="5" max="16" width="9" style="943" hidden="1" customWidth="1"/>
    <col min="17" max="16384" width="9" style="943"/>
  </cols>
  <sheetData>
    <row r="1" spans="1:17" ht="71.45" customHeight="1">
      <c r="A1" s="963" t="s">
        <v>351</v>
      </c>
      <c r="B1" s="941"/>
      <c r="C1" s="942"/>
    </row>
    <row r="2" spans="1:17" s="946" customFormat="1" ht="18.75">
      <c r="A2" s="966" t="s">
        <v>352</v>
      </c>
      <c r="B2" s="944" t="s">
        <v>353</v>
      </c>
      <c r="C2" s="945" t="s">
        <v>373</v>
      </c>
      <c r="E2" s="947">
        <v>1</v>
      </c>
      <c r="F2" s="947" t="s">
        <v>876</v>
      </c>
      <c r="G2" s="947">
        <v>2</v>
      </c>
      <c r="H2" s="947" t="s">
        <v>876</v>
      </c>
      <c r="I2" s="947">
        <v>3</v>
      </c>
      <c r="J2" s="947" t="s">
        <v>876</v>
      </c>
      <c r="K2" s="947">
        <v>4</v>
      </c>
      <c r="L2" s="947" t="s">
        <v>876</v>
      </c>
      <c r="M2" s="947">
        <v>5</v>
      </c>
      <c r="N2" s="947" t="s">
        <v>876</v>
      </c>
      <c r="O2" s="947">
        <v>6</v>
      </c>
      <c r="P2" s="947" t="s">
        <v>876</v>
      </c>
      <c r="Q2" s="948">
        <v>6</v>
      </c>
    </row>
    <row r="3" spans="1:17" s="946" customFormat="1" ht="18.75">
      <c r="A3" s="966" t="s">
        <v>376</v>
      </c>
      <c r="B3" s="944" t="s">
        <v>377</v>
      </c>
      <c r="C3" s="945" t="s">
        <v>388</v>
      </c>
      <c r="Q3" s="960"/>
    </row>
    <row r="4" spans="1:17" ht="24" customHeight="1">
      <c r="A4" s="971">
        <f>MENU!Y27</f>
        <v>45006.208333333336</v>
      </c>
      <c r="B4" s="355" t="s">
        <v>268</v>
      </c>
      <c r="C4" s="950"/>
      <c r="E4" s="943" t="b">
        <f>ISNUMBER(#REF!)</f>
        <v>0</v>
      </c>
      <c r="F4" s="943" t="b">
        <f>ISNUMBER(#REF!)</f>
        <v>0</v>
      </c>
      <c r="G4" s="943" t="b">
        <f>ISNUMBER(#REF!)</f>
        <v>0</v>
      </c>
      <c r="H4" s="943" t="b">
        <f>ISNUMBER(#REF!)</f>
        <v>0</v>
      </c>
      <c r="I4" s="943" t="b">
        <f>ISNUMBER(#REF!)</f>
        <v>0</v>
      </c>
      <c r="J4" s="943" t="b">
        <f>ISNUMBER(#REF!)</f>
        <v>0</v>
      </c>
      <c r="K4" s="943" t="b">
        <f>ISNUMBER(#REF!)</f>
        <v>0</v>
      </c>
      <c r="L4" s="943" t="b">
        <f>ISNUMBER(#REF!)</f>
        <v>0</v>
      </c>
      <c r="M4" s="943" t="b">
        <f>ISNUMBER(#REF!)</f>
        <v>0</v>
      </c>
      <c r="N4" s="943" t="b">
        <f>ISNUMBER(#REF!)</f>
        <v>0</v>
      </c>
      <c r="O4" s="943" t="b">
        <f t="shared" ref="O4" si="0">ISNUMBER(C4)</f>
        <v>0</v>
      </c>
      <c r="P4" s="943" t="b">
        <f>ISNUMBER(#REF!)</f>
        <v>0</v>
      </c>
      <c r="Q4" s="951">
        <f t="shared" ref="Q4" si="1">IF(O4=TRUE,"",1)</f>
        <v>1</v>
      </c>
    </row>
    <row r="5" spans="1:17" s="954" customFormat="1" ht="24" customHeight="1">
      <c r="A5" s="980">
        <f t="shared" ref="A5:A28" si="2">IF(B5="","",$A$4)</f>
        <v>45006.208333333336</v>
      </c>
      <c r="B5" s="876" t="s">
        <v>459</v>
      </c>
      <c r="C5" s="953">
        <f t="shared" ref="C5:C28" si="3">IFERROR(VLOOKUP($B5,RLMLXD,38,0),"")</f>
        <v>0</v>
      </c>
      <c r="E5" s="954" t="b">
        <f>ISNUMBER(#REF!)</f>
        <v>0</v>
      </c>
      <c r="F5" s="954" t="b">
        <f>ISNUMBER(#REF!)</f>
        <v>0</v>
      </c>
      <c r="G5" s="954" t="b">
        <f>ISNUMBER(#REF!)</f>
        <v>0</v>
      </c>
      <c r="H5" s="954" t="b">
        <f>ISNUMBER(#REF!)</f>
        <v>0</v>
      </c>
      <c r="I5" s="954" t="b">
        <f>ISNUMBER(#REF!)</f>
        <v>0</v>
      </c>
      <c r="J5" s="954" t="b">
        <f>ISNUMBER(#REF!)</f>
        <v>0</v>
      </c>
      <c r="K5" s="954" t="b">
        <f>ISNUMBER(#REF!)</f>
        <v>0</v>
      </c>
      <c r="L5" s="954" t="b">
        <f>ISNUMBER(#REF!)</f>
        <v>0</v>
      </c>
      <c r="M5" s="954" t="b">
        <f>ISNUMBER(#REF!)</f>
        <v>0</v>
      </c>
      <c r="N5" s="954" t="b">
        <f>ISNUMBER(#REF!)</f>
        <v>0</v>
      </c>
      <c r="O5" s="954" t="b">
        <f t="shared" ref="O5:O26" si="4">ISNUMBER(C5)</f>
        <v>1</v>
      </c>
      <c r="P5" s="954" t="b">
        <f>ISNUMBER(#REF!)</f>
        <v>0</v>
      </c>
      <c r="Q5" s="952" t="str">
        <f t="shared" ref="Q5:Q26" si="5">IF(O5=TRUE,"",1)</f>
        <v/>
      </c>
    </row>
    <row r="6" spans="1:17" ht="24" customHeight="1">
      <c r="A6" s="972">
        <f t="shared" si="2"/>
        <v>45006.208333333336</v>
      </c>
      <c r="B6" s="355" t="s">
        <v>463</v>
      </c>
      <c r="C6" s="950">
        <f t="shared" si="3"/>
        <v>0</v>
      </c>
      <c r="E6" s="943" t="b">
        <f>ISNUMBER(#REF!)</f>
        <v>0</v>
      </c>
      <c r="F6" s="943" t="b">
        <f>ISNUMBER(#REF!)</f>
        <v>0</v>
      </c>
      <c r="G6" s="943" t="b">
        <f>ISNUMBER(#REF!)</f>
        <v>0</v>
      </c>
      <c r="H6" s="943" t="b">
        <f>ISNUMBER(#REF!)</f>
        <v>0</v>
      </c>
      <c r="I6" s="943" t="b">
        <f>ISNUMBER(#REF!)</f>
        <v>0</v>
      </c>
      <c r="J6" s="943" t="b">
        <f>ISNUMBER(#REF!)</f>
        <v>0</v>
      </c>
      <c r="K6" s="943" t="b">
        <f>ISNUMBER(#REF!)</f>
        <v>0</v>
      </c>
      <c r="L6" s="943" t="b">
        <f>ISNUMBER(#REF!)</f>
        <v>0</v>
      </c>
      <c r="M6" s="943" t="b">
        <f>ISNUMBER(#REF!)</f>
        <v>0</v>
      </c>
      <c r="N6" s="943" t="b">
        <f>ISNUMBER(#REF!)</f>
        <v>0</v>
      </c>
      <c r="O6" s="943" t="b">
        <f t="shared" si="4"/>
        <v>1</v>
      </c>
      <c r="P6" s="943" t="b">
        <f>ISNUMBER(#REF!)</f>
        <v>0</v>
      </c>
      <c r="Q6" s="951" t="str">
        <f t="shared" si="5"/>
        <v/>
      </c>
    </row>
    <row r="7" spans="1:17" ht="24" customHeight="1">
      <c r="A7" s="972">
        <f t="shared" si="2"/>
        <v>45006.208333333336</v>
      </c>
      <c r="B7" s="355" t="s">
        <v>464</v>
      </c>
      <c r="C7" s="950">
        <f t="shared" si="3"/>
        <v>0</v>
      </c>
      <c r="E7" s="943" t="b">
        <f>ISNUMBER(#REF!)</f>
        <v>0</v>
      </c>
      <c r="F7" s="943" t="b">
        <f>ISNUMBER(#REF!)</f>
        <v>0</v>
      </c>
      <c r="G7" s="943" t="b">
        <f>ISNUMBER(#REF!)</f>
        <v>0</v>
      </c>
      <c r="H7" s="943" t="b">
        <f>ISNUMBER(#REF!)</f>
        <v>0</v>
      </c>
      <c r="I7" s="943" t="b">
        <f>ISNUMBER(#REF!)</f>
        <v>0</v>
      </c>
      <c r="J7" s="943" t="b">
        <f>ISNUMBER(#REF!)</f>
        <v>0</v>
      </c>
      <c r="K7" s="943" t="b">
        <f>ISNUMBER(#REF!)</f>
        <v>0</v>
      </c>
      <c r="L7" s="943" t="b">
        <f>ISNUMBER(#REF!)</f>
        <v>0</v>
      </c>
      <c r="M7" s="943" t="b">
        <f>ISNUMBER(#REF!)</f>
        <v>0</v>
      </c>
      <c r="N7" s="943" t="b">
        <f>ISNUMBER(#REF!)</f>
        <v>0</v>
      </c>
      <c r="O7" s="943" t="b">
        <f t="shared" si="4"/>
        <v>1</v>
      </c>
      <c r="P7" s="943" t="b">
        <f>ISNUMBER(#REF!)</f>
        <v>0</v>
      </c>
      <c r="Q7" s="951" t="str">
        <f t="shared" si="5"/>
        <v/>
      </c>
    </row>
    <row r="8" spans="1:17" ht="24" customHeight="1">
      <c r="A8" s="972">
        <f t="shared" si="2"/>
        <v>45006.208333333336</v>
      </c>
      <c r="B8" s="355" t="s">
        <v>467</v>
      </c>
      <c r="C8" s="950">
        <f t="shared" si="3"/>
        <v>0</v>
      </c>
      <c r="E8" s="943" t="b">
        <f>ISNUMBER(#REF!)</f>
        <v>0</v>
      </c>
      <c r="F8" s="943" t="b">
        <f>ISNUMBER(#REF!)</f>
        <v>0</v>
      </c>
      <c r="G8" s="943" t="b">
        <f>ISNUMBER(#REF!)</f>
        <v>0</v>
      </c>
      <c r="H8" s="943" t="b">
        <f>ISNUMBER(#REF!)</f>
        <v>0</v>
      </c>
      <c r="I8" s="943" t="b">
        <f>ISNUMBER(#REF!)</f>
        <v>0</v>
      </c>
      <c r="J8" s="943" t="b">
        <f>ISNUMBER(#REF!)</f>
        <v>0</v>
      </c>
      <c r="K8" s="943" t="b">
        <f>ISNUMBER(#REF!)</f>
        <v>0</v>
      </c>
      <c r="L8" s="943" t="b">
        <f>ISNUMBER(#REF!)</f>
        <v>0</v>
      </c>
      <c r="M8" s="943" t="b">
        <f>ISNUMBER(#REF!)</f>
        <v>0</v>
      </c>
      <c r="N8" s="943" t="b">
        <f>ISNUMBER(#REF!)</f>
        <v>0</v>
      </c>
      <c r="O8" s="943" t="b">
        <f t="shared" si="4"/>
        <v>1</v>
      </c>
      <c r="P8" s="943" t="b">
        <f>ISNUMBER(#REF!)</f>
        <v>0</v>
      </c>
      <c r="Q8" s="951" t="str">
        <f t="shared" si="5"/>
        <v/>
      </c>
    </row>
    <row r="9" spans="1:17" ht="24" customHeight="1">
      <c r="A9" s="972">
        <f t="shared" si="2"/>
        <v>45006.208333333336</v>
      </c>
      <c r="B9" s="355" t="s">
        <v>468</v>
      </c>
      <c r="C9" s="950">
        <f t="shared" si="3"/>
        <v>0</v>
      </c>
      <c r="E9" s="943" t="b">
        <f>ISNUMBER(#REF!)</f>
        <v>0</v>
      </c>
      <c r="F9" s="943" t="b">
        <f>ISNUMBER(#REF!)</f>
        <v>0</v>
      </c>
      <c r="G9" s="943" t="b">
        <f>ISNUMBER(#REF!)</f>
        <v>0</v>
      </c>
      <c r="H9" s="943" t="b">
        <f>ISNUMBER(#REF!)</f>
        <v>0</v>
      </c>
      <c r="I9" s="943" t="b">
        <f>ISNUMBER(#REF!)</f>
        <v>0</v>
      </c>
      <c r="J9" s="943" t="b">
        <f>ISNUMBER(#REF!)</f>
        <v>0</v>
      </c>
      <c r="K9" s="943" t="b">
        <f>ISNUMBER(#REF!)</f>
        <v>0</v>
      </c>
      <c r="L9" s="943" t="b">
        <f>ISNUMBER(#REF!)</f>
        <v>0</v>
      </c>
      <c r="M9" s="943" t="b">
        <f>ISNUMBER(#REF!)</f>
        <v>0</v>
      </c>
      <c r="N9" s="943" t="b">
        <f>ISNUMBER(#REF!)</f>
        <v>0</v>
      </c>
      <c r="O9" s="943" t="b">
        <f t="shared" si="4"/>
        <v>1</v>
      </c>
      <c r="P9" s="943" t="b">
        <f>ISNUMBER(#REF!)</f>
        <v>0</v>
      </c>
      <c r="Q9" s="951" t="str">
        <f t="shared" si="5"/>
        <v/>
      </c>
    </row>
    <row r="10" spans="1:17" ht="24" customHeight="1">
      <c r="A10" s="972">
        <f t="shared" si="2"/>
        <v>45006.208333333336</v>
      </c>
      <c r="B10" s="355" t="s">
        <v>470</v>
      </c>
      <c r="C10" s="950">
        <f t="shared" si="3"/>
        <v>0</v>
      </c>
      <c r="E10" s="943" t="b">
        <f>ISNUMBER(#REF!)</f>
        <v>0</v>
      </c>
      <c r="F10" s="943" t="b">
        <f>ISNUMBER(#REF!)</f>
        <v>0</v>
      </c>
      <c r="G10" s="943" t="b">
        <f>ISNUMBER(#REF!)</f>
        <v>0</v>
      </c>
      <c r="H10" s="943" t="b">
        <f>ISNUMBER(#REF!)</f>
        <v>0</v>
      </c>
      <c r="I10" s="943" t="b">
        <f>ISNUMBER(#REF!)</f>
        <v>0</v>
      </c>
      <c r="J10" s="943" t="b">
        <f>ISNUMBER(#REF!)</f>
        <v>0</v>
      </c>
      <c r="K10" s="943" t="b">
        <f>ISNUMBER(#REF!)</f>
        <v>0</v>
      </c>
      <c r="L10" s="943" t="b">
        <f>ISNUMBER(#REF!)</f>
        <v>0</v>
      </c>
      <c r="M10" s="943" t="b">
        <f>ISNUMBER(#REF!)</f>
        <v>0</v>
      </c>
      <c r="N10" s="943" t="b">
        <f>ISNUMBER(#REF!)</f>
        <v>0</v>
      </c>
      <c r="O10" s="943" t="b">
        <f t="shared" si="4"/>
        <v>1</v>
      </c>
      <c r="P10" s="943" t="b">
        <f>ISNUMBER(#REF!)</f>
        <v>0</v>
      </c>
      <c r="Q10" s="951" t="str">
        <f t="shared" si="5"/>
        <v/>
      </c>
    </row>
    <row r="11" spans="1:17" ht="24" customHeight="1">
      <c r="A11" s="972">
        <f t="shared" si="2"/>
        <v>45006.208333333336</v>
      </c>
      <c r="B11" s="355" t="s">
        <v>472</v>
      </c>
      <c r="C11" s="950">
        <f t="shared" si="3"/>
        <v>0</v>
      </c>
      <c r="E11" s="943" t="b">
        <f>ISNUMBER(#REF!)</f>
        <v>0</v>
      </c>
      <c r="F11" s="943" t="b">
        <f>ISNUMBER(#REF!)</f>
        <v>0</v>
      </c>
      <c r="G11" s="943" t="b">
        <f>ISNUMBER(#REF!)</f>
        <v>0</v>
      </c>
      <c r="H11" s="943" t="b">
        <f>ISNUMBER(#REF!)</f>
        <v>0</v>
      </c>
      <c r="I11" s="943" t="b">
        <f>ISNUMBER(#REF!)</f>
        <v>0</v>
      </c>
      <c r="J11" s="943" t="b">
        <f>ISNUMBER(#REF!)</f>
        <v>0</v>
      </c>
      <c r="K11" s="943" t="b">
        <f>ISNUMBER(#REF!)</f>
        <v>0</v>
      </c>
      <c r="L11" s="943" t="b">
        <f>ISNUMBER(#REF!)</f>
        <v>0</v>
      </c>
      <c r="M11" s="943" t="b">
        <f>ISNUMBER(#REF!)</f>
        <v>0</v>
      </c>
      <c r="N11" s="943" t="b">
        <f>ISNUMBER(#REF!)</f>
        <v>0</v>
      </c>
      <c r="O11" s="943" t="b">
        <f t="shared" si="4"/>
        <v>1</v>
      </c>
      <c r="P11" s="943" t="b">
        <f>ISNUMBER(#REF!)</f>
        <v>0</v>
      </c>
      <c r="Q11" s="951" t="str">
        <f t="shared" si="5"/>
        <v/>
      </c>
    </row>
    <row r="12" spans="1:17" ht="24" customHeight="1">
      <c r="A12" s="972">
        <f t="shared" si="2"/>
        <v>45006.208333333336</v>
      </c>
      <c r="B12" s="355" t="s">
        <v>473</v>
      </c>
      <c r="C12" s="950">
        <f t="shared" si="3"/>
        <v>0</v>
      </c>
      <c r="E12" s="943" t="b">
        <f>ISNUMBER(#REF!)</f>
        <v>0</v>
      </c>
      <c r="F12" s="943" t="b">
        <f>ISNUMBER(#REF!)</f>
        <v>0</v>
      </c>
      <c r="G12" s="943" t="b">
        <f>ISNUMBER(#REF!)</f>
        <v>0</v>
      </c>
      <c r="H12" s="943" t="b">
        <f>ISNUMBER(#REF!)</f>
        <v>0</v>
      </c>
      <c r="I12" s="943" t="b">
        <f>ISNUMBER(#REF!)</f>
        <v>0</v>
      </c>
      <c r="J12" s="943" t="b">
        <f>ISNUMBER(#REF!)</f>
        <v>0</v>
      </c>
      <c r="K12" s="943" t="b">
        <f>ISNUMBER(#REF!)</f>
        <v>0</v>
      </c>
      <c r="L12" s="943" t="b">
        <f>ISNUMBER(#REF!)</f>
        <v>0</v>
      </c>
      <c r="M12" s="943" t="b">
        <f>ISNUMBER(#REF!)</f>
        <v>0</v>
      </c>
      <c r="N12" s="943" t="b">
        <f>ISNUMBER(#REF!)</f>
        <v>0</v>
      </c>
      <c r="O12" s="943" t="b">
        <f t="shared" si="4"/>
        <v>1</v>
      </c>
      <c r="P12" s="943" t="b">
        <f>ISNUMBER(#REF!)</f>
        <v>0</v>
      </c>
      <c r="Q12" s="951" t="str">
        <f t="shared" si="5"/>
        <v/>
      </c>
    </row>
    <row r="13" spans="1:17" ht="24" customHeight="1">
      <c r="A13" s="972">
        <f t="shared" si="2"/>
        <v>45006.208333333336</v>
      </c>
      <c r="B13" s="355" t="s">
        <v>474</v>
      </c>
      <c r="C13" s="950">
        <f t="shared" si="3"/>
        <v>0</v>
      </c>
      <c r="E13" s="943" t="b">
        <f>ISNUMBER(#REF!)</f>
        <v>0</v>
      </c>
      <c r="F13" s="943" t="b">
        <f>ISNUMBER(#REF!)</f>
        <v>0</v>
      </c>
      <c r="G13" s="943" t="b">
        <f>ISNUMBER(#REF!)</f>
        <v>0</v>
      </c>
      <c r="H13" s="943" t="b">
        <f>ISNUMBER(#REF!)</f>
        <v>0</v>
      </c>
      <c r="I13" s="943" t="b">
        <f>ISNUMBER(#REF!)</f>
        <v>0</v>
      </c>
      <c r="J13" s="943" t="b">
        <f>ISNUMBER(#REF!)</f>
        <v>0</v>
      </c>
      <c r="K13" s="943" t="b">
        <f>ISNUMBER(#REF!)</f>
        <v>0</v>
      </c>
      <c r="L13" s="943" t="b">
        <f>ISNUMBER(#REF!)</f>
        <v>0</v>
      </c>
      <c r="M13" s="943" t="b">
        <f>ISNUMBER(#REF!)</f>
        <v>0</v>
      </c>
      <c r="N13" s="943" t="b">
        <f>ISNUMBER(#REF!)</f>
        <v>0</v>
      </c>
      <c r="O13" s="943" t="b">
        <f t="shared" si="4"/>
        <v>1</v>
      </c>
      <c r="P13" s="943" t="b">
        <f>ISNUMBER(#REF!)</f>
        <v>0</v>
      </c>
      <c r="Q13" s="951" t="str">
        <f t="shared" si="5"/>
        <v/>
      </c>
    </row>
    <row r="14" spans="1:17" ht="24" customHeight="1">
      <c r="A14" s="972">
        <f t="shared" si="2"/>
        <v>45006.208333333336</v>
      </c>
      <c r="B14" s="355" t="s">
        <v>477</v>
      </c>
      <c r="C14" s="950">
        <f t="shared" si="3"/>
        <v>0</v>
      </c>
      <c r="E14" s="943" t="b">
        <f>ISNUMBER(#REF!)</f>
        <v>0</v>
      </c>
      <c r="F14" s="943" t="b">
        <f>ISNUMBER(#REF!)</f>
        <v>0</v>
      </c>
      <c r="G14" s="943" t="b">
        <f>ISNUMBER(#REF!)</f>
        <v>0</v>
      </c>
      <c r="H14" s="943" t="b">
        <f>ISNUMBER(#REF!)</f>
        <v>0</v>
      </c>
      <c r="I14" s="943" t="b">
        <f>ISNUMBER(#REF!)</f>
        <v>0</v>
      </c>
      <c r="J14" s="943" t="b">
        <f>ISNUMBER(#REF!)</f>
        <v>0</v>
      </c>
      <c r="K14" s="943" t="b">
        <f>ISNUMBER(#REF!)</f>
        <v>0</v>
      </c>
      <c r="L14" s="943" t="b">
        <f>ISNUMBER(#REF!)</f>
        <v>0</v>
      </c>
      <c r="M14" s="943" t="b">
        <f>ISNUMBER(#REF!)</f>
        <v>0</v>
      </c>
      <c r="N14" s="943" t="b">
        <f>ISNUMBER(#REF!)</f>
        <v>0</v>
      </c>
      <c r="O14" s="943" t="b">
        <f t="shared" si="4"/>
        <v>1</v>
      </c>
      <c r="P14" s="943" t="b">
        <f>ISNUMBER(#REF!)</f>
        <v>0</v>
      </c>
      <c r="Q14" s="951" t="str">
        <f t="shared" si="5"/>
        <v/>
      </c>
    </row>
    <row r="15" spans="1:17" ht="24" customHeight="1">
      <c r="A15" s="972">
        <f t="shared" si="2"/>
        <v>45006.208333333336</v>
      </c>
      <c r="B15" s="355" t="s">
        <v>982</v>
      </c>
      <c r="C15" s="950">
        <f t="shared" si="3"/>
        <v>0</v>
      </c>
      <c r="E15" s="943" t="b">
        <f>ISNUMBER(#REF!)</f>
        <v>0</v>
      </c>
      <c r="F15" s="943" t="b">
        <f>ISNUMBER(#REF!)</f>
        <v>0</v>
      </c>
      <c r="G15" s="943" t="b">
        <f>ISNUMBER(#REF!)</f>
        <v>0</v>
      </c>
      <c r="H15" s="943" t="b">
        <f>ISNUMBER(#REF!)</f>
        <v>0</v>
      </c>
      <c r="I15" s="943" t="b">
        <f>ISNUMBER(#REF!)</f>
        <v>0</v>
      </c>
      <c r="J15" s="943" t="b">
        <f>ISNUMBER(#REF!)</f>
        <v>0</v>
      </c>
      <c r="K15" s="943" t="b">
        <f>ISNUMBER(#REF!)</f>
        <v>0</v>
      </c>
      <c r="L15" s="943" t="b">
        <f>ISNUMBER(#REF!)</f>
        <v>0</v>
      </c>
      <c r="M15" s="943" t="b">
        <f>ISNUMBER(#REF!)</f>
        <v>0</v>
      </c>
      <c r="N15" s="943" t="b">
        <f>ISNUMBER(#REF!)</f>
        <v>0</v>
      </c>
      <c r="O15" s="943" t="b">
        <f t="shared" si="4"/>
        <v>1</v>
      </c>
      <c r="P15" s="943" t="b">
        <f>ISNUMBER(#REF!)</f>
        <v>0</v>
      </c>
      <c r="Q15" s="951" t="str">
        <f t="shared" si="5"/>
        <v/>
      </c>
    </row>
    <row r="16" spans="1:17" ht="24" customHeight="1">
      <c r="A16" s="972">
        <f t="shared" si="2"/>
        <v>45006.208333333336</v>
      </c>
      <c r="B16" s="355" t="s">
        <v>983</v>
      </c>
      <c r="C16" s="950">
        <f t="shared" si="3"/>
        <v>0</v>
      </c>
      <c r="E16" s="943" t="b">
        <f>ISNUMBER(#REF!)</f>
        <v>0</v>
      </c>
      <c r="F16" s="943" t="b">
        <f>ISNUMBER(#REF!)</f>
        <v>0</v>
      </c>
      <c r="G16" s="943" t="b">
        <f>ISNUMBER(#REF!)</f>
        <v>0</v>
      </c>
      <c r="H16" s="943" t="b">
        <f>ISNUMBER(#REF!)</f>
        <v>0</v>
      </c>
      <c r="I16" s="943" t="b">
        <f>ISNUMBER(#REF!)</f>
        <v>0</v>
      </c>
      <c r="J16" s="943" t="b">
        <f>ISNUMBER(#REF!)</f>
        <v>0</v>
      </c>
      <c r="K16" s="943" t="b">
        <f>ISNUMBER(#REF!)</f>
        <v>0</v>
      </c>
      <c r="L16" s="943" t="b">
        <f>ISNUMBER(#REF!)</f>
        <v>0</v>
      </c>
      <c r="M16" s="943" t="b">
        <f>ISNUMBER(#REF!)</f>
        <v>0</v>
      </c>
      <c r="N16" s="943" t="b">
        <f>ISNUMBER(#REF!)</f>
        <v>0</v>
      </c>
      <c r="O16" s="943" t="b">
        <f t="shared" si="4"/>
        <v>1</v>
      </c>
      <c r="P16" s="943" t="b">
        <f>ISNUMBER(#REF!)</f>
        <v>0</v>
      </c>
      <c r="Q16" s="951" t="str">
        <f t="shared" si="5"/>
        <v/>
      </c>
    </row>
    <row r="17" spans="1:17" ht="24" customHeight="1">
      <c r="A17" s="972">
        <f t="shared" si="2"/>
        <v>45006.208333333336</v>
      </c>
      <c r="B17" s="355" t="s">
        <v>987</v>
      </c>
      <c r="C17" s="950">
        <f t="shared" si="3"/>
        <v>0</v>
      </c>
      <c r="E17" s="943" t="b">
        <f>ISNUMBER(#REF!)</f>
        <v>0</v>
      </c>
      <c r="F17" s="943" t="b">
        <f>ISNUMBER(#REF!)</f>
        <v>0</v>
      </c>
      <c r="G17" s="943" t="b">
        <f>ISNUMBER(#REF!)</f>
        <v>0</v>
      </c>
      <c r="H17" s="943" t="b">
        <f>ISNUMBER(#REF!)</f>
        <v>0</v>
      </c>
      <c r="I17" s="943" t="b">
        <f>ISNUMBER(#REF!)</f>
        <v>0</v>
      </c>
      <c r="J17" s="943" t="b">
        <f>ISNUMBER(#REF!)</f>
        <v>0</v>
      </c>
      <c r="K17" s="943" t="b">
        <f>ISNUMBER(#REF!)</f>
        <v>0</v>
      </c>
      <c r="L17" s="943" t="b">
        <f>ISNUMBER(#REF!)</f>
        <v>0</v>
      </c>
      <c r="M17" s="943" t="b">
        <f>ISNUMBER(#REF!)</f>
        <v>0</v>
      </c>
      <c r="N17" s="943" t="b">
        <f>ISNUMBER(#REF!)</f>
        <v>0</v>
      </c>
      <c r="O17" s="943" t="b">
        <f t="shared" si="4"/>
        <v>1</v>
      </c>
      <c r="P17" s="943" t="b">
        <f>ISNUMBER(#REF!)</f>
        <v>0</v>
      </c>
      <c r="Q17" s="951" t="str">
        <f t="shared" si="5"/>
        <v/>
      </c>
    </row>
    <row r="18" spans="1:17" ht="24" customHeight="1">
      <c r="A18" s="972">
        <f t="shared" si="2"/>
        <v>45006.208333333336</v>
      </c>
      <c r="B18" s="355" t="s">
        <v>989</v>
      </c>
      <c r="C18" s="950">
        <f t="shared" si="3"/>
        <v>0</v>
      </c>
      <c r="E18" s="943" t="b">
        <f>ISNUMBER(#REF!)</f>
        <v>0</v>
      </c>
      <c r="F18" s="943" t="b">
        <f>ISNUMBER(#REF!)</f>
        <v>0</v>
      </c>
      <c r="G18" s="943" t="b">
        <f>ISNUMBER(#REF!)</f>
        <v>0</v>
      </c>
      <c r="H18" s="943" t="b">
        <f>ISNUMBER(#REF!)</f>
        <v>0</v>
      </c>
      <c r="I18" s="943" t="b">
        <f>ISNUMBER(#REF!)</f>
        <v>0</v>
      </c>
      <c r="J18" s="943" t="b">
        <f>ISNUMBER(#REF!)</f>
        <v>0</v>
      </c>
      <c r="K18" s="943" t="b">
        <f>ISNUMBER(#REF!)</f>
        <v>0</v>
      </c>
      <c r="L18" s="943" t="b">
        <f>ISNUMBER(#REF!)</f>
        <v>0</v>
      </c>
      <c r="M18" s="943" t="b">
        <f>ISNUMBER(#REF!)</f>
        <v>0</v>
      </c>
      <c r="N18" s="943" t="b">
        <f>ISNUMBER(#REF!)</f>
        <v>0</v>
      </c>
      <c r="O18" s="943" t="b">
        <f t="shared" si="4"/>
        <v>1</v>
      </c>
      <c r="P18" s="943" t="b">
        <f>ISNUMBER(#REF!)</f>
        <v>0</v>
      </c>
      <c r="Q18" s="951" t="str">
        <f t="shared" si="5"/>
        <v/>
      </c>
    </row>
    <row r="19" spans="1:17" ht="24" customHeight="1">
      <c r="A19" s="972">
        <f t="shared" si="2"/>
        <v>45006.208333333336</v>
      </c>
      <c r="B19" s="355" t="s">
        <v>990</v>
      </c>
      <c r="C19" s="950">
        <f t="shared" si="3"/>
        <v>0</v>
      </c>
      <c r="E19" s="943" t="b">
        <f>ISNUMBER(#REF!)</f>
        <v>0</v>
      </c>
      <c r="F19" s="943" t="b">
        <f>ISNUMBER(#REF!)</f>
        <v>0</v>
      </c>
      <c r="G19" s="943" t="b">
        <f>ISNUMBER(#REF!)</f>
        <v>0</v>
      </c>
      <c r="H19" s="943" t="b">
        <f>ISNUMBER(#REF!)</f>
        <v>0</v>
      </c>
      <c r="I19" s="943" t="b">
        <f>ISNUMBER(#REF!)</f>
        <v>0</v>
      </c>
      <c r="J19" s="943" t="b">
        <f>ISNUMBER(#REF!)</f>
        <v>0</v>
      </c>
      <c r="K19" s="943" t="b">
        <f>ISNUMBER(#REF!)</f>
        <v>0</v>
      </c>
      <c r="L19" s="943" t="b">
        <f>ISNUMBER(#REF!)</f>
        <v>0</v>
      </c>
      <c r="M19" s="943" t="b">
        <f>ISNUMBER(#REF!)</f>
        <v>0</v>
      </c>
      <c r="N19" s="943" t="b">
        <f>ISNUMBER(#REF!)</f>
        <v>0</v>
      </c>
      <c r="O19" s="943" t="b">
        <f t="shared" si="4"/>
        <v>1</v>
      </c>
      <c r="P19" s="943" t="b">
        <f>ISNUMBER(#REF!)</f>
        <v>0</v>
      </c>
      <c r="Q19" s="951" t="str">
        <f t="shared" si="5"/>
        <v/>
      </c>
    </row>
    <row r="20" spans="1:17" ht="24" customHeight="1">
      <c r="A20" s="972">
        <f t="shared" si="2"/>
        <v>45006.208333333336</v>
      </c>
      <c r="B20" s="355" t="s">
        <v>985</v>
      </c>
      <c r="C20" s="950">
        <f t="shared" si="3"/>
        <v>0</v>
      </c>
      <c r="E20" s="943" t="b">
        <f>ISNUMBER(#REF!)</f>
        <v>0</v>
      </c>
      <c r="F20" s="943" t="b">
        <f>ISNUMBER(#REF!)</f>
        <v>0</v>
      </c>
      <c r="G20" s="943" t="b">
        <f>ISNUMBER(#REF!)</f>
        <v>0</v>
      </c>
      <c r="H20" s="943" t="b">
        <f>ISNUMBER(#REF!)</f>
        <v>0</v>
      </c>
      <c r="I20" s="943" t="b">
        <f>ISNUMBER(#REF!)</f>
        <v>0</v>
      </c>
      <c r="J20" s="943" t="b">
        <f>ISNUMBER(#REF!)</f>
        <v>0</v>
      </c>
      <c r="K20" s="943" t="b">
        <f>ISNUMBER(#REF!)</f>
        <v>0</v>
      </c>
      <c r="L20" s="943" t="b">
        <f>ISNUMBER(#REF!)</f>
        <v>0</v>
      </c>
      <c r="M20" s="943" t="b">
        <f>ISNUMBER(#REF!)</f>
        <v>0</v>
      </c>
      <c r="N20" s="943" t="b">
        <f>ISNUMBER(#REF!)</f>
        <v>0</v>
      </c>
      <c r="O20" s="943" t="b">
        <f t="shared" si="4"/>
        <v>1</v>
      </c>
      <c r="P20" s="943" t="b">
        <f>ISNUMBER(#REF!)</f>
        <v>0</v>
      </c>
      <c r="Q20" s="951" t="str">
        <f t="shared" si="5"/>
        <v/>
      </c>
    </row>
    <row r="21" spans="1:17" ht="24" customHeight="1">
      <c r="A21" s="972">
        <f t="shared" si="2"/>
        <v>45006.208333333336</v>
      </c>
      <c r="B21" s="355" t="s">
        <v>986</v>
      </c>
      <c r="C21" s="950">
        <f t="shared" si="3"/>
        <v>0</v>
      </c>
      <c r="E21" s="943" t="b">
        <f>ISNUMBER(#REF!)</f>
        <v>0</v>
      </c>
      <c r="F21" s="943" t="b">
        <f>ISNUMBER(#REF!)</f>
        <v>0</v>
      </c>
      <c r="G21" s="943" t="b">
        <f>ISNUMBER(#REF!)</f>
        <v>0</v>
      </c>
      <c r="H21" s="943" t="b">
        <f>ISNUMBER(#REF!)</f>
        <v>0</v>
      </c>
      <c r="I21" s="943" t="b">
        <f>ISNUMBER(#REF!)</f>
        <v>0</v>
      </c>
      <c r="J21" s="943" t="b">
        <f>ISNUMBER(#REF!)</f>
        <v>0</v>
      </c>
      <c r="K21" s="943" t="b">
        <f>ISNUMBER(#REF!)</f>
        <v>0</v>
      </c>
      <c r="L21" s="943" t="b">
        <f>ISNUMBER(#REF!)</f>
        <v>0</v>
      </c>
      <c r="M21" s="943" t="b">
        <f>ISNUMBER(#REF!)</f>
        <v>0</v>
      </c>
      <c r="N21" s="943" t="b">
        <f>ISNUMBER(#REF!)</f>
        <v>0</v>
      </c>
      <c r="O21" s="943" t="b">
        <f t="shared" si="4"/>
        <v>1</v>
      </c>
      <c r="P21" s="943" t="b">
        <f>ISNUMBER(#REF!)</f>
        <v>0</v>
      </c>
      <c r="Q21" s="951" t="str">
        <f t="shared" si="5"/>
        <v/>
      </c>
    </row>
    <row r="22" spans="1:17" ht="24" customHeight="1">
      <c r="A22" s="972">
        <f t="shared" si="2"/>
        <v>45006.208333333336</v>
      </c>
      <c r="B22" s="355" t="s">
        <v>916</v>
      </c>
      <c r="C22" s="950">
        <f t="shared" si="3"/>
        <v>0</v>
      </c>
      <c r="E22" s="943" t="b">
        <f>ISNUMBER(#REF!)</f>
        <v>0</v>
      </c>
      <c r="F22" s="943" t="b">
        <f>ISNUMBER(#REF!)</f>
        <v>0</v>
      </c>
      <c r="G22" s="943" t="b">
        <f>ISNUMBER(#REF!)</f>
        <v>0</v>
      </c>
      <c r="H22" s="943" t="b">
        <f>ISNUMBER(#REF!)</f>
        <v>0</v>
      </c>
      <c r="I22" s="943" t="b">
        <f>ISNUMBER(#REF!)</f>
        <v>0</v>
      </c>
      <c r="J22" s="943" t="b">
        <f>ISNUMBER(#REF!)</f>
        <v>0</v>
      </c>
      <c r="K22" s="943" t="b">
        <f>ISNUMBER(#REF!)</f>
        <v>0</v>
      </c>
      <c r="L22" s="943" t="b">
        <f>ISNUMBER(#REF!)</f>
        <v>0</v>
      </c>
      <c r="M22" s="943" t="b">
        <f>ISNUMBER(#REF!)</f>
        <v>0</v>
      </c>
      <c r="N22" s="943" t="b">
        <f>ISNUMBER(#REF!)</f>
        <v>0</v>
      </c>
      <c r="O22" s="943" t="b">
        <f t="shared" si="4"/>
        <v>1</v>
      </c>
      <c r="P22" s="943" t="b">
        <f>ISNUMBER(#REF!)</f>
        <v>0</v>
      </c>
      <c r="Q22" s="951" t="str">
        <f t="shared" si="5"/>
        <v/>
      </c>
    </row>
    <row r="23" spans="1:17" ht="24" customHeight="1">
      <c r="A23" s="972">
        <f t="shared" si="2"/>
        <v>45006.208333333336</v>
      </c>
      <c r="B23" s="355" t="s">
        <v>915</v>
      </c>
      <c r="C23" s="950">
        <f t="shared" si="3"/>
        <v>0</v>
      </c>
      <c r="E23" s="943" t="b">
        <f>ISNUMBER(#REF!)</f>
        <v>0</v>
      </c>
      <c r="F23" s="943" t="b">
        <f>ISNUMBER(#REF!)</f>
        <v>0</v>
      </c>
      <c r="G23" s="943" t="b">
        <f>ISNUMBER(#REF!)</f>
        <v>0</v>
      </c>
      <c r="H23" s="943" t="b">
        <f>ISNUMBER(#REF!)</f>
        <v>0</v>
      </c>
      <c r="I23" s="943" t="b">
        <f>ISNUMBER(#REF!)</f>
        <v>0</v>
      </c>
      <c r="J23" s="943" t="b">
        <f>ISNUMBER(#REF!)</f>
        <v>0</v>
      </c>
      <c r="K23" s="943" t="b">
        <f>ISNUMBER(#REF!)</f>
        <v>0</v>
      </c>
      <c r="L23" s="943" t="b">
        <f>ISNUMBER(#REF!)</f>
        <v>0</v>
      </c>
      <c r="M23" s="943" t="b">
        <f>ISNUMBER(#REF!)</f>
        <v>0</v>
      </c>
      <c r="N23" s="943" t="b">
        <f>ISNUMBER(#REF!)</f>
        <v>0</v>
      </c>
      <c r="O23" s="943" t="b">
        <f t="shared" si="4"/>
        <v>1</v>
      </c>
      <c r="P23" s="943" t="b">
        <f>ISNUMBER(#REF!)</f>
        <v>0</v>
      </c>
      <c r="Q23" s="951" t="str">
        <f t="shared" si="5"/>
        <v/>
      </c>
    </row>
    <row r="24" spans="1:17" ht="24" customHeight="1">
      <c r="A24" s="972">
        <f t="shared" si="2"/>
        <v>45006.208333333336</v>
      </c>
      <c r="B24" s="355" t="s">
        <v>917</v>
      </c>
      <c r="C24" s="950">
        <f t="shared" si="3"/>
        <v>0</v>
      </c>
      <c r="E24" s="943" t="b">
        <f>ISNUMBER(#REF!)</f>
        <v>0</v>
      </c>
      <c r="F24" s="943" t="b">
        <f>ISNUMBER(#REF!)</f>
        <v>0</v>
      </c>
      <c r="G24" s="943" t="b">
        <f>ISNUMBER(#REF!)</f>
        <v>0</v>
      </c>
      <c r="H24" s="943" t="b">
        <f>ISNUMBER(#REF!)</f>
        <v>0</v>
      </c>
      <c r="I24" s="943" t="b">
        <f>ISNUMBER(#REF!)</f>
        <v>0</v>
      </c>
      <c r="J24" s="943" t="b">
        <f>ISNUMBER(#REF!)</f>
        <v>0</v>
      </c>
      <c r="K24" s="943" t="b">
        <f>ISNUMBER(#REF!)</f>
        <v>0</v>
      </c>
      <c r="L24" s="943" t="b">
        <f>ISNUMBER(#REF!)</f>
        <v>0</v>
      </c>
      <c r="M24" s="943" t="b">
        <f>ISNUMBER(#REF!)</f>
        <v>0</v>
      </c>
      <c r="N24" s="943" t="b">
        <f>ISNUMBER(#REF!)</f>
        <v>0</v>
      </c>
      <c r="O24" s="943" t="b">
        <f t="shared" si="4"/>
        <v>1</v>
      </c>
      <c r="P24" s="943" t="b">
        <f>ISNUMBER(#REF!)</f>
        <v>0</v>
      </c>
      <c r="Q24" s="951" t="str">
        <f t="shared" si="5"/>
        <v/>
      </c>
    </row>
    <row r="25" spans="1:17" ht="24" customHeight="1">
      <c r="A25" s="972">
        <f t="shared" si="2"/>
        <v>45006.208333333336</v>
      </c>
      <c r="B25" s="355" t="s">
        <v>918</v>
      </c>
      <c r="C25" s="950">
        <f t="shared" si="3"/>
        <v>0</v>
      </c>
      <c r="E25" s="943" t="b">
        <f>ISNUMBER(#REF!)</f>
        <v>0</v>
      </c>
      <c r="F25" s="943" t="b">
        <f>ISNUMBER(#REF!)</f>
        <v>0</v>
      </c>
      <c r="G25" s="943" t="b">
        <f>ISNUMBER(#REF!)</f>
        <v>0</v>
      </c>
      <c r="H25" s="943" t="b">
        <f>ISNUMBER(#REF!)</f>
        <v>0</v>
      </c>
      <c r="I25" s="943" t="b">
        <f>ISNUMBER(#REF!)</f>
        <v>0</v>
      </c>
      <c r="J25" s="943" t="b">
        <f>ISNUMBER(#REF!)</f>
        <v>0</v>
      </c>
      <c r="K25" s="943" t="b">
        <f>ISNUMBER(#REF!)</f>
        <v>0</v>
      </c>
      <c r="L25" s="943" t="b">
        <f>ISNUMBER(#REF!)</f>
        <v>0</v>
      </c>
      <c r="M25" s="943" t="b">
        <f>ISNUMBER(#REF!)</f>
        <v>0</v>
      </c>
      <c r="N25" s="943" t="b">
        <f>ISNUMBER(#REF!)</f>
        <v>0</v>
      </c>
      <c r="O25" s="943" t="b">
        <f t="shared" si="4"/>
        <v>1</v>
      </c>
      <c r="P25" s="943" t="b">
        <f>ISNUMBER(#REF!)</f>
        <v>0</v>
      </c>
      <c r="Q25" s="951" t="str">
        <f t="shared" si="5"/>
        <v/>
      </c>
    </row>
    <row r="26" spans="1:17" ht="24" customHeight="1">
      <c r="A26" s="972">
        <f t="shared" si="2"/>
        <v>45006.208333333336</v>
      </c>
      <c r="B26" s="355" t="s">
        <v>919</v>
      </c>
      <c r="C26" s="950">
        <f t="shared" si="3"/>
        <v>0</v>
      </c>
      <c r="E26" s="943" t="b">
        <f>ISNUMBER(#REF!)</f>
        <v>0</v>
      </c>
      <c r="F26" s="943" t="b">
        <f>ISNUMBER(#REF!)</f>
        <v>0</v>
      </c>
      <c r="G26" s="943" t="b">
        <f>ISNUMBER(#REF!)</f>
        <v>0</v>
      </c>
      <c r="H26" s="943" t="b">
        <f>ISNUMBER(#REF!)</f>
        <v>0</v>
      </c>
      <c r="I26" s="943" t="b">
        <f>ISNUMBER(#REF!)</f>
        <v>0</v>
      </c>
      <c r="J26" s="943" t="b">
        <f>ISNUMBER(#REF!)</f>
        <v>0</v>
      </c>
      <c r="K26" s="943" t="b">
        <f>ISNUMBER(#REF!)</f>
        <v>0</v>
      </c>
      <c r="L26" s="943" t="b">
        <f>ISNUMBER(#REF!)</f>
        <v>0</v>
      </c>
      <c r="M26" s="943" t="b">
        <f>ISNUMBER(#REF!)</f>
        <v>0</v>
      </c>
      <c r="N26" s="943" t="b">
        <f>ISNUMBER(#REF!)</f>
        <v>0</v>
      </c>
      <c r="O26" s="943" t="b">
        <f t="shared" si="4"/>
        <v>1</v>
      </c>
      <c r="P26" s="943" t="b">
        <f>ISNUMBER(#REF!)</f>
        <v>0</v>
      </c>
      <c r="Q26" s="951" t="str">
        <f t="shared" si="5"/>
        <v/>
      </c>
    </row>
    <row r="27" spans="1:17" ht="24" customHeight="1">
      <c r="A27" s="972">
        <f t="shared" si="2"/>
        <v>45006.208333333336</v>
      </c>
      <c r="B27" s="355" t="s">
        <v>920</v>
      </c>
      <c r="C27" s="950">
        <f t="shared" si="3"/>
        <v>0</v>
      </c>
      <c r="E27" s="943" t="b">
        <f>ISNUMBER(#REF!)</f>
        <v>0</v>
      </c>
      <c r="F27" s="943" t="b">
        <f>ISNUMBER(#REF!)</f>
        <v>0</v>
      </c>
      <c r="G27" s="943" t="b">
        <f>ISNUMBER(#REF!)</f>
        <v>0</v>
      </c>
      <c r="H27" s="943" t="b">
        <f>ISNUMBER(#REF!)</f>
        <v>0</v>
      </c>
      <c r="I27" s="943" t="b">
        <f>ISNUMBER(#REF!)</f>
        <v>0</v>
      </c>
      <c r="J27" s="943" t="b">
        <f>ISNUMBER(#REF!)</f>
        <v>0</v>
      </c>
      <c r="K27" s="943" t="b">
        <f>ISNUMBER(#REF!)</f>
        <v>0</v>
      </c>
      <c r="L27" s="943" t="b">
        <f>ISNUMBER(#REF!)</f>
        <v>0</v>
      </c>
      <c r="M27" s="943" t="b">
        <f>ISNUMBER(#REF!)</f>
        <v>0</v>
      </c>
      <c r="N27" s="943" t="b">
        <f>ISNUMBER(#REF!)</f>
        <v>0</v>
      </c>
      <c r="O27" s="943" t="b">
        <f t="shared" ref="O27:O28" si="6">ISNUMBER(C27)</f>
        <v>1</v>
      </c>
      <c r="P27" s="943" t="b">
        <f>ISNUMBER(#REF!)</f>
        <v>0</v>
      </c>
      <c r="Q27" s="951" t="str">
        <f t="shared" ref="Q27:Q28" si="7">IF(O27=TRUE,"",1)</f>
        <v/>
      </c>
    </row>
    <row r="28" spans="1:17" ht="24" customHeight="1">
      <c r="A28" s="972">
        <f t="shared" si="2"/>
        <v>45006.208333333336</v>
      </c>
      <c r="B28" s="355" t="s">
        <v>921</v>
      </c>
      <c r="C28" s="950">
        <f t="shared" si="3"/>
        <v>0</v>
      </c>
      <c r="E28" s="943" t="b">
        <f>ISNUMBER(#REF!)</f>
        <v>0</v>
      </c>
      <c r="F28" s="943" t="b">
        <f>ISNUMBER(#REF!)</f>
        <v>0</v>
      </c>
      <c r="G28" s="943" t="b">
        <f>ISNUMBER(#REF!)</f>
        <v>0</v>
      </c>
      <c r="H28" s="943" t="b">
        <f>ISNUMBER(#REF!)</f>
        <v>0</v>
      </c>
      <c r="I28" s="943" t="b">
        <f>ISNUMBER(#REF!)</f>
        <v>0</v>
      </c>
      <c r="J28" s="943" t="b">
        <f>ISNUMBER(#REF!)</f>
        <v>0</v>
      </c>
      <c r="K28" s="943" t="b">
        <f>ISNUMBER(#REF!)</f>
        <v>0</v>
      </c>
      <c r="L28" s="943" t="b">
        <f>ISNUMBER(#REF!)</f>
        <v>0</v>
      </c>
      <c r="M28" s="943" t="b">
        <f>ISNUMBER(#REF!)</f>
        <v>0</v>
      </c>
      <c r="N28" s="943" t="b">
        <f>ISNUMBER(#REF!)</f>
        <v>0</v>
      </c>
      <c r="O28" s="943" t="b">
        <f t="shared" si="6"/>
        <v>1</v>
      </c>
      <c r="P28" s="943" t="b">
        <f>ISNUMBER(#REF!)</f>
        <v>0</v>
      </c>
      <c r="Q28" s="951" t="str">
        <f t="shared" si="7"/>
        <v/>
      </c>
    </row>
  </sheetData>
  <phoneticPr fontId="6" type="noConversion"/>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sheetPr codeName="Sheet2">
    <tabColor rgb="FF7030A0"/>
  </sheetPr>
  <dimension ref="A1:Q68"/>
  <sheetViews>
    <sheetView topLeftCell="A25" zoomScale="85" zoomScaleNormal="85" workbookViewId="0">
      <selection activeCell="B48" sqref="B48"/>
    </sheetView>
  </sheetViews>
  <sheetFormatPr defaultRowHeight="15.75" customHeight="1"/>
  <cols>
    <col min="1" max="1" width="25.75" style="1" customWidth="1"/>
    <col min="2" max="2" width="8" style="1231" customWidth="1"/>
    <col min="3" max="7" width="8" style="118" customWidth="1"/>
    <col min="8" max="8" width="9.125" style="1" customWidth="1"/>
    <col min="9" max="9" width="9" style="1" customWidth="1"/>
    <col min="10" max="10" width="9.5" style="1" customWidth="1"/>
    <col min="11" max="13" width="9" style="1217"/>
    <col min="14" max="14" width="5.75" style="1217" customWidth="1"/>
    <col min="15" max="16384" width="9" style="1217"/>
  </cols>
  <sheetData>
    <row r="1" spans="1:17" ht="20.25" customHeight="1">
      <c r="A1" s="1568" t="str">
        <f>MENU!AC9</f>
        <v>2023/03/21</v>
      </c>
    </row>
    <row r="2" spans="1:17" ht="23.25" customHeight="1">
      <c r="A2" s="1223" t="s">
        <v>235</v>
      </c>
      <c r="B2" s="1224" t="s">
        <v>245</v>
      </c>
      <c r="C2" s="1225" t="s">
        <v>240</v>
      </c>
      <c r="D2" s="1225" t="s">
        <v>241</v>
      </c>
      <c r="E2" s="1225" t="s">
        <v>242</v>
      </c>
      <c r="F2" s="1225" t="s">
        <v>243</v>
      </c>
      <c r="G2" s="1225" t="s">
        <v>244</v>
      </c>
      <c r="H2" s="1750" t="s">
        <v>1228</v>
      </c>
      <c r="I2" s="1351"/>
      <c r="J2" s="1351" t="s">
        <v>1230</v>
      </c>
      <c r="K2" s="2087" t="s">
        <v>1106</v>
      </c>
      <c r="L2" s="2087"/>
      <c r="M2" s="2087"/>
      <c r="O2" s="2086" t="s">
        <v>139</v>
      </c>
      <c r="P2" s="2086"/>
      <c r="Q2" s="2086"/>
    </row>
    <row r="3" spans="1:17" ht="15.75" customHeight="1">
      <c r="A3" s="2" t="s">
        <v>1107</v>
      </c>
      <c r="B3" s="1226"/>
      <c r="C3" s="1226"/>
      <c r="D3" s="1226"/>
      <c r="E3" s="1226"/>
      <c r="F3" s="1226"/>
      <c r="G3" s="1226"/>
      <c r="J3" s="1350" t="s">
        <v>1231</v>
      </c>
      <c r="K3" s="1227"/>
      <c r="L3" s="1"/>
      <c r="O3" s="2086"/>
      <c r="P3" s="2086"/>
      <c r="Q3" s="2086"/>
    </row>
    <row r="4" spans="1:17" ht="15.75" customHeight="1">
      <c r="A4" s="2" t="s">
        <v>1108</v>
      </c>
      <c r="B4" s="1226"/>
      <c r="C4" s="1226"/>
      <c r="D4" s="1226"/>
      <c r="E4" s="1226"/>
      <c r="F4" s="1226"/>
      <c r="G4" s="1226"/>
      <c r="J4" s="1350" t="s">
        <v>1231</v>
      </c>
      <c r="K4" s="1227" t="s">
        <v>1109</v>
      </c>
      <c r="M4" s="1" t="s">
        <v>1110</v>
      </c>
    </row>
    <row r="5" spans="1:17" ht="15.75" customHeight="1">
      <c r="A5" s="2" t="s">
        <v>1111</v>
      </c>
      <c r="B5" s="1226"/>
      <c r="C5" s="1226"/>
      <c r="D5" s="1226"/>
      <c r="E5" s="1226"/>
      <c r="F5" s="1226"/>
      <c r="G5" s="1226"/>
      <c r="J5" s="1350" t="s">
        <v>1231</v>
      </c>
      <c r="K5" s="1228">
        <v>4.8000000000000001E-2</v>
      </c>
      <c r="M5" s="1229">
        <v>0.32</v>
      </c>
    </row>
    <row r="6" spans="1:17" ht="15.75" customHeight="1">
      <c r="A6" s="2" t="s">
        <v>1112</v>
      </c>
      <c r="B6" s="1226"/>
      <c r="C6" s="1226"/>
      <c r="D6" s="1226"/>
      <c r="E6" s="1226"/>
      <c r="F6" s="1226"/>
      <c r="G6" s="1226"/>
      <c r="J6" s="1350" t="s">
        <v>1231</v>
      </c>
      <c r="M6" s="1"/>
    </row>
    <row r="7" spans="1:17" ht="15.75" customHeight="1">
      <c r="A7" s="2" t="s">
        <v>1113</v>
      </c>
      <c r="B7" s="1226"/>
      <c r="C7" s="1226"/>
      <c r="D7" s="1226"/>
      <c r="E7" s="1226"/>
      <c r="F7" s="1226"/>
      <c r="G7" s="1226"/>
      <c r="J7" s="1350" t="s">
        <v>1231</v>
      </c>
      <c r="K7" s="1227" t="s">
        <v>1114</v>
      </c>
      <c r="M7" s="1" t="s">
        <v>1110</v>
      </c>
    </row>
    <row r="8" spans="1:17" ht="15.75" customHeight="1">
      <c r="A8" s="2" t="s">
        <v>1115</v>
      </c>
      <c r="B8" s="1226"/>
      <c r="C8" s="1226"/>
      <c r="D8" s="1226"/>
      <c r="E8" s="1226"/>
      <c r="F8" s="1226"/>
      <c r="G8" s="1226"/>
      <c r="H8" s="1217"/>
      <c r="I8" s="1217"/>
      <c r="J8" s="1350" t="s">
        <v>1231</v>
      </c>
      <c r="K8" s="1228">
        <v>9.6000000000000002E-2</v>
      </c>
      <c r="M8" s="1229">
        <v>0.32</v>
      </c>
    </row>
    <row r="9" spans="1:17" ht="15.75" customHeight="1">
      <c r="A9" s="1346" t="s">
        <v>1116</v>
      </c>
      <c r="B9" s="1347"/>
      <c r="C9" s="1347"/>
      <c r="D9" s="1347"/>
      <c r="E9" s="1347"/>
      <c r="F9" s="1347"/>
      <c r="G9" s="1347"/>
      <c r="J9" s="1350" t="s">
        <v>1231</v>
      </c>
      <c r="M9" s="1"/>
    </row>
    <row r="10" spans="1:17" ht="15.75" customHeight="1">
      <c r="A10" s="2" t="s">
        <v>1117</v>
      </c>
      <c r="B10" s="1226"/>
      <c r="C10" s="1226"/>
      <c r="D10" s="1226"/>
      <c r="E10" s="1226"/>
      <c r="F10" s="1226"/>
      <c r="G10" s="1226"/>
      <c r="J10" s="1350"/>
      <c r="K10" s="1227" t="s">
        <v>1118</v>
      </c>
      <c r="M10" s="1" t="s">
        <v>1119</v>
      </c>
    </row>
    <row r="11" spans="1:17" ht="15.75" customHeight="1">
      <c r="A11" s="2" t="s">
        <v>1120</v>
      </c>
      <c r="B11" s="1226"/>
      <c r="C11" s="1226"/>
      <c r="D11" s="1226"/>
      <c r="E11" s="1226"/>
      <c r="F11" s="1226"/>
      <c r="G11" s="1226"/>
      <c r="J11" s="1350"/>
      <c r="K11" s="1228">
        <v>0.192</v>
      </c>
      <c r="M11" s="1229">
        <v>0.32</v>
      </c>
    </row>
    <row r="12" spans="1:17" ht="15.75" customHeight="1">
      <c r="A12" s="2" t="s">
        <v>1121</v>
      </c>
      <c r="B12" s="1226"/>
      <c r="C12" s="1226"/>
      <c r="D12" s="1226"/>
      <c r="E12" s="1226"/>
      <c r="F12" s="1226"/>
      <c r="G12" s="1226"/>
      <c r="H12" s="1217"/>
      <c r="I12" s="1217"/>
      <c r="J12" s="1350"/>
    </row>
    <row r="13" spans="1:17" ht="15.75" customHeight="1">
      <c r="A13" s="1192" t="s">
        <v>1122</v>
      </c>
      <c r="B13" s="1226"/>
      <c r="C13" s="1226"/>
      <c r="D13" s="1226"/>
      <c r="E13" s="1226"/>
      <c r="F13" s="1226"/>
      <c r="G13" s="1226"/>
      <c r="H13" s="1217"/>
      <c r="I13" s="1217"/>
      <c r="J13" s="1350"/>
    </row>
    <row r="14" spans="1:17" ht="19.5" customHeight="1">
      <c r="A14" s="1238" t="s">
        <v>1123</v>
      </c>
      <c r="B14" s="1230"/>
      <c r="C14" s="1230"/>
      <c r="D14" s="1230"/>
      <c r="E14" s="1230"/>
      <c r="F14" s="1230"/>
      <c r="G14" s="1230"/>
      <c r="H14" s="1348"/>
      <c r="I14" s="1348"/>
      <c r="J14" s="1350" t="s">
        <v>1231</v>
      </c>
    </row>
    <row r="15" spans="1:17" ht="19.5" customHeight="1">
      <c r="A15" s="1238" t="s">
        <v>1124</v>
      </c>
      <c r="B15" s="1230"/>
      <c r="C15" s="1230"/>
      <c r="D15" s="1230"/>
      <c r="E15" s="1230"/>
      <c r="F15" s="1230"/>
      <c r="G15" s="1230"/>
      <c r="H15" s="1348" t="str">
        <f>'XM.FILE GOC'!E19</f>
        <v>1.6~2.0</v>
      </c>
      <c r="I15" s="1348" t="str">
        <f>'XM.FILE GOC'!F19</f>
        <v>(1.8±0.1)</v>
      </c>
      <c r="J15" s="1350" t="s">
        <v>1231</v>
      </c>
    </row>
    <row r="16" spans="1:17" ht="21" customHeight="1">
      <c r="A16" s="1346" t="s">
        <v>1222</v>
      </c>
      <c r="B16" s="1347"/>
      <c r="C16" s="1347"/>
      <c r="D16" s="1347"/>
      <c r="E16" s="1347"/>
      <c r="F16" s="1347"/>
      <c r="G16" s="1347"/>
      <c r="H16" s="1348" t="str">
        <f>'XM.FILE GOC'!E13</f>
        <v>1.6~2.2</v>
      </c>
      <c r="I16" s="1348" t="str">
        <f>'XM.FILE GOC'!F13</f>
        <v>(1.8±0.1 )</v>
      </c>
      <c r="J16" s="1350" t="s">
        <v>1231</v>
      </c>
    </row>
    <row r="18" spans="1:13" ht="22.5" customHeight="1">
      <c r="A18" s="1223" t="s">
        <v>236</v>
      </c>
      <c r="B18" s="1224" t="s">
        <v>245</v>
      </c>
      <c r="C18" s="1225" t="s">
        <v>240</v>
      </c>
      <c r="D18" s="1225" t="s">
        <v>241</v>
      </c>
      <c r="E18" s="1225" t="s">
        <v>242</v>
      </c>
      <c r="F18" s="1225" t="s">
        <v>243</v>
      </c>
      <c r="G18" s="1225" t="s">
        <v>244</v>
      </c>
      <c r="H18" s="1351" t="s">
        <v>1234</v>
      </c>
      <c r="I18" s="1351"/>
      <c r="J18" s="1351" t="s">
        <v>1235</v>
      </c>
    </row>
    <row r="19" spans="1:13" ht="15.75" customHeight="1">
      <c r="A19" s="2" t="s">
        <v>1107</v>
      </c>
      <c r="B19" s="1226"/>
      <c r="C19" s="1226"/>
      <c r="D19" s="1226"/>
      <c r="E19" s="1226"/>
      <c r="F19" s="1226"/>
      <c r="G19" s="1226"/>
      <c r="H19" s="1349"/>
      <c r="I19" s="1349"/>
      <c r="J19" s="1349" t="s">
        <v>1232</v>
      </c>
    </row>
    <row r="20" spans="1:13" ht="15.75" customHeight="1">
      <c r="A20" s="2" t="s">
        <v>1125</v>
      </c>
      <c r="B20" s="1226"/>
      <c r="C20" s="1226"/>
      <c r="D20" s="1226"/>
      <c r="E20" s="1226"/>
      <c r="F20" s="1226"/>
      <c r="G20" s="1226"/>
      <c r="H20" s="1349"/>
      <c r="I20" s="1349"/>
      <c r="J20" s="1349" t="s">
        <v>1232</v>
      </c>
      <c r="K20" s="2087" t="s">
        <v>167</v>
      </c>
      <c r="L20" s="2087"/>
      <c r="M20" s="2087"/>
    </row>
    <row r="21" spans="1:13" ht="15.75" customHeight="1">
      <c r="A21" s="2" t="s">
        <v>1111</v>
      </c>
      <c r="B21" s="1226"/>
      <c r="C21" s="1226"/>
      <c r="D21" s="1226"/>
      <c r="E21" s="1226"/>
      <c r="F21" s="1226"/>
      <c r="G21" s="1226"/>
      <c r="H21" s="1349"/>
      <c r="I21" s="1349"/>
      <c r="J21" s="1349" t="s">
        <v>1232</v>
      </c>
      <c r="K21" s="2087"/>
      <c r="L21" s="2087"/>
      <c r="M21" s="2087"/>
    </row>
    <row r="22" spans="1:13" ht="15.75" customHeight="1">
      <c r="A22" s="2" t="s">
        <v>1112</v>
      </c>
      <c r="B22" s="1226"/>
      <c r="C22" s="1226"/>
      <c r="D22" s="1226"/>
      <c r="E22" s="1226"/>
      <c r="F22" s="1226"/>
      <c r="G22" s="1226"/>
      <c r="H22" s="1349"/>
      <c r="I22" s="1349"/>
      <c r="J22" s="1349" t="s">
        <v>1232</v>
      </c>
    </row>
    <row r="23" spans="1:13" ht="15.75" customHeight="1">
      <c r="A23" s="2" t="s">
        <v>1126</v>
      </c>
      <c r="B23" s="1226"/>
      <c r="C23" s="1226"/>
      <c r="D23" s="1226"/>
      <c r="E23" s="1226"/>
      <c r="F23" s="1226"/>
      <c r="G23" s="1226"/>
      <c r="H23" s="1349"/>
      <c r="I23" s="1349"/>
      <c r="J23" s="1349" t="s">
        <v>1232</v>
      </c>
      <c r="K23" s="1232" t="s">
        <v>166</v>
      </c>
      <c r="L23" s="1232"/>
    </row>
    <row r="24" spans="1:13" ht="15.75" customHeight="1">
      <c r="A24" s="2" t="s">
        <v>1127</v>
      </c>
      <c r="B24" s="1226"/>
      <c r="C24" s="1226"/>
      <c r="D24" s="1226"/>
      <c r="E24" s="1226"/>
      <c r="F24" s="1226"/>
      <c r="G24" s="1226"/>
      <c r="H24" s="1349"/>
      <c r="I24" s="1349"/>
      <c r="J24" s="1349" t="s">
        <v>1232</v>
      </c>
    </row>
    <row r="25" spans="1:13" ht="15.75" customHeight="1">
      <c r="A25" s="1346" t="s">
        <v>1128</v>
      </c>
      <c r="B25" s="1347"/>
      <c r="C25" s="1347"/>
      <c r="D25" s="1347"/>
      <c r="E25" s="1347"/>
      <c r="F25" s="1347"/>
      <c r="G25" s="1347"/>
      <c r="H25" s="1349"/>
      <c r="I25" s="1349"/>
      <c r="J25" s="1349" t="s">
        <v>1232</v>
      </c>
      <c r="K25" s="1217" t="s">
        <v>168</v>
      </c>
    </row>
    <row r="26" spans="1:13" ht="15.75" customHeight="1">
      <c r="A26" s="2" t="s">
        <v>1117</v>
      </c>
      <c r="B26" s="1226"/>
      <c r="C26" s="1226"/>
      <c r="D26" s="1226"/>
      <c r="E26" s="1226"/>
      <c r="F26" s="1226"/>
      <c r="G26" s="1226"/>
      <c r="H26" s="1348"/>
      <c r="I26" s="1348"/>
      <c r="J26" s="1349"/>
      <c r="K26" s="1217">
        <f>5*1.162</f>
        <v>5.81</v>
      </c>
      <c r="L26" s="1233" t="s">
        <v>169</v>
      </c>
    </row>
    <row r="27" spans="1:13" ht="15.75" customHeight="1">
      <c r="A27" s="2" t="s">
        <v>1120</v>
      </c>
      <c r="B27" s="1226"/>
      <c r="C27" s="1226"/>
      <c r="D27" s="1226"/>
      <c r="E27" s="1226"/>
      <c r="F27" s="1226"/>
      <c r="G27" s="1226"/>
      <c r="H27" s="1348"/>
      <c r="I27" s="1348"/>
      <c r="J27" s="1349"/>
      <c r="K27" s="1217">
        <f>K26*1000</f>
        <v>5810</v>
      </c>
      <c r="L27" s="1233" t="s">
        <v>170</v>
      </c>
    </row>
    <row r="28" spans="1:13" ht="15.75" customHeight="1">
      <c r="A28" s="2" t="s">
        <v>1121</v>
      </c>
      <c r="B28" s="1226"/>
      <c r="C28" s="1226"/>
      <c r="D28" s="1226"/>
      <c r="E28" s="1226"/>
      <c r="F28" s="1226"/>
      <c r="G28" s="1226"/>
      <c r="H28" s="1348"/>
      <c r="I28" s="1348"/>
      <c r="J28" s="1349"/>
    </row>
    <row r="29" spans="1:13" ht="15.75" customHeight="1">
      <c r="A29" s="1192" t="s">
        <v>1122</v>
      </c>
      <c r="B29" s="1226"/>
      <c r="C29" s="1226"/>
      <c r="D29" s="1226"/>
      <c r="E29" s="1226"/>
      <c r="F29" s="1226"/>
      <c r="G29" s="1226"/>
      <c r="H29" s="1348"/>
      <c r="I29" s="1348"/>
      <c r="J29" s="1349"/>
    </row>
    <row r="30" spans="1:13" ht="16.5" customHeight="1">
      <c r="A30" s="1238" t="s">
        <v>1123</v>
      </c>
      <c r="B30" s="1230"/>
      <c r="C30" s="1230"/>
      <c r="D30" s="1230"/>
      <c r="E30" s="1230"/>
      <c r="F30" s="1230"/>
      <c r="G30" s="1230"/>
      <c r="H30" s="1348"/>
      <c r="I30" s="1348"/>
      <c r="J30" s="1349" t="s">
        <v>1232</v>
      </c>
    </row>
    <row r="31" spans="1:13" ht="16.5" customHeight="1">
      <c r="A31" s="1238" t="s">
        <v>1236</v>
      </c>
      <c r="B31" s="1230"/>
      <c r="C31" s="1230"/>
      <c r="D31" s="1230"/>
      <c r="E31" s="1230"/>
      <c r="F31" s="1230"/>
      <c r="G31" s="1230"/>
      <c r="H31" s="1348" t="str">
        <f>'XM.FILE GOC'!E50</f>
        <v>1.8~2.4</v>
      </c>
      <c r="I31" s="1348" t="str">
        <f>'XM.FILE GOC'!F50</f>
        <v>(2.1±0.1 )</v>
      </c>
      <c r="J31" s="1349" t="s">
        <v>1232</v>
      </c>
    </row>
    <row r="32" spans="1:13" ht="20.25" customHeight="1">
      <c r="A32" s="1346" t="s">
        <v>1227</v>
      </c>
      <c r="B32" s="1347"/>
      <c r="C32" s="1347"/>
      <c r="D32" s="1347"/>
      <c r="E32" s="1347"/>
      <c r="F32" s="1347"/>
      <c r="G32" s="1347"/>
      <c r="H32" s="1348" t="str">
        <f>'XM.FILE GOC'!E44</f>
        <v>2~2.5</v>
      </c>
      <c r="I32" s="1348" t="str">
        <f>'XM.FILE GOC'!F44</f>
        <v>(2.3±0.1 )</v>
      </c>
      <c r="J32" s="1349" t="s">
        <v>1232</v>
      </c>
    </row>
    <row r="34" spans="1:10" ht="21.75" customHeight="1">
      <c r="A34" s="1234" t="s">
        <v>213</v>
      </c>
      <c r="B34" s="1224" t="s">
        <v>245</v>
      </c>
      <c r="C34" s="1225" t="s">
        <v>240</v>
      </c>
      <c r="D34" s="1225" t="s">
        <v>241</v>
      </c>
      <c r="E34" s="1225" t="s">
        <v>242</v>
      </c>
      <c r="F34" s="1225" t="s">
        <v>243</v>
      </c>
      <c r="G34" s="1225" t="s">
        <v>244</v>
      </c>
      <c r="H34" s="1351" t="s">
        <v>1234</v>
      </c>
      <c r="I34" s="1351"/>
      <c r="J34" s="1351" t="s">
        <v>1235</v>
      </c>
    </row>
    <row r="35" spans="1:10" ht="15.75" customHeight="1">
      <c r="A35" s="2" t="s">
        <v>1107</v>
      </c>
      <c r="B35" s="1226">
        <v>13.45</v>
      </c>
      <c r="C35" s="1226"/>
      <c r="D35" s="1226"/>
      <c r="E35" s="1226"/>
      <c r="F35" s="1226"/>
      <c r="G35" s="1226"/>
      <c r="J35" s="1349" t="s">
        <v>1232</v>
      </c>
    </row>
    <row r="36" spans="1:10" ht="15.75" customHeight="1">
      <c r="A36" s="2" t="s">
        <v>1125</v>
      </c>
      <c r="B36" s="1226"/>
      <c r="C36" s="1226"/>
      <c r="D36" s="1226"/>
      <c r="E36" s="1226"/>
      <c r="F36" s="1226"/>
      <c r="G36" s="1226"/>
      <c r="J36" s="1349" t="s">
        <v>1232</v>
      </c>
    </row>
    <row r="37" spans="1:10" ht="15.75" customHeight="1">
      <c r="A37" s="2" t="s">
        <v>1111</v>
      </c>
      <c r="B37" s="1226">
        <v>12.5</v>
      </c>
      <c r="C37" s="1226"/>
      <c r="D37" s="1226"/>
      <c r="E37" s="1226"/>
      <c r="F37" s="1226"/>
      <c r="G37" s="1226"/>
      <c r="J37" s="1349" t="s">
        <v>1232</v>
      </c>
    </row>
    <row r="38" spans="1:10" ht="15.75" customHeight="1">
      <c r="A38" s="2" t="s">
        <v>1112</v>
      </c>
      <c r="B38" s="1226"/>
      <c r="C38" s="1226"/>
      <c r="D38" s="1226"/>
      <c r="E38" s="1226"/>
      <c r="F38" s="1226"/>
      <c r="G38" s="1226"/>
      <c r="J38" s="1349" t="s">
        <v>1232</v>
      </c>
    </row>
    <row r="39" spans="1:10" ht="15.75" customHeight="1">
      <c r="A39" s="2" t="s">
        <v>0</v>
      </c>
      <c r="B39" s="1226">
        <v>17.3</v>
      </c>
      <c r="C39" s="1226"/>
      <c r="D39" s="1226"/>
      <c r="E39" s="1226"/>
      <c r="F39" s="1226"/>
      <c r="G39" s="1226"/>
      <c r="J39" s="1349" t="s">
        <v>1232</v>
      </c>
    </row>
    <row r="40" spans="1:10" ht="15.75" customHeight="1">
      <c r="A40" s="2" t="s">
        <v>1129</v>
      </c>
      <c r="B40" s="1226">
        <v>4.5</v>
      </c>
      <c r="C40" s="1226"/>
      <c r="D40" s="1226"/>
      <c r="E40" s="1226"/>
      <c r="F40" s="1226"/>
      <c r="G40" s="1226"/>
      <c r="J40" s="1349" t="s">
        <v>1232</v>
      </c>
    </row>
    <row r="41" spans="1:10" ht="15.75" customHeight="1">
      <c r="A41" s="1346" t="s">
        <v>1225</v>
      </c>
      <c r="B41" s="1347"/>
      <c r="C41" s="1347"/>
      <c r="D41" s="1347"/>
      <c r="E41" s="1347"/>
      <c r="F41" s="1347"/>
      <c r="G41" s="1347"/>
      <c r="J41" s="1349" t="s">
        <v>1232</v>
      </c>
    </row>
    <row r="42" spans="1:10" ht="15.75" customHeight="1">
      <c r="A42" s="2" t="s">
        <v>18</v>
      </c>
      <c r="B42" s="1226">
        <v>1.74</v>
      </c>
      <c r="C42" s="1226"/>
      <c r="D42" s="1226"/>
      <c r="E42" s="1226"/>
      <c r="F42" s="1226"/>
      <c r="G42" s="1226"/>
      <c r="J42" s="1349"/>
    </row>
    <row r="43" spans="1:10" ht="15.75" customHeight="1">
      <c r="A43" s="2" t="s">
        <v>19</v>
      </c>
      <c r="B43" s="1226"/>
      <c r="C43" s="1226"/>
      <c r="D43" s="1226"/>
      <c r="E43" s="1226"/>
      <c r="F43" s="1226"/>
      <c r="G43" s="1226"/>
      <c r="J43" s="1349"/>
    </row>
    <row r="44" spans="1:10" ht="15.75" customHeight="1">
      <c r="A44" s="2" t="s">
        <v>1130</v>
      </c>
      <c r="B44" s="1226">
        <v>0.36</v>
      </c>
      <c r="C44" s="1226"/>
      <c r="D44" s="1226"/>
      <c r="E44" s="1226"/>
      <c r="F44" s="1226"/>
      <c r="G44" s="1226"/>
      <c r="J44" s="1349"/>
    </row>
    <row r="45" spans="1:10" ht="15.75" customHeight="1">
      <c r="A45" s="1193" t="s">
        <v>1131</v>
      </c>
      <c r="B45" s="1226"/>
      <c r="C45" s="1226"/>
      <c r="D45" s="1226"/>
      <c r="E45" s="1226"/>
      <c r="F45" s="1226"/>
      <c r="G45" s="1226"/>
      <c r="J45" s="1349"/>
    </row>
    <row r="46" spans="1:10" ht="18" customHeight="1">
      <c r="A46" s="1238" t="s">
        <v>1123</v>
      </c>
      <c r="B46" s="1345">
        <v>5.3</v>
      </c>
      <c r="C46" s="1345"/>
      <c r="D46" s="1345"/>
      <c r="E46" s="1345"/>
      <c r="F46" s="1345"/>
      <c r="G46" s="1345"/>
      <c r="J46" s="1349" t="s">
        <v>1232</v>
      </c>
    </row>
    <row r="47" spans="1:10" ht="18" customHeight="1">
      <c r="A47" s="1238" t="s">
        <v>1124</v>
      </c>
      <c r="B47" s="1345">
        <v>1.88</v>
      </c>
      <c r="C47" s="1345"/>
      <c r="D47" s="1345"/>
      <c r="E47" s="1345"/>
      <c r="F47" s="1345"/>
      <c r="G47" s="1345"/>
      <c r="H47" s="1" t="str">
        <f>'XM.FILE GOC'!E81</f>
        <v>1.8~2.4</v>
      </c>
      <c r="I47" s="1" t="str">
        <f>'XM.FILE GOC'!F81</f>
        <v>(2.0±0.1)</v>
      </c>
      <c r="J47" s="1349" t="s">
        <v>1232</v>
      </c>
    </row>
    <row r="48" spans="1:10" ht="18" customHeight="1">
      <c r="A48" s="1346" t="s">
        <v>1226</v>
      </c>
      <c r="B48" s="1347"/>
      <c r="C48" s="1347"/>
      <c r="D48" s="1347"/>
      <c r="E48" s="1347"/>
      <c r="F48" s="1347"/>
      <c r="G48" s="1347"/>
      <c r="H48" s="1" t="str">
        <f>'XM.FILE GOC'!E75</f>
        <v>2.0~2.4</v>
      </c>
      <c r="I48" s="1" t="str">
        <f>'XM.FILE GOC'!F75</f>
        <v>(2.2±0.2 )</v>
      </c>
      <c r="J48" s="1349" t="s">
        <v>1232</v>
      </c>
    </row>
    <row r="49" spans="1:10" ht="18" customHeight="1">
      <c r="A49" s="1343" t="s">
        <v>1224</v>
      </c>
      <c r="B49" s="1344"/>
      <c r="C49" s="1344"/>
      <c r="D49" s="1344"/>
      <c r="E49" s="1344"/>
      <c r="F49" s="1344"/>
      <c r="G49" s="1344"/>
      <c r="J49" s="1350" t="s">
        <v>1231</v>
      </c>
    </row>
    <row r="50" spans="1:10" ht="18" customHeight="1">
      <c r="A50" s="1343" t="s">
        <v>1223</v>
      </c>
      <c r="B50" s="1344"/>
      <c r="C50" s="1344"/>
      <c r="D50" s="1344"/>
      <c r="E50" s="1344"/>
      <c r="F50" s="1344"/>
      <c r="G50" s="1344"/>
      <c r="H50" s="1" t="str">
        <f>'XM.FILE GOC'!E83</f>
        <v>1.8~2.4</v>
      </c>
      <c r="I50" s="1" t="str">
        <f>'XM.FILE GOC'!F83</f>
        <v>(2.0 ±0.2 )</v>
      </c>
      <c r="J50" s="1350" t="s">
        <v>1231</v>
      </c>
    </row>
    <row r="52" spans="1:10" ht="16.5" customHeight="1">
      <c r="A52" s="1235" t="s">
        <v>1132</v>
      </c>
      <c r="B52" s="1225" t="s">
        <v>245</v>
      </c>
      <c r="D52" s="1225" t="s">
        <v>241</v>
      </c>
      <c r="E52" s="1225" t="s">
        <v>242</v>
      </c>
      <c r="G52" s="1225" t="s">
        <v>244</v>
      </c>
      <c r="H52" s="1351" t="s">
        <v>1234</v>
      </c>
      <c r="I52" s="1351"/>
      <c r="J52" s="1351" t="s">
        <v>1235</v>
      </c>
    </row>
    <row r="53" spans="1:10" ht="15.75" customHeight="1">
      <c r="A53" s="234" t="s">
        <v>128</v>
      </c>
      <c r="B53" s="1236"/>
      <c r="D53" s="1236"/>
      <c r="E53" s="1236"/>
      <c r="G53" s="1236"/>
      <c r="J53" s="1349" t="s">
        <v>1232</v>
      </c>
    </row>
    <row r="54" spans="1:10" ht="10.5" hidden="1" customHeight="1">
      <c r="A54" s="234" t="s">
        <v>129</v>
      </c>
      <c r="B54" s="1236"/>
      <c r="D54" s="1236"/>
      <c r="E54" s="1236"/>
      <c r="G54" s="1236"/>
      <c r="J54" s="1349" t="s">
        <v>1232</v>
      </c>
    </row>
    <row r="55" spans="1:10" ht="15.75" customHeight="1">
      <c r="A55" s="234" t="s">
        <v>130</v>
      </c>
      <c r="B55" s="1236"/>
      <c r="D55" s="1236"/>
      <c r="E55" s="1236"/>
      <c r="G55" s="1236"/>
      <c r="J55" s="1349" t="s">
        <v>1232</v>
      </c>
    </row>
    <row r="56" spans="1:10" ht="15.75" hidden="1" customHeight="1">
      <c r="A56" s="234" t="s">
        <v>137</v>
      </c>
      <c r="B56" s="1236"/>
      <c r="D56" s="1236"/>
      <c r="E56" s="1236"/>
      <c r="G56" s="1236"/>
    </row>
    <row r="57" spans="1:10" ht="15.75" customHeight="1">
      <c r="A57" s="1237" t="s">
        <v>1095</v>
      </c>
      <c r="B57" s="1236"/>
      <c r="D57" s="1236"/>
      <c r="E57" s="1236"/>
      <c r="G57" s="1236"/>
      <c r="H57" s="1" t="str">
        <f>'XM.FILE GOC'!E88</f>
        <v>3.0-4.5</v>
      </c>
      <c r="I57" s="1" t="str">
        <f>'XM.FILE GOC'!F88</f>
        <v>(4.3±0.2)</v>
      </c>
      <c r="J57" s="1350" t="s">
        <v>1233</v>
      </c>
    </row>
    <row r="59" spans="1:10" ht="15.75" customHeight="1">
      <c r="A59" s="1235" t="s">
        <v>1350</v>
      </c>
      <c r="B59" s="1225" t="s">
        <v>245</v>
      </c>
    </row>
    <row r="60" spans="1:10" ht="17.25" customHeight="1">
      <c r="A60" s="2" t="s">
        <v>1351</v>
      </c>
      <c r="B60" s="1226"/>
      <c r="E60" s="1491">
        <f>B60*10.6</f>
        <v>0</v>
      </c>
    </row>
    <row r="61" spans="1:10" ht="17.25" customHeight="1">
      <c r="A61" s="2" t="s">
        <v>1352</v>
      </c>
      <c r="B61" s="1226"/>
      <c r="E61" s="1491">
        <f>B61*10.8</f>
        <v>0</v>
      </c>
    </row>
    <row r="62" spans="1:10" ht="17.25" customHeight="1">
      <c r="A62" s="2" t="s">
        <v>1353</v>
      </c>
      <c r="B62" s="1226"/>
      <c r="E62" s="1491">
        <f>B62*10.8</f>
        <v>0</v>
      </c>
    </row>
    <row r="64" spans="1:10" ht="21" customHeight="1">
      <c r="A64" s="1493" t="str">
        <f>MENU!AC9</f>
        <v>2023/03/21</v>
      </c>
      <c r="B64" s="1493"/>
      <c r="C64" s="1493"/>
      <c r="D64" s="1493"/>
      <c r="E64" s="1493"/>
    </row>
    <row r="65" spans="1:6" ht="21" customHeight="1">
      <c r="A65" s="1492" t="s">
        <v>1296</v>
      </c>
      <c r="B65" s="1492" t="s">
        <v>1297</v>
      </c>
      <c r="C65" s="1492" t="s">
        <v>1329</v>
      </c>
      <c r="D65" s="1492" t="s">
        <v>1298</v>
      </c>
      <c r="E65" s="1492" t="s">
        <v>1299</v>
      </c>
    </row>
    <row r="66" spans="1:6" ht="21" customHeight="1">
      <c r="A66" s="1494" t="s">
        <v>1359</v>
      </c>
      <c r="B66" s="1494" t="s">
        <v>1360</v>
      </c>
      <c r="C66" s="1494" t="s">
        <v>1361</v>
      </c>
      <c r="D66" s="1494" t="s">
        <v>1362</v>
      </c>
      <c r="E66" s="1494">
        <f>E60</f>
        <v>0</v>
      </c>
      <c r="F66" s="118" t="s">
        <v>1354</v>
      </c>
    </row>
    <row r="67" spans="1:6" ht="21" customHeight="1">
      <c r="A67" s="1494" t="s">
        <v>1357</v>
      </c>
      <c r="B67" s="1494" t="s">
        <v>1360</v>
      </c>
      <c r="C67" s="1494" t="s">
        <v>1361</v>
      </c>
      <c r="D67" s="1494" t="s">
        <v>1362</v>
      </c>
      <c r="E67" s="1494">
        <f t="shared" ref="E67:E68" si="0">E61</f>
        <v>0</v>
      </c>
      <c r="F67" s="118" t="s">
        <v>1355</v>
      </c>
    </row>
    <row r="68" spans="1:6" ht="21" customHeight="1">
      <c r="A68" s="1494" t="s">
        <v>1358</v>
      </c>
      <c r="B68" s="1494" t="s">
        <v>1360</v>
      </c>
      <c r="C68" s="1494" t="s">
        <v>1361</v>
      </c>
      <c r="D68" s="1494" t="s">
        <v>1362</v>
      </c>
      <c r="E68" s="1494">
        <f t="shared" si="0"/>
        <v>0</v>
      </c>
      <c r="F68" s="118" t="s">
        <v>1355</v>
      </c>
    </row>
  </sheetData>
  <sheetProtection sheet="1" objects="1" scenarios="1" formatCells="0" formatColumns="0" formatRows="0" insertColumns="0" insertRows="0" insertHyperlinks="0" deleteColumns="0" deleteRows="0" selectLockedCells="1" sort="0" autoFilter="0" pivotTables="0"/>
  <mergeCells count="3">
    <mergeCell ref="O2:Q3"/>
    <mergeCell ref="K2:M2"/>
    <mergeCell ref="K20:M21"/>
  </mergeCells>
  <phoneticPr fontId="6" type="noConversion"/>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AW122"/>
  <sheetViews>
    <sheetView showGridLines="0" topLeftCell="A83" zoomScale="55" zoomScaleNormal="55" workbookViewId="0">
      <selection activeCell="AX56" sqref="AX56"/>
    </sheetView>
  </sheetViews>
  <sheetFormatPr defaultRowHeight="15.75"/>
  <cols>
    <col min="1" max="1" width="13.625" style="292" customWidth="1"/>
    <col min="2" max="2" width="16.25" style="292" hidden="1" customWidth="1"/>
    <col min="3" max="3" width="28.5" style="292" customWidth="1"/>
    <col min="4" max="4" width="12.25" style="292" customWidth="1"/>
    <col min="5" max="6" width="15.375" style="12" customWidth="1"/>
    <col min="7" max="7" width="13.125" style="12" hidden="1" customWidth="1"/>
    <col min="8" max="8" width="13.125" style="292" hidden="1" customWidth="1"/>
    <col min="9" max="9" width="9.5" style="292" customWidth="1"/>
    <col min="10" max="10" width="11.375" style="292" hidden="1" customWidth="1"/>
    <col min="11" max="11" width="2.5" style="292" customWidth="1"/>
    <col min="12" max="12" width="7.875" style="292" customWidth="1"/>
    <col min="13" max="13" width="4.75" style="292" customWidth="1"/>
    <col min="14" max="14" width="6.25" style="292" hidden="1" customWidth="1"/>
    <col min="15" max="15" width="9.125" style="292" customWidth="1"/>
    <col min="16" max="16" width="11.25" style="292" hidden="1" customWidth="1"/>
    <col min="17" max="17" width="3" style="292" customWidth="1"/>
    <col min="18" max="18" width="8.125" style="292" customWidth="1"/>
    <col min="19" max="19" width="5.875" style="292" customWidth="1"/>
    <col min="20" max="20" width="9" style="292" hidden="1" customWidth="1"/>
    <col min="21" max="21" width="9.625" style="292" customWidth="1"/>
    <col min="22" max="22" width="9" style="292" hidden="1" customWidth="1"/>
    <col min="23" max="23" width="3.75" style="292" customWidth="1"/>
    <col min="24" max="24" width="7.375" style="292" customWidth="1"/>
    <col min="25" max="25" width="4.75" style="292" customWidth="1"/>
    <col min="26" max="26" width="9" style="292" hidden="1" customWidth="1"/>
    <col min="27" max="27" width="8.625" style="292" customWidth="1"/>
    <col min="28" max="28" width="9" style="292" hidden="1" customWidth="1"/>
    <col min="29" max="29" width="4" style="292" customWidth="1"/>
    <col min="30" max="30" width="7.5" style="292" customWidth="1"/>
    <col min="31" max="31" width="4.875" style="48" customWidth="1"/>
    <col min="32" max="32" width="9" style="292" hidden="1" customWidth="1"/>
    <col min="33" max="33" width="9.25" style="292" customWidth="1"/>
    <col min="34" max="34" width="9" style="292" hidden="1" customWidth="1"/>
    <col min="35" max="35" width="4" style="292" customWidth="1"/>
    <col min="36" max="36" width="7.375" style="292" customWidth="1"/>
    <col min="37" max="37" width="4.875" style="48" customWidth="1"/>
    <col min="38" max="38" width="6.625" style="292" hidden="1" customWidth="1"/>
    <col min="39" max="39" width="8.75" style="292" customWidth="1"/>
    <col min="40" max="40" width="9" style="292" hidden="1" customWidth="1"/>
    <col min="41" max="41" width="4" style="292" customWidth="1"/>
    <col min="42" max="42" width="7.375" style="292" customWidth="1"/>
    <col min="43" max="43" width="4.875" style="48" customWidth="1"/>
    <col min="44" max="45" width="9" style="292"/>
    <col min="46" max="49" width="0" style="292" hidden="1" customWidth="1"/>
    <col min="50" max="16384" width="9" style="292"/>
  </cols>
  <sheetData>
    <row r="1" spans="1:49" ht="52.5" customHeight="1">
      <c r="A1" s="322"/>
      <c r="B1" s="322"/>
      <c r="C1" s="323" t="s">
        <v>266</v>
      </c>
      <c r="D1" s="324"/>
      <c r="E1" s="1543"/>
      <c r="F1" s="1543"/>
      <c r="G1" s="1543"/>
      <c r="H1" s="324"/>
      <c r="I1" s="324"/>
      <c r="J1" s="324"/>
      <c r="K1" s="324"/>
      <c r="L1" s="324"/>
      <c r="M1" s="324"/>
      <c r="N1" s="324"/>
      <c r="O1" s="324"/>
      <c r="P1" s="324"/>
      <c r="Q1" s="324"/>
      <c r="R1" s="324"/>
      <c r="S1" s="324"/>
      <c r="T1" s="324"/>
      <c r="U1" s="324"/>
      <c r="V1" s="324"/>
      <c r="W1" s="324"/>
      <c r="X1" s="324"/>
      <c r="Y1" s="324"/>
      <c r="Z1" s="324"/>
      <c r="AA1" s="324"/>
      <c r="AB1" s="324"/>
      <c r="AC1" s="324"/>
      <c r="AD1" s="324"/>
      <c r="AE1" s="324"/>
      <c r="AG1" s="222"/>
      <c r="AI1" s="223" t="s">
        <v>189</v>
      </c>
    </row>
    <row r="2" spans="1:49" ht="52.5" customHeight="1">
      <c r="A2" s="917" t="str">
        <f>MENU!$AC$9</f>
        <v>2023/03/21</v>
      </c>
      <c r="B2" s="325"/>
      <c r="C2" s="326" t="s">
        <v>252</v>
      </c>
      <c r="D2" s="327"/>
      <c r="E2" s="1544"/>
      <c r="F2" s="1625"/>
      <c r="G2" s="1544"/>
      <c r="H2" s="327"/>
      <c r="I2" s="327"/>
      <c r="J2" s="327"/>
      <c r="K2" s="327"/>
      <c r="L2" s="327"/>
      <c r="M2" s="327"/>
      <c r="N2" s="327"/>
      <c r="O2" s="327"/>
      <c r="P2" s="327"/>
      <c r="Q2" s="327"/>
      <c r="R2" s="327"/>
      <c r="S2" s="327"/>
      <c r="T2" s="327"/>
      <c r="U2" s="327"/>
      <c r="V2" s="327"/>
      <c r="W2" s="327"/>
      <c r="X2" s="327"/>
      <c r="Y2" s="327"/>
      <c r="Z2" s="327"/>
      <c r="AA2" s="327"/>
      <c r="AB2" s="327"/>
      <c r="AC2" s="327"/>
      <c r="AD2" s="327"/>
      <c r="AE2" s="327"/>
      <c r="AG2" s="318"/>
      <c r="AI2" s="223" t="s">
        <v>190</v>
      </c>
      <c r="AK2" s="292"/>
      <c r="AQ2" s="292"/>
    </row>
    <row r="3" spans="1:49" ht="41.25" customHeight="1">
      <c r="A3" s="1182" t="s">
        <v>230</v>
      </c>
      <c r="B3" s="1183"/>
      <c r="C3" s="1184"/>
      <c r="D3" s="1184"/>
      <c r="E3" s="1545"/>
      <c r="F3" s="1626"/>
      <c r="G3" s="1550"/>
      <c r="H3" s="1185"/>
      <c r="I3" s="1186"/>
      <c r="J3" s="1185"/>
      <c r="K3" s="1185"/>
      <c r="L3" s="1187"/>
      <c r="M3" s="1187"/>
      <c r="N3" s="1187"/>
      <c r="O3" s="1187"/>
      <c r="P3" s="1187"/>
      <c r="Q3" s="1187"/>
      <c r="R3" s="1187"/>
      <c r="S3" s="1185"/>
      <c r="T3" s="1185"/>
      <c r="U3" s="1185"/>
      <c r="V3" s="1185"/>
      <c r="W3" s="1185"/>
      <c r="X3" s="1185"/>
      <c r="Y3" s="1185"/>
      <c r="Z3" s="1185"/>
      <c r="AA3" s="1185"/>
      <c r="AB3" s="1185"/>
      <c r="AC3" s="1185"/>
      <c r="AD3" s="1185"/>
      <c r="AE3" s="1185"/>
      <c r="AF3" s="1180"/>
      <c r="AG3" s="1183"/>
      <c r="AH3" s="1188"/>
      <c r="AI3" s="1188"/>
      <c r="AJ3" s="1188"/>
      <c r="AK3" s="1188"/>
      <c r="AL3" s="1188"/>
      <c r="AM3" s="1188"/>
      <c r="AN3" s="1188"/>
      <c r="AO3" s="1188"/>
      <c r="AP3" s="1188"/>
      <c r="AQ3" s="1189"/>
    </row>
    <row r="4" spans="1:49" ht="36.75" customHeight="1">
      <c r="A4" s="1632"/>
      <c r="B4" s="1620"/>
      <c r="C4" s="1632"/>
      <c r="D4" s="1632"/>
      <c r="E4" s="1632"/>
      <c r="F4" s="1632"/>
      <c r="G4" s="2114" t="s">
        <v>140</v>
      </c>
      <c r="H4" s="98"/>
      <c r="I4" s="298" t="s">
        <v>239</v>
      </c>
      <c r="J4" s="298"/>
      <c r="K4" s="298"/>
      <c r="L4" s="298"/>
      <c r="M4" s="298"/>
      <c r="N4" s="99"/>
      <c r="O4" s="315" t="s">
        <v>240</v>
      </c>
      <c r="P4" s="298"/>
      <c r="Q4" s="298"/>
      <c r="R4" s="298"/>
      <c r="S4" s="299"/>
      <c r="T4" s="298"/>
      <c r="U4" s="298" t="s">
        <v>241</v>
      </c>
      <c r="V4" s="298"/>
      <c r="W4" s="298"/>
      <c r="X4" s="298"/>
      <c r="Y4" s="298"/>
      <c r="Z4" s="99"/>
      <c r="AA4" s="315" t="s">
        <v>242</v>
      </c>
      <c r="AB4" s="298"/>
      <c r="AC4" s="298"/>
      <c r="AD4" s="298"/>
      <c r="AE4" s="299"/>
      <c r="AF4" s="298"/>
      <c r="AG4" s="298" t="s">
        <v>243</v>
      </c>
      <c r="AH4" s="298"/>
      <c r="AI4" s="298"/>
      <c r="AJ4" s="298"/>
      <c r="AK4" s="298"/>
      <c r="AL4" s="298"/>
      <c r="AM4" s="315" t="s">
        <v>244</v>
      </c>
      <c r="AN4" s="298"/>
      <c r="AO4" s="298"/>
      <c r="AP4" s="299"/>
      <c r="AQ4" s="1122"/>
    </row>
    <row r="5" spans="1:49" ht="63.75" customHeight="1">
      <c r="A5" s="1624" t="s">
        <v>267</v>
      </c>
      <c r="B5" s="1620" t="s">
        <v>350</v>
      </c>
      <c r="C5" s="1624" t="s">
        <v>348</v>
      </c>
      <c r="D5" s="1624" t="s">
        <v>1423</v>
      </c>
      <c r="E5" s="1624" t="s">
        <v>1413</v>
      </c>
      <c r="F5" s="1624" t="s">
        <v>1412</v>
      </c>
      <c r="G5" s="2115"/>
      <c r="H5" s="20"/>
      <c r="I5" s="1113" t="s">
        <v>145</v>
      </c>
      <c r="J5" s="34" t="s">
        <v>1</v>
      </c>
      <c r="K5" s="316" t="s">
        <v>1</v>
      </c>
      <c r="L5" s="316"/>
      <c r="M5" s="317"/>
      <c r="N5" s="100"/>
      <c r="O5" s="1113" t="s">
        <v>145</v>
      </c>
      <c r="P5" s="34" t="s">
        <v>1</v>
      </c>
      <c r="Q5" s="316" t="s">
        <v>1</v>
      </c>
      <c r="R5" s="316"/>
      <c r="S5" s="317"/>
      <c r="T5" s="20"/>
      <c r="U5" s="1113" t="s">
        <v>145</v>
      </c>
      <c r="V5" s="34" t="s">
        <v>1</v>
      </c>
      <c r="W5" s="316" t="s">
        <v>1</v>
      </c>
      <c r="X5" s="316"/>
      <c r="Y5" s="317"/>
      <c r="Z5" s="100"/>
      <c r="AA5" s="1113" t="s">
        <v>145</v>
      </c>
      <c r="AB5" s="34" t="s">
        <v>1</v>
      </c>
      <c r="AC5" s="316" t="s">
        <v>1</v>
      </c>
      <c r="AD5" s="316"/>
      <c r="AE5" s="317"/>
      <c r="AF5" s="100"/>
      <c r="AG5" s="1113" t="s">
        <v>145</v>
      </c>
      <c r="AH5" s="34" t="s">
        <v>1</v>
      </c>
      <c r="AI5" s="316" t="s">
        <v>1</v>
      </c>
      <c r="AJ5" s="316"/>
      <c r="AK5" s="317"/>
      <c r="AL5" s="100"/>
      <c r="AM5" s="1113" t="s">
        <v>145</v>
      </c>
      <c r="AN5" s="34" t="s">
        <v>1</v>
      </c>
      <c r="AO5" s="316" t="s">
        <v>1</v>
      </c>
      <c r="AP5" s="316"/>
      <c r="AQ5" s="317"/>
    </row>
    <row r="6" spans="1:49" ht="34.5" customHeight="1">
      <c r="A6" s="1115" t="s">
        <v>268</v>
      </c>
      <c r="B6" s="1115" t="s">
        <v>234</v>
      </c>
      <c r="C6" s="1115" t="s">
        <v>80</v>
      </c>
      <c r="D6" s="1121" t="s">
        <v>4</v>
      </c>
      <c r="E6" s="13" t="str">
        <f>'XM.GUI MAIL'!E6</f>
        <v>25~35</v>
      </c>
      <c r="F6" s="13" t="str">
        <f>'XM.GUI MAIL'!F6</f>
        <v>(30±2)</v>
      </c>
      <c r="G6" s="1209">
        <f>'XM.GUI MAIL'!G6</f>
        <v>30</v>
      </c>
      <c r="H6" s="102">
        <f>XM.HN!B3</f>
        <v>0</v>
      </c>
      <c r="I6" s="1657">
        <f>H6*4</f>
        <v>0</v>
      </c>
      <c r="J6" s="36">
        <f>($G$6-I6)*2693/1000</f>
        <v>80.790000000000006</v>
      </c>
      <c r="K6" s="37" t="s">
        <v>8</v>
      </c>
      <c r="L6" s="38">
        <f>IF(J6&lt;0,0,J6)</f>
        <v>80.790000000000006</v>
      </c>
      <c r="M6" s="39" t="s">
        <v>9</v>
      </c>
      <c r="N6" s="102">
        <f>XM.HN!C3</f>
        <v>0</v>
      </c>
      <c r="O6" s="1657">
        <f>N6*4</f>
        <v>0</v>
      </c>
      <c r="P6" s="36">
        <f>($G$6-O6)*2693/1000</f>
        <v>80.790000000000006</v>
      </c>
      <c r="Q6" s="37" t="s">
        <v>8</v>
      </c>
      <c r="R6" s="38">
        <f>IF(P6&lt;0,0,P6)</f>
        <v>80.790000000000006</v>
      </c>
      <c r="S6" s="39" t="s">
        <v>9</v>
      </c>
      <c r="T6" s="102">
        <f>XM.HN!D3</f>
        <v>0</v>
      </c>
      <c r="U6" s="1657">
        <f>T6*4</f>
        <v>0</v>
      </c>
      <c r="V6" s="36">
        <f>($G$6-U6)*2693/1000</f>
        <v>80.790000000000006</v>
      </c>
      <c r="W6" s="37" t="s">
        <v>8</v>
      </c>
      <c r="X6" s="38">
        <f>IF(V6&lt;0,0,V6)</f>
        <v>80.790000000000006</v>
      </c>
      <c r="Y6" s="39" t="s">
        <v>9</v>
      </c>
      <c r="Z6" s="102">
        <f>XM.HN!E3</f>
        <v>0</v>
      </c>
      <c r="AA6" s="1657">
        <f>Z6*4</f>
        <v>0</v>
      </c>
      <c r="AB6" s="36">
        <f>($G$6-AA6)*2693/1000</f>
        <v>80.790000000000006</v>
      </c>
      <c r="AC6" s="37" t="s">
        <v>8</v>
      </c>
      <c r="AD6" s="38">
        <f>IF(AB6&lt;0,0,AB6)</f>
        <v>80.790000000000006</v>
      </c>
      <c r="AE6" s="39" t="s">
        <v>9</v>
      </c>
      <c r="AF6" s="102">
        <f>XM.HN!F3</f>
        <v>0</v>
      </c>
      <c r="AG6" s="1657">
        <f>AF6*4</f>
        <v>0</v>
      </c>
      <c r="AH6" s="36">
        <f>($G$6-AG6)*2693/1000</f>
        <v>80.790000000000006</v>
      </c>
      <c r="AI6" s="37" t="s">
        <v>8</v>
      </c>
      <c r="AJ6" s="38">
        <f>IF(AH6&lt;0,0,AH6)</f>
        <v>80.790000000000006</v>
      </c>
      <c r="AK6" s="39" t="s">
        <v>9</v>
      </c>
      <c r="AL6" s="102">
        <f>XM.HN!G3</f>
        <v>0</v>
      </c>
      <c r="AM6" s="1657">
        <f>AL6*4</f>
        <v>0</v>
      </c>
      <c r="AN6" s="36">
        <f>($G$6-AM6)*2693/1000</f>
        <v>80.790000000000006</v>
      </c>
      <c r="AO6" s="37" t="s">
        <v>8</v>
      </c>
      <c r="AP6" s="38">
        <f>IF(AN6&lt;0,0,AN6)</f>
        <v>80.790000000000006</v>
      </c>
      <c r="AQ6" s="39" t="s">
        <v>9</v>
      </c>
      <c r="AS6" s="1657">
        <v>0</v>
      </c>
      <c r="AT6" s="292">
        <v>80.790000000000006</v>
      </c>
      <c r="AU6" s="292" t="s">
        <v>8</v>
      </c>
      <c r="AV6" s="292">
        <v>80.790000000000006</v>
      </c>
      <c r="AW6" s="292" t="s">
        <v>9</v>
      </c>
    </row>
    <row r="7" spans="1:49" ht="34.5" customHeight="1">
      <c r="A7" s="1115" t="s">
        <v>269</v>
      </c>
      <c r="B7" s="1115" t="s">
        <v>234</v>
      </c>
      <c r="C7" s="1115" t="s">
        <v>81</v>
      </c>
      <c r="D7" s="1121" t="s">
        <v>4</v>
      </c>
      <c r="E7" s="13" t="str">
        <f>'XM.GUI MAIL'!E7</f>
        <v>25~35</v>
      </c>
      <c r="F7" s="13" t="str">
        <f>'XM.GUI MAIL'!F7</f>
        <v>(30±2)</v>
      </c>
      <c r="G7" s="1209">
        <f>'XM.GUI MAIL'!G7</f>
        <v>30</v>
      </c>
      <c r="H7" s="102">
        <f>XM.HN!B4</f>
        <v>0</v>
      </c>
      <c r="I7" s="1657">
        <f>H7*4</f>
        <v>0</v>
      </c>
      <c r="J7" s="36">
        <f>($G$7-I7)*3305/1000</f>
        <v>99.15</v>
      </c>
      <c r="K7" s="37" t="s">
        <v>8</v>
      </c>
      <c r="L7" s="38">
        <f t="shared" ref="L7:L12" si="0">IF(J7&lt;0,0,J7)</f>
        <v>99.15</v>
      </c>
      <c r="M7" s="39" t="s">
        <v>9</v>
      </c>
      <c r="N7" s="102">
        <f>XM.HN!C4</f>
        <v>0</v>
      </c>
      <c r="O7" s="1657">
        <f>N7*4</f>
        <v>0</v>
      </c>
      <c r="P7" s="36">
        <f>($G$7-O7)*3305/1000</f>
        <v>99.15</v>
      </c>
      <c r="Q7" s="37" t="s">
        <v>8</v>
      </c>
      <c r="R7" s="38">
        <f t="shared" ref="R7" si="1">IF(P7&lt;0,0,P7)</f>
        <v>99.15</v>
      </c>
      <c r="S7" s="39" t="s">
        <v>9</v>
      </c>
      <c r="T7" s="102">
        <f>XM.HN!D4</f>
        <v>0</v>
      </c>
      <c r="U7" s="1657">
        <f>T7*4</f>
        <v>0</v>
      </c>
      <c r="V7" s="36">
        <f>($G$7-U7)*3305/1000</f>
        <v>99.15</v>
      </c>
      <c r="W7" s="37" t="s">
        <v>8</v>
      </c>
      <c r="X7" s="38">
        <f t="shared" ref="X7" si="2">IF(V7&lt;0,0,V7)</f>
        <v>99.15</v>
      </c>
      <c r="Y7" s="39" t="s">
        <v>9</v>
      </c>
      <c r="Z7" s="102">
        <f>XM.HN!E4</f>
        <v>0</v>
      </c>
      <c r="AA7" s="1657">
        <f>Z7*4</f>
        <v>0</v>
      </c>
      <c r="AB7" s="36">
        <f>($G$7-AA7)*3305/1000</f>
        <v>99.15</v>
      </c>
      <c r="AC7" s="37" t="s">
        <v>8</v>
      </c>
      <c r="AD7" s="38">
        <f t="shared" ref="AD7" si="3">IF(AB7&lt;0,0,AB7)</f>
        <v>99.15</v>
      </c>
      <c r="AE7" s="39" t="s">
        <v>9</v>
      </c>
      <c r="AF7" s="102">
        <f>XM.HN!F4</f>
        <v>0</v>
      </c>
      <c r="AG7" s="1657">
        <f>AF7*4</f>
        <v>0</v>
      </c>
      <c r="AH7" s="36">
        <f>($G$7-AG7)*3305/1000</f>
        <v>99.15</v>
      </c>
      <c r="AI7" s="37" t="s">
        <v>8</v>
      </c>
      <c r="AJ7" s="38">
        <f t="shared" ref="AJ7" si="4">IF(AH7&lt;0,0,AH7)</f>
        <v>99.15</v>
      </c>
      <c r="AK7" s="39" t="s">
        <v>9</v>
      </c>
      <c r="AL7" s="102">
        <f>XM.HN!G4</f>
        <v>0</v>
      </c>
      <c r="AM7" s="1657">
        <f>AL7*4</f>
        <v>0</v>
      </c>
      <c r="AN7" s="36">
        <f>($G$7-AM7)*3305/1000</f>
        <v>99.15</v>
      </c>
      <c r="AO7" s="37" t="s">
        <v>8</v>
      </c>
      <c r="AP7" s="38">
        <f t="shared" ref="AP7" si="5">IF(AN7&lt;0,0,AN7)</f>
        <v>99.15</v>
      </c>
      <c r="AQ7" s="39" t="s">
        <v>9</v>
      </c>
      <c r="AS7" s="1657">
        <v>0</v>
      </c>
      <c r="AT7" s="292">
        <v>99.15</v>
      </c>
      <c r="AU7" s="292" t="s">
        <v>8</v>
      </c>
      <c r="AV7" s="292">
        <v>99.15</v>
      </c>
      <c r="AW7" s="292" t="s">
        <v>9</v>
      </c>
    </row>
    <row r="8" spans="1:49" ht="34.5" customHeight="1">
      <c r="A8" s="1115" t="s">
        <v>270</v>
      </c>
      <c r="B8" s="1115" t="s">
        <v>234</v>
      </c>
      <c r="C8" s="1115" t="s">
        <v>52</v>
      </c>
      <c r="D8" s="52" t="s">
        <v>4</v>
      </c>
      <c r="E8" s="13" t="str">
        <f>'XM.GUI MAIL'!E8</f>
        <v>60~80</v>
      </c>
      <c r="F8" s="13" t="str">
        <f>'XM.GUI MAIL'!F8</f>
        <v>(70±10)</v>
      </c>
      <c r="G8" s="1209">
        <f>'XM.GUI MAIL'!G8</f>
        <v>70</v>
      </c>
      <c r="H8" s="102">
        <f>XM.HN!B5</f>
        <v>0</v>
      </c>
      <c r="I8" s="1669">
        <f>H8*4</f>
        <v>0</v>
      </c>
      <c r="J8" s="36">
        <f>($G$8-I8)*1156/1000</f>
        <v>80.92</v>
      </c>
      <c r="K8" s="37" t="s">
        <v>8</v>
      </c>
      <c r="L8" s="38">
        <f t="shared" si="0"/>
        <v>80.92</v>
      </c>
      <c r="M8" s="39" t="s">
        <v>9</v>
      </c>
      <c r="N8" s="102">
        <f>XM.HN!C5</f>
        <v>0</v>
      </c>
      <c r="O8" s="1669">
        <f>N8*4</f>
        <v>0</v>
      </c>
      <c r="P8" s="36">
        <f>($G$8-O8)*1156/1000</f>
        <v>80.92</v>
      </c>
      <c r="Q8" s="37" t="s">
        <v>8</v>
      </c>
      <c r="R8" s="38">
        <f t="shared" ref="R8:R12" si="6">IF(P8&lt;0,0,P8)</f>
        <v>80.92</v>
      </c>
      <c r="S8" s="39" t="s">
        <v>9</v>
      </c>
      <c r="T8" s="102">
        <f>XM.HN!D5</f>
        <v>0</v>
      </c>
      <c r="U8" s="1669">
        <f>T8*4</f>
        <v>0</v>
      </c>
      <c r="V8" s="36">
        <f>($G$8-U8)*1156/1000</f>
        <v>80.92</v>
      </c>
      <c r="W8" s="37" t="s">
        <v>8</v>
      </c>
      <c r="X8" s="38">
        <f t="shared" ref="X8:X12" si="7">IF(V8&lt;0,0,V8)</f>
        <v>80.92</v>
      </c>
      <c r="Y8" s="39" t="s">
        <v>9</v>
      </c>
      <c r="Z8" s="102">
        <f>XM.HN!E5</f>
        <v>0</v>
      </c>
      <c r="AA8" s="1669">
        <f>Z8*4</f>
        <v>0</v>
      </c>
      <c r="AB8" s="36">
        <f>($G$8-AA8)*1156/1000</f>
        <v>80.92</v>
      </c>
      <c r="AC8" s="37" t="s">
        <v>8</v>
      </c>
      <c r="AD8" s="38">
        <f t="shared" ref="AD8:AD12" si="8">IF(AB8&lt;0,0,AB8)</f>
        <v>80.92</v>
      </c>
      <c r="AE8" s="39" t="s">
        <v>9</v>
      </c>
      <c r="AF8" s="102">
        <f>XM.HN!F5</f>
        <v>0</v>
      </c>
      <c r="AG8" s="1669">
        <f>AF8*4</f>
        <v>0</v>
      </c>
      <c r="AH8" s="36">
        <f>($G$8-AG8)*1156/1000</f>
        <v>80.92</v>
      </c>
      <c r="AI8" s="37" t="s">
        <v>8</v>
      </c>
      <c r="AJ8" s="38">
        <f t="shared" ref="AJ8:AJ12" si="9">IF(AH8&lt;0,0,AH8)</f>
        <v>80.92</v>
      </c>
      <c r="AK8" s="39" t="s">
        <v>9</v>
      </c>
      <c r="AL8" s="102">
        <f>XM.HN!G5</f>
        <v>0</v>
      </c>
      <c r="AM8" s="1669">
        <f>AL8*4</f>
        <v>0</v>
      </c>
      <c r="AN8" s="36">
        <f>($G$8-AM8)*1156/1000</f>
        <v>80.92</v>
      </c>
      <c r="AO8" s="37" t="s">
        <v>8</v>
      </c>
      <c r="AP8" s="38">
        <f t="shared" ref="AP8:AP12" si="10">IF(AN8&lt;0,0,AN8)</f>
        <v>80.92</v>
      </c>
      <c r="AQ8" s="39" t="s">
        <v>9</v>
      </c>
      <c r="AS8" s="1669">
        <v>0</v>
      </c>
      <c r="AT8" s="292">
        <v>80.92</v>
      </c>
      <c r="AU8" s="292" t="s">
        <v>8</v>
      </c>
      <c r="AV8" s="292">
        <v>80.92</v>
      </c>
      <c r="AW8" s="292" t="s">
        <v>9</v>
      </c>
    </row>
    <row r="9" spans="1:49" ht="34.5" customHeight="1">
      <c r="A9" s="1115" t="s">
        <v>271</v>
      </c>
      <c r="B9" s="1115" t="s">
        <v>234</v>
      </c>
      <c r="C9" s="1115" t="s">
        <v>53</v>
      </c>
      <c r="D9" s="52" t="s">
        <v>4</v>
      </c>
      <c r="E9" s="13" t="str">
        <f>'XM.GUI MAIL'!E9</f>
        <v>60~80</v>
      </c>
      <c r="F9" s="13" t="str">
        <f>'XM.GUI MAIL'!F9</f>
        <v>(70±10)</v>
      </c>
      <c r="G9" s="1209">
        <f>'XM.GUI MAIL'!G9</f>
        <v>70</v>
      </c>
      <c r="H9" s="102">
        <f>XM.HN!B6</f>
        <v>0</v>
      </c>
      <c r="I9" s="1669">
        <f>H9*4</f>
        <v>0</v>
      </c>
      <c r="J9" s="36">
        <f>($G$9-I9)*1459/1000</f>
        <v>102.13</v>
      </c>
      <c r="K9" s="37" t="s">
        <v>8</v>
      </c>
      <c r="L9" s="38">
        <f t="shared" si="0"/>
        <v>102.13</v>
      </c>
      <c r="M9" s="39" t="s">
        <v>9</v>
      </c>
      <c r="N9" s="102">
        <f>XM.HN!C6</f>
        <v>0</v>
      </c>
      <c r="O9" s="1669">
        <f>N9*4</f>
        <v>0</v>
      </c>
      <c r="P9" s="36">
        <f>($G$9-O9)*1459/1000</f>
        <v>102.13</v>
      </c>
      <c r="Q9" s="37" t="s">
        <v>8</v>
      </c>
      <c r="R9" s="38">
        <f t="shared" si="6"/>
        <v>102.13</v>
      </c>
      <c r="S9" s="39" t="s">
        <v>9</v>
      </c>
      <c r="T9" s="102">
        <f>XM.HN!D6</f>
        <v>0</v>
      </c>
      <c r="U9" s="1669">
        <f>T9*4</f>
        <v>0</v>
      </c>
      <c r="V9" s="36">
        <f>($G$9-U9)*1459/1000</f>
        <v>102.13</v>
      </c>
      <c r="W9" s="37" t="s">
        <v>8</v>
      </c>
      <c r="X9" s="38">
        <f t="shared" si="7"/>
        <v>102.13</v>
      </c>
      <c r="Y9" s="39" t="s">
        <v>9</v>
      </c>
      <c r="Z9" s="102">
        <f>XM.HN!E6</f>
        <v>0</v>
      </c>
      <c r="AA9" s="1669">
        <f>Z9*4</f>
        <v>0</v>
      </c>
      <c r="AB9" s="36">
        <f>($G$9-AA9)*1459/1000</f>
        <v>102.13</v>
      </c>
      <c r="AC9" s="37" t="s">
        <v>8</v>
      </c>
      <c r="AD9" s="38">
        <f t="shared" si="8"/>
        <v>102.13</v>
      </c>
      <c r="AE9" s="39" t="s">
        <v>9</v>
      </c>
      <c r="AF9" s="102">
        <f>XM.HN!F6</f>
        <v>0</v>
      </c>
      <c r="AG9" s="1669">
        <f>AF9*4</f>
        <v>0</v>
      </c>
      <c r="AH9" s="36">
        <f>($G$9-AG9)*1459/1000</f>
        <v>102.13</v>
      </c>
      <c r="AI9" s="37" t="s">
        <v>8</v>
      </c>
      <c r="AJ9" s="38">
        <f t="shared" si="9"/>
        <v>102.13</v>
      </c>
      <c r="AK9" s="39" t="s">
        <v>9</v>
      </c>
      <c r="AL9" s="102">
        <f>XM.HN!G6</f>
        <v>0</v>
      </c>
      <c r="AM9" s="1669">
        <f>AL9*4</f>
        <v>0</v>
      </c>
      <c r="AN9" s="36">
        <f>($G$9-AM9)*1459/1000</f>
        <v>102.13</v>
      </c>
      <c r="AO9" s="37" t="s">
        <v>8</v>
      </c>
      <c r="AP9" s="38">
        <f t="shared" si="10"/>
        <v>102.13</v>
      </c>
      <c r="AQ9" s="39" t="s">
        <v>9</v>
      </c>
      <c r="AS9" s="1669">
        <v>0</v>
      </c>
      <c r="AT9" s="292">
        <v>102.13</v>
      </c>
      <c r="AU9" s="292" t="s">
        <v>8</v>
      </c>
      <c r="AV9" s="292">
        <v>102.13</v>
      </c>
      <c r="AW9" s="292" t="s">
        <v>9</v>
      </c>
    </row>
    <row r="10" spans="1:49" ht="34.5" customHeight="1">
      <c r="A10" s="1115" t="s">
        <v>272</v>
      </c>
      <c r="B10" s="1115" t="s">
        <v>234</v>
      </c>
      <c r="C10" s="1116" t="s">
        <v>59</v>
      </c>
      <c r="D10" s="1121" t="s">
        <v>4</v>
      </c>
      <c r="E10" s="13" t="str">
        <f>'XM.GUI MAIL'!E10</f>
        <v>130 - 150</v>
      </c>
      <c r="F10" s="13" t="str">
        <f>'XM.GUI MAIL'!F10</f>
        <v>(140±5L)</v>
      </c>
      <c r="G10" s="1209">
        <f>'XM.GUI MAIL'!G10</f>
        <v>140</v>
      </c>
      <c r="H10" s="102">
        <f>XM.HN!B7</f>
        <v>0</v>
      </c>
      <c r="I10" s="1657">
        <f>H10*8</f>
        <v>0</v>
      </c>
      <c r="J10" s="36">
        <f>($G$10-I10)*19951/1000</f>
        <v>2793.14</v>
      </c>
      <c r="K10" s="37" t="s">
        <v>8</v>
      </c>
      <c r="L10" s="38">
        <f t="shared" si="0"/>
        <v>2793.14</v>
      </c>
      <c r="M10" s="39" t="s">
        <v>9</v>
      </c>
      <c r="N10" s="102">
        <f>XM.HN!C7</f>
        <v>0</v>
      </c>
      <c r="O10" s="1657">
        <f>N10*8</f>
        <v>0</v>
      </c>
      <c r="P10" s="36">
        <f>($G$10-O10)*19951/1000</f>
        <v>2793.14</v>
      </c>
      <c r="Q10" s="37" t="s">
        <v>8</v>
      </c>
      <c r="R10" s="38">
        <f t="shared" si="6"/>
        <v>2793.14</v>
      </c>
      <c r="S10" s="39" t="s">
        <v>9</v>
      </c>
      <c r="T10" s="102">
        <f>XM.HN!D7</f>
        <v>0</v>
      </c>
      <c r="U10" s="1657">
        <f>T10*8</f>
        <v>0</v>
      </c>
      <c r="V10" s="36">
        <f>($G$10-U10)*19951/1000</f>
        <v>2793.14</v>
      </c>
      <c r="W10" s="37" t="s">
        <v>8</v>
      </c>
      <c r="X10" s="38">
        <f t="shared" si="7"/>
        <v>2793.14</v>
      </c>
      <c r="Y10" s="39" t="s">
        <v>9</v>
      </c>
      <c r="Z10" s="102">
        <f>XM.HN!E7</f>
        <v>0</v>
      </c>
      <c r="AA10" s="1657">
        <f>Z10*8</f>
        <v>0</v>
      </c>
      <c r="AB10" s="36">
        <f>($G$10-AA10)*19951/1000</f>
        <v>2793.14</v>
      </c>
      <c r="AC10" s="37" t="s">
        <v>8</v>
      </c>
      <c r="AD10" s="38">
        <f t="shared" si="8"/>
        <v>2793.14</v>
      </c>
      <c r="AE10" s="39" t="s">
        <v>9</v>
      </c>
      <c r="AF10" s="102">
        <f>XM.HN!F7</f>
        <v>0</v>
      </c>
      <c r="AG10" s="1657">
        <f>AF10*8</f>
        <v>0</v>
      </c>
      <c r="AH10" s="36">
        <f>($G$10-AG10)*19951/1000</f>
        <v>2793.14</v>
      </c>
      <c r="AI10" s="37" t="s">
        <v>8</v>
      </c>
      <c r="AJ10" s="38">
        <f t="shared" si="9"/>
        <v>2793.14</v>
      </c>
      <c r="AK10" s="39" t="s">
        <v>9</v>
      </c>
      <c r="AL10" s="102">
        <f>XM.HN!G7</f>
        <v>0</v>
      </c>
      <c r="AM10" s="1657">
        <f>AL10*8</f>
        <v>0</v>
      </c>
      <c r="AN10" s="36">
        <f>($G$10-AM10)*19951/1000</f>
        <v>2793.14</v>
      </c>
      <c r="AO10" s="37" t="s">
        <v>8</v>
      </c>
      <c r="AP10" s="38">
        <f t="shared" si="10"/>
        <v>2793.14</v>
      </c>
      <c r="AQ10" s="39" t="s">
        <v>9</v>
      </c>
      <c r="AS10" s="1657">
        <v>0</v>
      </c>
      <c r="AT10" s="292">
        <v>2793.14</v>
      </c>
      <c r="AU10" s="292" t="s">
        <v>8</v>
      </c>
      <c r="AV10" s="292">
        <v>2793.14</v>
      </c>
      <c r="AW10" s="292" t="s">
        <v>9</v>
      </c>
    </row>
    <row r="11" spans="1:49" ht="34.5" customHeight="1">
      <c r="A11" s="52" t="s">
        <v>273</v>
      </c>
      <c r="B11" s="1115" t="s">
        <v>234</v>
      </c>
      <c r="C11" s="1107" t="s">
        <v>60</v>
      </c>
      <c r="D11" s="1121" t="s">
        <v>4</v>
      </c>
      <c r="E11" s="13" t="str">
        <f>'XM.GUI MAIL'!E11</f>
        <v>7~12</v>
      </c>
      <c r="F11" s="13" t="str">
        <f>'XM.GUI MAIL'!F11</f>
        <v>(9g±1)</v>
      </c>
      <c r="G11" s="1209">
        <f>'XM.GUI MAIL'!G11</f>
        <v>9</v>
      </c>
      <c r="H11" s="102">
        <f>XM.HN!B8</f>
        <v>0</v>
      </c>
      <c r="I11" s="664">
        <f>H11*1.3</f>
        <v>0</v>
      </c>
      <c r="J11" s="36">
        <f>($G$11-I11)*19951/1000</f>
        <v>179.559</v>
      </c>
      <c r="K11" s="37" t="s">
        <v>8</v>
      </c>
      <c r="L11" s="38">
        <f t="shared" si="0"/>
        <v>179.559</v>
      </c>
      <c r="M11" s="39" t="s">
        <v>1046</v>
      </c>
      <c r="N11" s="102">
        <f>XM.HN!C8</f>
        <v>0</v>
      </c>
      <c r="O11" s="664">
        <f>N11*1.3</f>
        <v>0</v>
      </c>
      <c r="P11" s="36">
        <f>($G$11-O11)*19951/1000</f>
        <v>179.559</v>
      </c>
      <c r="Q11" s="37" t="s">
        <v>8</v>
      </c>
      <c r="R11" s="38">
        <f t="shared" si="6"/>
        <v>179.559</v>
      </c>
      <c r="S11" s="39" t="s">
        <v>1239</v>
      </c>
      <c r="T11" s="102">
        <f>XM.HN!D8</f>
        <v>0</v>
      </c>
      <c r="U11" s="664">
        <f>T11*1.3</f>
        <v>0</v>
      </c>
      <c r="V11" s="36">
        <f>($G$11-U11)*19951/1000</f>
        <v>179.559</v>
      </c>
      <c r="W11" s="37" t="s">
        <v>8</v>
      </c>
      <c r="X11" s="38">
        <f t="shared" si="7"/>
        <v>179.559</v>
      </c>
      <c r="Y11" s="39" t="s">
        <v>1046</v>
      </c>
      <c r="Z11" s="102">
        <f>XM.HN!E8</f>
        <v>0</v>
      </c>
      <c r="AA11" s="664">
        <f>Z11*1.3</f>
        <v>0</v>
      </c>
      <c r="AB11" s="36">
        <f>($G$11-AA11)*19951/1000</f>
        <v>179.559</v>
      </c>
      <c r="AC11" s="37" t="s">
        <v>1240</v>
      </c>
      <c r="AD11" s="38">
        <f t="shared" si="8"/>
        <v>179.559</v>
      </c>
      <c r="AE11" s="39" t="s">
        <v>1046</v>
      </c>
      <c r="AF11" s="102">
        <f>XM.HN!F8</f>
        <v>0</v>
      </c>
      <c r="AG11" s="664">
        <f>AF11*1.3</f>
        <v>0</v>
      </c>
      <c r="AH11" s="36">
        <f>($G$11-AG11)*19951/1000</f>
        <v>179.559</v>
      </c>
      <c r="AI11" s="37" t="s">
        <v>8</v>
      </c>
      <c r="AJ11" s="38">
        <f t="shared" si="9"/>
        <v>179.559</v>
      </c>
      <c r="AK11" s="39" t="s">
        <v>1046</v>
      </c>
      <c r="AL11" s="102">
        <f>XM.HN!G8</f>
        <v>0</v>
      </c>
      <c r="AM11" s="664">
        <f>AL11*1.3</f>
        <v>0</v>
      </c>
      <c r="AN11" s="36">
        <f>($G$11-AM11)*19951/1000</f>
        <v>179.559</v>
      </c>
      <c r="AO11" s="37" t="s">
        <v>8</v>
      </c>
      <c r="AP11" s="38">
        <f t="shared" si="10"/>
        <v>179.559</v>
      </c>
      <c r="AQ11" s="39" t="s">
        <v>1046</v>
      </c>
      <c r="AS11" s="664">
        <v>0</v>
      </c>
      <c r="AT11" s="292">
        <v>179.559</v>
      </c>
      <c r="AU11" s="292" t="s">
        <v>8</v>
      </c>
      <c r="AV11" s="292">
        <v>179.559</v>
      </c>
      <c r="AW11" s="292" t="s">
        <v>9</v>
      </c>
    </row>
    <row r="12" spans="1:49" ht="34.5" customHeight="1">
      <c r="A12" s="308" t="s">
        <v>279</v>
      </c>
      <c r="B12" s="1115" t="s">
        <v>234</v>
      </c>
      <c r="C12" s="1119" t="s">
        <v>1034</v>
      </c>
      <c r="D12" s="1121" t="s">
        <v>3</v>
      </c>
      <c r="E12" s="13" t="str">
        <f>'XM.GUI MAIL'!E12</f>
        <v xml:space="preserve">12~18 </v>
      </c>
      <c r="F12" s="13" t="str">
        <f>'XM.GUI MAIL'!F12</f>
        <v>(14±2)</v>
      </c>
      <c r="G12" s="1209">
        <f>'XM.GUI MAIL'!G12</f>
        <v>14</v>
      </c>
      <c r="H12" s="102">
        <f>XM.HN!B9</f>
        <v>0</v>
      </c>
      <c r="I12" s="664">
        <f>H12*100/6.95/10</f>
        <v>0</v>
      </c>
      <c r="J12" s="36">
        <f>($G$12-I12)*575/100</f>
        <v>80.5</v>
      </c>
      <c r="K12" s="37" t="s">
        <v>8</v>
      </c>
      <c r="L12" s="38">
        <f t="shared" si="0"/>
        <v>80.5</v>
      </c>
      <c r="M12" s="43" t="s">
        <v>10</v>
      </c>
      <c r="N12" s="116">
        <f>XM.HN!C9</f>
        <v>0</v>
      </c>
      <c r="O12" s="664">
        <f>N12*100/6.95/10</f>
        <v>0</v>
      </c>
      <c r="P12" s="36">
        <f>($G$12-O12)*575/100</f>
        <v>80.5</v>
      </c>
      <c r="Q12" s="37" t="s">
        <v>8</v>
      </c>
      <c r="R12" s="38">
        <f t="shared" si="6"/>
        <v>80.5</v>
      </c>
      <c r="S12" s="43" t="s">
        <v>10</v>
      </c>
      <c r="T12" s="100">
        <f>XM.HN!D9</f>
        <v>0</v>
      </c>
      <c r="U12" s="664">
        <f>T12*100/6.95/10</f>
        <v>0</v>
      </c>
      <c r="V12" s="36">
        <f>($G$12-U12)*575/100</f>
        <v>80.5</v>
      </c>
      <c r="W12" s="37" t="s">
        <v>8</v>
      </c>
      <c r="X12" s="38">
        <f t="shared" si="7"/>
        <v>80.5</v>
      </c>
      <c r="Y12" s="43" t="s">
        <v>10</v>
      </c>
      <c r="Z12" s="20">
        <f>XM.HN!E9</f>
        <v>0</v>
      </c>
      <c r="AA12" s="664">
        <f>Z12*100/6.95/10</f>
        <v>0</v>
      </c>
      <c r="AB12" s="36">
        <f>($G$12-AA12)*575/100</f>
        <v>80.5</v>
      </c>
      <c r="AC12" s="37" t="s">
        <v>8</v>
      </c>
      <c r="AD12" s="38">
        <f t="shared" si="8"/>
        <v>80.5</v>
      </c>
      <c r="AE12" s="43" t="s">
        <v>10</v>
      </c>
      <c r="AF12" s="100">
        <f>XM.HN!F9</f>
        <v>0</v>
      </c>
      <c r="AG12" s="664">
        <f>AF12*100/6.95/10</f>
        <v>0</v>
      </c>
      <c r="AH12" s="36">
        <f>($G$12-AG12)*575/100</f>
        <v>80.5</v>
      </c>
      <c r="AI12" s="37" t="s">
        <v>8</v>
      </c>
      <c r="AJ12" s="38">
        <f t="shared" si="9"/>
        <v>80.5</v>
      </c>
      <c r="AK12" s="43" t="s">
        <v>10</v>
      </c>
      <c r="AL12" s="100">
        <f>XM.HN!G9</f>
        <v>0</v>
      </c>
      <c r="AM12" s="664">
        <f>AL12*100/6.95/10</f>
        <v>0</v>
      </c>
      <c r="AN12" s="36">
        <f>($G$12-AM12)*575/100</f>
        <v>80.5</v>
      </c>
      <c r="AO12" s="37" t="s">
        <v>8</v>
      </c>
      <c r="AP12" s="38">
        <f t="shared" si="10"/>
        <v>80.5</v>
      </c>
      <c r="AQ12" s="39" t="s">
        <v>10</v>
      </c>
      <c r="AS12" s="664">
        <v>0</v>
      </c>
      <c r="AT12" s="292">
        <v>80.5</v>
      </c>
      <c r="AU12" s="292" t="s">
        <v>8</v>
      </c>
      <c r="AV12" s="292">
        <v>80.5</v>
      </c>
      <c r="AW12" s="292" t="s">
        <v>10</v>
      </c>
    </row>
    <row r="13" spans="1:49" ht="34.5" customHeight="1">
      <c r="A13" s="308" t="s">
        <v>281</v>
      </c>
      <c r="B13" s="1115" t="s">
        <v>234</v>
      </c>
      <c r="C13" s="311"/>
      <c r="D13" s="1121" t="s">
        <v>5</v>
      </c>
      <c r="E13" s="13" t="str">
        <f>'XM.GUI MAIL'!E13</f>
        <v>1.6~2.2</v>
      </c>
      <c r="F13" s="13" t="str">
        <f>'XM.GUI MAIL'!F13</f>
        <v>(1.8±0.1 )</v>
      </c>
      <c r="G13" s="1209">
        <f>'XM.GUI MAIL'!G13</f>
        <v>0</v>
      </c>
      <c r="H13" s="102"/>
      <c r="I13" s="664">
        <f>XM.HN!B16</f>
        <v>0</v>
      </c>
      <c r="J13" s="1423"/>
      <c r="K13" s="41"/>
      <c r="L13" s="42"/>
      <c r="M13" s="1423"/>
      <c r="N13" s="1450"/>
      <c r="O13" s="664">
        <f>XM.HN!C16</f>
        <v>0</v>
      </c>
      <c r="P13" s="1423"/>
      <c r="Q13" s="41"/>
      <c r="R13" s="42"/>
      <c r="S13" s="1423"/>
      <c r="T13" s="1423"/>
      <c r="U13" s="664">
        <f>XM.HN!D16</f>
        <v>0</v>
      </c>
      <c r="V13" s="1423"/>
      <c r="W13" s="41"/>
      <c r="X13" s="42"/>
      <c r="Y13" s="1423"/>
      <c r="Z13" s="1423"/>
      <c r="AA13" s="664">
        <f>XM.HN!E16</f>
        <v>0</v>
      </c>
      <c r="AB13" s="1423"/>
      <c r="AC13" s="41"/>
      <c r="AD13" s="42"/>
      <c r="AE13" s="1423"/>
      <c r="AF13" s="102"/>
      <c r="AG13" s="664">
        <f>XM.HN!F16</f>
        <v>0</v>
      </c>
      <c r="AH13" s="1423"/>
      <c r="AI13" s="41"/>
      <c r="AJ13" s="42"/>
      <c r="AK13" s="1423"/>
      <c r="AL13" s="102"/>
      <c r="AM13" s="664">
        <f>XM.HN!G16</f>
        <v>0</v>
      </c>
      <c r="AN13" s="40"/>
      <c r="AO13" s="37"/>
      <c r="AP13" s="38"/>
      <c r="AQ13" s="1124"/>
      <c r="AS13" s="664">
        <v>0</v>
      </c>
    </row>
    <row r="14" spans="1:49" ht="34.5" customHeight="1">
      <c r="A14" s="52" t="s">
        <v>274</v>
      </c>
      <c r="B14" s="1115" t="s">
        <v>234</v>
      </c>
      <c r="C14" s="1116" t="s">
        <v>61</v>
      </c>
      <c r="D14" s="1121" t="s">
        <v>6</v>
      </c>
      <c r="E14" s="13" t="str">
        <f>'XM.GUI MAIL'!E14</f>
        <v>30~60</v>
      </c>
      <c r="F14" s="13" t="str">
        <f>'XM.GUI MAIL'!F14</f>
        <v>(45±5)</v>
      </c>
      <c r="G14" s="1551">
        <f>'XM.GUI MAIL'!G14</f>
        <v>0.45</v>
      </c>
      <c r="H14" s="102">
        <f>XM.HN!B10</f>
        <v>0</v>
      </c>
      <c r="I14" s="337">
        <f>(1*H14*36.5)/(1*10)/32%/100</f>
        <v>0</v>
      </c>
      <c r="J14" s="35">
        <f>($G$14-I14)*2122</f>
        <v>954.9</v>
      </c>
      <c r="K14" s="43" t="s">
        <v>8</v>
      </c>
      <c r="L14" s="44">
        <f>IF(J14&lt;0,0,J14)</f>
        <v>954.9</v>
      </c>
      <c r="M14" s="45" t="s">
        <v>10</v>
      </c>
      <c r="N14" s="103">
        <f>XM.HN!C10</f>
        <v>0</v>
      </c>
      <c r="O14" s="337">
        <f>(1*N14*36.5)/(1*10)/32%/100</f>
        <v>0</v>
      </c>
      <c r="P14" s="35">
        <f>($G$14-O14)*2122</f>
        <v>954.9</v>
      </c>
      <c r="Q14" s="43" t="s">
        <v>8</v>
      </c>
      <c r="R14" s="44">
        <f>IF(P14&lt;0,0,P14)</f>
        <v>954.9</v>
      </c>
      <c r="S14" s="45" t="s">
        <v>10</v>
      </c>
      <c r="T14" s="103">
        <f>XM.HN!D10</f>
        <v>0</v>
      </c>
      <c r="U14" s="337">
        <f>(1*T14*36.5)/(1*10)/32%/100</f>
        <v>0</v>
      </c>
      <c r="V14" s="35">
        <f>($G$14-U14)*2122</f>
        <v>954.9</v>
      </c>
      <c r="W14" s="43" t="s">
        <v>8</v>
      </c>
      <c r="X14" s="44">
        <f>IF(V14&lt;0,0,V14)</f>
        <v>954.9</v>
      </c>
      <c r="Y14" s="45" t="s">
        <v>10</v>
      </c>
      <c r="Z14" s="103">
        <f>XM.HN!E10</f>
        <v>0</v>
      </c>
      <c r="AA14" s="337">
        <f>(1*Z14*36.5)/(1*10)/32%/100</f>
        <v>0</v>
      </c>
      <c r="AB14" s="35">
        <f>($G$14-AA14)*2122</f>
        <v>954.9</v>
      </c>
      <c r="AC14" s="43" t="s">
        <v>8</v>
      </c>
      <c r="AD14" s="44">
        <f>IF(AB14&lt;0,0,AB14)</f>
        <v>954.9</v>
      </c>
      <c r="AE14" s="45" t="s">
        <v>10</v>
      </c>
      <c r="AF14" s="102">
        <f>XM.HN!F10</f>
        <v>0</v>
      </c>
      <c r="AG14" s="337">
        <f>(1*AF14*36.5)/(1*10)/32%/100</f>
        <v>0</v>
      </c>
      <c r="AH14" s="35">
        <f>($G$14-AG14)*2122</f>
        <v>954.9</v>
      </c>
      <c r="AI14" s="43" t="s">
        <v>8</v>
      </c>
      <c r="AJ14" s="44">
        <f>IF(AH14&lt;0,0,AH14)</f>
        <v>954.9</v>
      </c>
      <c r="AK14" s="45" t="s">
        <v>10</v>
      </c>
      <c r="AL14" s="102">
        <f>XM.HN!G10</f>
        <v>0</v>
      </c>
      <c r="AM14" s="337">
        <f>(1*AL14*36.5)/(1*10)/32%/100</f>
        <v>0</v>
      </c>
      <c r="AN14" s="35">
        <f>($G$14-AM14)*2122</f>
        <v>954.9</v>
      </c>
      <c r="AO14" s="43" t="s">
        <v>8</v>
      </c>
      <c r="AP14" s="44">
        <f>IF(AN14&lt;0,0,AN14)</f>
        <v>954.9</v>
      </c>
      <c r="AQ14" s="45" t="s">
        <v>10</v>
      </c>
      <c r="AS14" s="337">
        <v>0</v>
      </c>
      <c r="AT14" s="292">
        <v>954.9</v>
      </c>
      <c r="AU14" s="292" t="s">
        <v>8</v>
      </c>
      <c r="AV14" s="292">
        <v>954.9</v>
      </c>
      <c r="AW14" s="292" t="s">
        <v>10</v>
      </c>
    </row>
    <row r="15" spans="1:49" ht="34.5" customHeight="1">
      <c r="A15" s="309" t="s">
        <v>275</v>
      </c>
      <c r="B15" s="1115" t="s">
        <v>234</v>
      </c>
      <c r="C15" s="1116" t="s">
        <v>62</v>
      </c>
      <c r="D15" s="1121" t="s">
        <v>6</v>
      </c>
      <c r="E15" s="13" t="str">
        <f>'XM.GUI MAIL'!E15</f>
        <v>15~30</v>
      </c>
      <c r="F15" s="13" t="str">
        <f>'XM.GUI MAIL'!F15</f>
        <v>(22±5)</v>
      </c>
      <c r="G15" s="1551">
        <f>'XM.GUI MAIL'!G15</f>
        <v>0.22</v>
      </c>
      <c r="H15" s="102">
        <f>XM.HN!B11</f>
        <v>0</v>
      </c>
      <c r="I15" s="337">
        <f>(1*H15*36.5)/(1*10)/32%/100</f>
        <v>0</v>
      </c>
      <c r="J15" s="35">
        <f>($G$15-I15)*612</f>
        <v>134.64000000000001</v>
      </c>
      <c r="K15" s="43" t="s">
        <v>8</v>
      </c>
      <c r="L15" s="44">
        <f>IF(J15&lt;0,0,J15)</f>
        <v>134.64000000000001</v>
      </c>
      <c r="M15" s="45" t="s">
        <v>10</v>
      </c>
      <c r="N15" s="270">
        <f>XM.HN!C11</f>
        <v>0</v>
      </c>
      <c r="O15" s="337">
        <f>(1*N15*36.5)/(1*10)/32%/100</f>
        <v>0</v>
      </c>
      <c r="P15" s="35">
        <f>($G$15-O15)*612</f>
        <v>134.64000000000001</v>
      </c>
      <c r="Q15" s="43" t="s">
        <v>8</v>
      </c>
      <c r="R15" s="44">
        <f>IF(P15&lt;0,0,P15)</f>
        <v>134.64000000000001</v>
      </c>
      <c r="S15" s="45" t="s">
        <v>10</v>
      </c>
      <c r="T15" s="103">
        <f>XM.HN!D11</f>
        <v>0</v>
      </c>
      <c r="U15" s="337">
        <f>(1*T15*36.5)/(1*10)/32%/100</f>
        <v>0</v>
      </c>
      <c r="V15" s="35">
        <f>($G$15-U15)*612</f>
        <v>134.64000000000001</v>
      </c>
      <c r="W15" s="43" t="s">
        <v>8</v>
      </c>
      <c r="X15" s="44">
        <f>IF(V15&lt;0,0,V15)</f>
        <v>134.64000000000001</v>
      </c>
      <c r="Y15" s="45" t="s">
        <v>10</v>
      </c>
      <c r="Z15" s="103">
        <f>XM.HN!E11</f>
        <v>0</v>
      </c>
      <c r="AA15" s="337">
        <f>(1*Z15*36.5)/(1*10)/32%/100</f>
        <v>0</v>
      </c>
      <c r="AB15" s="35">
        <f>($G$15-AA15)*612</f>
        <v>134.64000000000001</v>
      </c>
      <c r="AC15" s="43" t="s">
        <v>8</v>
      </c>
      <c r="AD15" s="44">
        <f>IF(AB15&lt;0,0,AB15)</f>
        <v>134.64000000000001</v>
      </c>
      <c r="AE15" s="45" t="s">
        <v>10</v>
      </c>
      <c r="AF15" s="103">
        <f>XM.HN!F11</f>
        <v>0</v>
      </c>
      <c r="AG15" s="337">
        <f>(1*AF15*36.5)/(1*10)/32%/100</f>
        <v>0</v>
      </c>
      <c r="AH15" s="35">
        <f>($G$15-AG15)*612</f>
        <v>134.64000000000001</v>
      </c>
      <c r="AI15" s="43" t="s">
        <v>8</v>
      </c>
      <c r="AJ15" s="44">
        <f>IF(AH15&lt;0,0,AH15)</f>
        <v>134.64000000000001</v>
      </c>
      <c r="AK15" s="45" t="s">
        <v>10</v>
      </c>
      <c r="AL15" s="103">
        <f>XM.HN!G11</f>
        <v>0</v>
      </c>
      <c r="AM15" s="337">
        <f>(1*AL15*36.5)/(1*10)/32%/100</f>
        <v>0</v>
      </c>
      <c r="AN15" s="35">
        <f>($G$15-AM15)*612</f>
        <v>134.64000000000001</v>
      </c>
      <c r="AO15" s="43" t="s">
        <v>8</v>
      </c>
      <c r="AP15" s="44">
        <f>IF(AN15&lt;0,0,AN15)</f>
        <v>134.64000000000001</v>
      </c>
      <c r="AQ15" s="45" t="s">
        <v>10</v>
      </c>
      <c r="AS15" s="337">
        <v>0</v>
      </c>
      <c r="AT15" s="292">
        <v>134.64000000000001</v>
      </c>
      <c r="AU15" s="292" t="s">
        <v>8</v>
      </c>
      <c r="AV15" s="292">
        <v>134.64000000000001</v>
      </c>
      <c r="AW15" s="292" t="s">
        <v>10</v>
      </c>
    </row>
    <row r="16" spans="1:49" ht="34.5" customHeight="1">
      <c r="A16" s="309" t="s">
        <v>276</v>
      </c>
      <c r="B16" s="1115" t="s">
        <v>234</v>
      </c>
      <c r="C16" s="1116" t="s">
        <v>63</v>
      </c>
      <c r="D16" s="52" t="s">
        <v>6</v>
      </c>
      <c r="E16" s="13" t="str">
        <f>'XM.GUI MAIL'!E16</f>
        <v>5~15</v>
      </c>
      <c r="F16" s="13" t="str">
        <f>'XM.GUI MAIL'!F16</f>
        <v>(10±3)</v>
      </c>
      <c r="G16" s="1551">
        <f>'XM.GUI MAIL'!G16</f>
        <v>0.1</v>
      </c>
      <c r="H16" s="102">
        <f>XM.HN!B12</f>
        <v>0</v>
      </c>
      <c r="I16" s="337">
        <f>(1*H16*36.5)/(5*10)/32%/100</f>
        <v>0</v>
      </c>
      <c r="J16" s="42">
        <f>($G$16-I16)*575</f>
        <v>57.5</v>
      </c>
      <c r="K16" s="43" t="s">
        <v>8</v>
      </c>
      <c r="L16" s="44">
        <f>IF(J16&lt;0,0,J16)</f>
        <v>57.5</v>
      </c>
      <c r="M16" s="45" t="s">
        <v>10</v>
      </c>
      <c r="N16" s="42">
        <f>XM.HN!C12</f>
        <v>0</v>
      </c>
      <c r="O16" s="337">
        <f>(1*N16*36.5)/(5*10)/32%/100</f>
        <v>0</v>
      </c>
      <c r="P16" s="42">
        <f>($G$16-O16)*575</f>
        <v>57.5</v>
      </c>
      <c r="Q16" s="43" t="s">
        <v>8</v>
      </c>
      <c r="R16" s="44">
        <f>IF(P16&lt;0,0,P16)</f>
        <v>57.5</v>
      </c>
      <c r="S16" s="45" t="s">
        <v>10</v>
      </c>
      <c r="T16" s="42">
        <f>XM.HN!D12</f>
        <v>0</v>
      </c>
      <c r="U16" s="337">
        <f>(1*T16*36.5)/(5*10)/32%/100</f>
        <v>0</v>
      </c>
      <c r="V16" s="42">
        <f>($G$16-U16)*575</f>
        <v>57.5</v>
      </c>
      <c r="W16" s="43" t="s">
        <v>8</v>
      </c>
      <c r="X16" s="44">
        <f>IF(V16&lt;0,0,V16)</f>
        <v>57.5</v>
      </c>
      <c r="Y16" s="45" t="s">
        <v>10</v>
      </c>
      <c r="Z16" s="42">
        <f>XM.HN!E12</f>
        <v>0</v>
      </c>
      <c r="AA16" s="337">
        <f>(1*Z16*36.5)/(5*10)/32%/100</f>
        <v>0</v>
      </c>
      <c r="AB16" s="42">
        <f>($G$16-AA16)*575</f>
        <v>57.5</v>
      </c>
      <c r="AC16" s="43" t="s">
        <v>8</v>
      </c>
      <c r="AD16" s="44">
        <f>IF(AB16&lt;0,0,AB16)</f>
        <v>57.5</v>
      </c>
      <c r="AE16" s="45" t="s">
        <v>10</v>
      </c>
      <c r="AF16" s="42">
        <f>XM.HN!F12</f>
        <v>0</v>
      </c>
      <c r="AG16" s="337">
        <f>(1*AF16*36.5)/(5*10)/32%/100</f>
        <v>0</v>
      </c>
      <c r="AH16" s="42">
        <f>($G$16-AG16)*575</f>
        <v>57.5</v>
      </c>
      <c r="AI16" s="43" t="s">
        <v>8</v>
      </c>
      <c r="AJ16" s="44">
        <f>IF(AH16&lt;0,0,AH16)</f>
        <v>57.5</v>
      </c>
      <c r="AK16" s="45" t="s">
        <v>10</v>
      </c>
      <c r="AL16" s="42">
        <f>XM.HN!G12</f>
        <v>0</v>
      </c>
      <c r="AM16" s="337">
        <f>(1*AL16*36.5)/(5*10)/32%/100</f>
        <v>0</v>
      </c>
      <c r="AN16" s="42">
        <f>($G$16-AM16)*575</f>
        <v>57.5</v>
      </c>
      <c r="AO16" s="43" t="s">
        <v>8</v>
      </c>
      <c r="AP16" s="44">
        <f>IF(AN16&lt;0,0,AN16)</f>
        <v>57.5</v>
      </c>
      <c r="AQ16" s="45" t="s">
        <v>10</v>
      </c>
      <c r="AS16" s="337">
        <v>0</v>
      </c>
      <c r="AT16" s="292">
        <v>57.5</v>
      </c>
      <c r="AU16" s="292" t="s">
        <v>8</v>
      </c>
      <c r="AV16" s="292">
        <v>57.5</v>
      </c>
      <c r="AW16" s="292" t="s">
        <v>10</v>
      </c>
    </row>
    <row r="17" spans="1:49" ht="34.5" customHeight="1">
      <c r="A17" s="309" t="s">
        <v>277</v>
      </c>
      <c r="B17" s="1115" t="s">
        <v>234</v>
      </c>
      <c r="C17" s="1116" t="s">
        <v>162</v>
      </c>
      <c r="D17" s="1166" t="s">
        <v>1054</v>
      </c>
      <c r="E17" s="13" t="str">
        <f>'XM.GUI MAIL'!E17</f>
        <v>0.5~1.5</v>
      </c>
      <c r="F17" s="13" t="str">
        <f>'XM.GUI MAIL'!F17</f>
        <v>(1±0.4)</v>
      </c>
      <c r="G17" s="1551">
        <f>'XM.GUI MAIL'!G17</f>
        <v>0.01</v>
      </c>
      <c r="H17" s="102">
        <f>XM.HN!B13</f>
        <v>0</v>
      </c>
      <c r="I17" s="340">
        <f>(1*H17*6.301)/5/100</f>
        <v>0</v>
      </c>
      <c r="J17" s="35">
        <f>($G$17-I17)*530/65%</f>
        <v>8.1538461538461533</v>
      </c>
      <c r="K17" s="43" t="s">
        <v>8</v>
      </c>
      <c r="L17" s="46">
        <f>IF(J17&lt;0,0,J17)</f>
        <v>8.1538461538461533</v>
      </c>
      <c r="M17" s="45" t="s">
        <v>10</v>
      </c>
      <c r="N17" s="103">
        <f>XM.HN!C13</f>
        <v>0</v>
      </c>
      <c r="O17" s="340">
        <f>(1*N17*6.301)/5/100</f>
        <v>0</v>
      </c>
      <c r="P17" s="35">
        <f>($G$17-O17)*530/65%</f>
        <v>8.1538461538461533</v>
      </c>
      <c r="Q17" s="43" t="s">
        <v>8</v>
      </c>
      <c r="R17" s="46">
        <f>IF(P17&lt;0,0,P17)</f>
        <v>8.1538461538461533</v>
      </c>
      <c r="S17" s="45" t="s">
        <v>10</v>
      </c>
      <c r="T17" s="103">
        <f>XM.HN!D13</f>
        <v>0</v>
      </c>
      <c r="U17" s="340">
        <f>(1*T17*6.301)/5/100</f>
        <v>0</v>
      </c>
      <c r="V17" s="35">
        <f>($G$17-U17)*530/65%</f>
        <v>8.1538461538461533</v>
      </c>
      <c r="W17" s="43" t="s">
        <v>8</v>
      </c>
      <c r="X17" s="46">
        <f>IF(V17&lt;0,0,V17)</f>
        <v>8.1538461538461533</v>
      </c>
      <c r="Y17" s="45" t="s">
        <v>10</v>
      </c>
      <c r="Z17" s="103">
        <f>XM.HN!E13</f>
        <v>0</v>
      </c>
      <c r="AA17" s="340">
        <f>(1*Z17*6.301)/5/100</f>
        <v>0</v>
      </c>
      <c r="AB17" s="35">
        <f>($G$17-AA17)*530/65%</f>
        <v>8.1538461538461533</v>
      </c>
      <c r="AC17" s="43" t="s">
        <v>8</v>
      </c>
      <c r="AD17" s="46">
        <f>IF(AB17&lt;0,0,AB17)</f>
        <v>8.1538461538461533</v>
      </c>
      <c r="AE17" s="45" t="s">
        <v>10</v>
      </c>
      <c r="AF17" s="102">
        <f>XM.HN!F13</f>
        <v>0</v>
      </c>
      <c r="AG17" s="340">
        <f>(1*AF17*6.301)/5/100</f>
        <v>0</v>
      </c>
      <c r="AH17" s="35">
        <f>($G$17-AG17)*530/65%</f>
        <v>8.1538461538461533</v>
      </c>
      <c r="AI17" s="43" t="s">
        <v>8</v>
      </c>
      <c r="AJ17" s="46">
        <f>IF(AH17&lt;0,0,AH17)</f>
        <v>8.1538461538461533</v>
      </c>
      <c r="AK17" s="45" t="s">
        <v>10</v>
      </c>
      <c r="AL17" s="102">
        <f>XM.HN!G13</f>
        <v>0</v>
      </c>
      <c r="AM17" s="340">
        <f>(1*AL17*6.301)/5/100</f>
        <v>0</v>
      </c>
      <c r="AN17" s="35">
        <f>($G$17-AM17)*530/65%</f>
        <v>8.1538461538461533</v>
      </c>
      <c r="AO17" s="43" t="s">
        <v>8</v>
      </c>
      <c r="AP17" s="46">
        <f>IF(AN17&lt;0,0,AN17)</f>
        <v>8.1538461538461533</v>
      </c>
      <c r="AQ17" s="45" t="s">
        <v>10</v>
      </c>
      <c r="AS17" s="340">
        <v>0</v>
      </c>
      <c r="AT17" s="292">
        <v>8.1538461538461533</v>
      </c>
      <c r="AU17" s="292" t="s">
        <v>8</v>
      </c>
      <c r="AV17" s="292">
        <v>8.1538461538461533</v>
      </c>
      <c r="AW17" s="292" t="s">
        <v>10</v>
      </c>
    </row>
    <row r="18" spans="1:49" ht="43.5" customHeight="1">
      <c r="A18" s="308" t="s">
        <v>278</v>
      </c>
      <c r="B18" s="1115" t="s">
        <v>234</v>
      </c>
      <c r="C18" s="1117" t="s">
        <v>77</v>
      </c>
      <c r="D18" s="52" t="s">
        <v>3</v>
      </c>
      <c r="E18" s="13" t="str">
        <f>'XM.GUI MAIL'!E18</f>
        <v>5~10</v>
      </c>
      <c r="F18" s="13" t="str">
        <f>'XM.GUI MAIL'!F18</f>
        <v>(7.5±1)</v>
      </c>
      <c r="G18" s="1209">
        <f>'XM.GUI MAIL'!G18</f>
        <v>7.5</v>
      </c>
      <c r="H18" s="102">
        <f>XM.HN!B14</f>
        <v>0</v>
      </c>
      <c r="I18" s="35">
        <f>H18*0.8</f>
        <v>0</v>
      </c>
      <c r="J18" s="36">
        <f>($G$18-I18)*575/95</f>
        <v>45.39473684210526</v>
      </c>
      <c r="K18" s="37" t="s">
        <v>8</v>
      </c>
      <c r="L18" s="38">
        <f>IF(J18&lt;0,0,J18)</f>
        <v>45.39473684210526</v>
      </c>
      <c r="M18" s="39" t="s">
        <v>10</v>
      </c>
      <c r="N18" s="102">
        <f>XM.HN!C14</f>
        <v>0</v>
      </c>
      <c r="O18" s="35">
        <f>N18*0.8</f>
        <v>0</v>
      </c>
      <c r="P18" s="36">
        <f>($G$18-O18)*575/95</f>
        <v>45.39473684210526</v>
      </c>
      <c r="Q18" s="37" t="s">
        <v>8</v>
      </c>
      <c r="R18" s="38">
        <f>IF(P18&lt;0,0,P18)</f>
        <v>45.39473684210526</v>
      </c>
      <c r="S18" s="39" t="s">
        <v>10</v>
      </c>
      <c r="T18" s="102">
        <f>XM.HN!D14</f>
        <v>0</v>
      </c>
      <c r="U18" s="35">
        <f>T18*0.8</f>
        <v>0</v>
      </c>
      <c r="V18" s="36">
        <f>($G$18-U18)*575/95</f>
        <v>45.39473684210526</v>
      </c>
      <c r="W18" s="37" t="s">
        <v>8</v>
      </c>
      <c r="X18" s="38">
        <f>IF(V18&lt;0,0,V18)</f>
        <v>45.39473684210526</v>
      </c>
      <c r="Y18" s="39" t="s">
        <v>10</v>
      </c>
      <c r="Z18" s="102">
        <f>XM.HN!E14</f>
        <v>0</v>
      </c>
      <c r="AA18" s="35">
        <f>Z18*0.8</f>
        <v>0</v>
      </c>
      <c r="AB18" s="36">
        <f>($G$18-AA18)*575/95</f>
        <v>45.39473684210526</v>
      </c>
      <c r="AC18" s="37" t="s">
        <v>8</v>
      </c>
      <c r="AD18" s="38">
        <f>IF(AB18&lt;0,0,AB18)</f>
        <v>45.39473684210526</v>
      </c>
      <c r="AE18" s="39" t="s">
        <v>10</v>
      </c>
      <c r="AF18" s="102">
        <f>XM.HN!F14</f>
        <v>0</v>
      </c>
      <c r="AG18" s="35">
        <f>AF18*0.8</f>
        <v>0</v>
      </c>
      <c r="AH18" s="36">
        <f>($G$18-AG18)*575/95</f>
        <v>45.39473684210526</v>
      </c>
      <c r="AI18" s="37" t="s">
        <v>8</v>
      </c>
      <c r="AJ18" s="38">
        <f>IF(AH18&lt;0,0,AH18)</f>
        <v>45.39473684210526</v>
      </c>
      <c r="AK18" s="39" t="s">
        <v>10</v>
      </c>
      <c r="AL18" s="102">
        <f>XM.HN!G14</f>
        <v>0</v>
      </c>
      <c r="AM18" s="35">
        <f>AL18*0.8</f>
        <v>0</v>
      </c>
      <c r="AN18" s="36">
        <f>($G$18-AM18)*575/95</f>
        <v>45.39473684210526</v>
      </c>
      <c r="AO18" s="37" t="s">
        <v>8</v>
      </c>
      <c r="AP18" s="38">
        <f>IF(AN18&lt;0,0,AN18)</f>
        <v>45.39473684210526</v>
      </c>
      <c r="AQ18" s="39" t="s">
        <v>10</v>
      </c>
      <c r="AS18" s="35">
        <v>0</v>
      </c>
      <c r="AT18" s="292">
        <v>45.39473684210526</v>
      </c>
      <c r="AU18" s="292" t="s">
        <v>8</v>
      </c>
      <c r="AV18" s="292">
        <v>45.39473684210526</v>
      </c>
      <c r="AW18" s="292" t="s">
        <v>10</v>
      </c>
    </row>
    <row r="19" spans="1:49" ht="32.25" customHeight="1">
      <c r="A19" s="52" t="s">
        <v>280</v>
      </c>
      <c r="B19" s="1115" t="s">
        <v>234</v>
      </c>
      <c r="C19" s="1118" t="s">
        <v>5</v>
      </c>
      <c r="D19" s="52" t="s">
        <v>5</v>
      </c>
      <c r="E19" s="13" t="str">
        <f>'XM.GUI MAIL'!E19</f>
        <v>1.6~2.0</v>
      </c>
      <c r="F19" s="13" t="str">
        <f>'XM.GUI MAIL'!F19</f>
        <v>(1.8±0.1)</v>
      </c>
      <c r="G19" s="1552"/>
      <c r="H19" s="102"/>
      <c r="I19" s="1423">
        <f>XM.HN!B15</f>
        <v>0</v>
      </c>
      <c r="J19" s="1423"/>
      <c r="K19" s="37"/>
      <c r="L19" s="38"/>
      <c r="M19" s="1423"/>
      <c r="N19" s="1423"/>
      <c r="O19" s="1423">
        <f>XM.HN!C15</f>
        <v>0</v>
      </c>
      <c r="P19" s="1423"/>
      <c r="Q19" s="37"/>
      <c r="R19" s="38"/>
      <c r="S19" s="1423"/>
      <c r="T19" s="1423"/>
      <c r="U19" s="1423">
        <f>XM.HN!D15</f>
        <v>0</v>
      </c>
      <c r="V19" s="1423"/>
      <c r="W19" s="37"/>
      <c r="X19" s="38"/>
      <c r="Y19" s="1423"/>
      <c r="Z19" s="1423"/>
      <c r="AA19" s="1423">
        <f>XM.HN!E15</f>
        <v>0</v>
      </c>
      <c r="AB19" s="1423"/>
      <c r="AC19" s="37"/>
      <c r="AD19" s="38"/>
      <c r="AE19" s="1423"/>
      <c r="AF19" s="1423"/>
      <c r="AG19" s="1423">
        <f>XM.HN!F15</f>
        <v>0</v>
      </c>
      <c r="AH19" s="1423"/>
      <c r="AI19" s="37"/>
      <c r="AJ19" s="38"/>
      <c r="AK19" s="1423"/>
      <c r="AL19" s="1423"/>
      <c r="AM19" s="1423">
        <f>XM.HN!G15</f>
        <v>0</v>
      </c>
      <c r="AN19" s="40"/>
      <c r="AO19" s="37"/>
      <c r="AP19" s="38"/>
      <c r="AQ19" s="1124"/>
      <c r="AS19" s="1423">
        <v>0</v>
      </c>
    </row>
    <row r="20" spans="1:49" s="224" customFormat="1" ht="54" customHeight="1">
      <c r="A20" s="319" t="s">
        <v>76</v>
      </c>
      <c r="B20" s="320"/>
      <c r="C20" s="320"/>
      <c r="D20" s="320"/>
      <c r="E20" s="332"/>
      <c r="F20" s="332"/>
      <c r="G20" s="332"/>
      <c r="H20" s="320"/>
      <c r="I20" s="320"/>
      <c r="J20" s="320"/>
      <c r="K20" s="320"/>
      <c r="L20" s="320"/>
      <c r="M20" s="320"/>
      <c r="N20" s="320"/>
      <c r="O20" s="321"/>
      <c r="P20" s="320"/>
      <c r="Q20" s="320"/>
      <c r="R20" s="320"/>
      <c r="S20" s="321"/>
      <c r="T20" s="320"/>
      <c r="U20" s="321"/>
      <c r="V20" s="320"/>
      <c r="W20" s="320"/>
      <c r="X20" s="320"/>
      <c r="Y20" s="320"/>
      <c r="Z20" s="320"/>
      <c r="AA20" s="320"/>
      <c r="AB20" s="320"/>
      <c r="AC20" s="320"/>
      <c r="AD20" s="320"/>
      <c r="AE20" s="320"/>
      <c r="AF20" s="321"/>
      <c r="AG20" s="321"/>
      <c r="AH20" s="321"/>
      <c r="AI20" s="321"/>
      <c r="AJ20" s="321"/>
      <c r="AK20" s="321"/>
      <c r="AL20" s="321"/>
      <c r="AM20" s="321"/>
      <c r="AN20" s="321"/>
      <c r="AO20" s="321"/>
      <c r="AP20" s="321"/>
      <c r="AQ20" s="1130"/>
      <c r="AR20" s="104"/>
      <c r="AS20" s="104"/>
      <c r="AT20" s="104"/>
      <c r="AU20" s="104"/>
    </row>
    <row r="21" spans="1:49" s="104" customFormat="1" ht="54" customHeight="1">
      <c r="A21" s="1121" t="s">
        <v>267</v>
      </c>
      <c r="B21" s="1114" t="s">
        <v>350</v>
      </c>
      <c r="C21" s="311" t="s">
        <v>64</v>
      </c>
      <c r="D21" s="311" t="s">
        <v>66</v>
      </c>
      <c r="E21" s="1624" t="s">
        <v>1413</v>
      </c>
      <c r="F21" s="1624" t="s">
        <v>1412</v>
      </c>
      <c r="G21" s="1280"/>
      <c r="H21" s="105"/>
      <c r="I21" s="313" t="s">
        <v>48</v>
      </c>
      <c r="J21" s="314"/>
      <c r="K21" s="314"/>
      <c r="L21" s="313" t="s">
        <v>65</v>
      </c>
      <c r="M21" s="330"/>
      <c r="N21" s="311"/>
      <c r="O21" s="313" t="s">
        <v>48</v>
      </c>
      <c r="P21" s="314"/>
      <c r="Q21" s="314"/>
      <c r="R21" s="313" t="s">
        <v>65</v>
      </c>
      <c r="S21" s="330"/>
      <c r="T21" s="106"/>
      <c r="U21" s="313" t="s">
        <v>48</v>
      </c>
      <c r="V21" s="314"/>
      <c r="W21" s="314"/>
      <c r="X21" s="313" t="s">
        <v>65</v>
      </c>
      <c r="Y21" s="330"/>
      <c r="Z21" s="107"/>
      <c r="AA21" s="313" t="s">
        <v>48</v>
      </c>
      <c r="AB21" s="314"/>
      <c r="AC21" s="314"/>
      <c r="AD21" s="313" t="s">
        <v>65</v>
      </c>
      <c r="AE21" s="330"/>
      <c r="AF21" s="107"/>
      <c r="AG21" s="313" t="s">
        <v>48</v>
      </c>
      <c r="AH21" s="314"/>
      <c r="AI21" s="314"/>
      <c r="AJ21" s="313" t="s">
        <v>65</v>
      </c>
      <c r="AK21" s="330"/>
      <c r="AL21" s="107"/>
      <c r="AM21" s="313" t="s">
        <v>48</v>
      </c>
      <c r="AN21" s="314"/>
      <c r="AO21" s="314"/>
      <c r="AP21" s="313" t="s">
        <v>65</v>
      </c>
      <c r="AQ21" s="330"/>
    </row>
    <row r="22" spans="1:49" s="104" customFormat="1" ht="34.5" customHeight="1">
      <c r="A22" s="1115" t="s">
        <v>282</v>
      </c>
      <c r="B22" s="1115" t="s">
        <v>234</v>
      </c>
      <c r="C22" s="1108" t="s">
        <v>68</v>
      </c>
      <c r="D22" s="21" t="s">
        <v>113</v>
      </c>
      <c r="E22" s="1546" t="str">
        <f>'XM.GUI MAIL'!E22</f>
        <v>65~75</v>
      </c>
      <c r="F22" s="1627" t="str">
        <f>'XM.GUI MAIL'!F22</f>
        <v>(70±3)</v>
      </c>
      <c r="G22" s="1553"/>
      <c r="H22" s="108"/>
      <c r="I22" s="2088"/>
      <c r="J22" s="2089"/>
      <c r="K22" s="2090"/>
      <c r="L22" s="2088"/>
      <c r="M22" s="2089"/>
      <c r="N22" s="1658"/>
      <c r="O22" s="2088"/>
      <c r="P22" s="2089"/>
      <c r="Q22" s="2090"/>
      <c r="R22" s="2088"/>
      <c r="S22" s="2089"/>
      <c r="T22" s="314"/>
      <c r="U22" s="2088"/>
      <c r="V22" s="2089"/>
      <c r="W22" s="2090"/>
      <c r="X22" s="2088"/>
      <c r="Y22" s="2089"/>
      <c r="Z22" s="314"/>
      <c r="AA22" s="2088"/>
      <c r="AB22" s="2089"/>
      <c r="AC22" s="2090"/>
      <c r="AD22" s="2088"/>
      <c r="AE22" s="2089"/>
      <c r="AF22" s="313"/>
      <c r="AG22" s="2088"/>
      <c r="AH22" s="2089"/>
      <c r="AI22" s="2090"/>
      <c r="AJ22" s="2088"/>
      <c r="AK22" s="2089"/>
      <c r="AL22" s="313"/>
      <c r="AM22" s="2088"/>
      <c r="AN22" s="2089"/>
      <c r="AO22" s="2090"/>
      <c r="AP22" s="2088"/>
      <c r="AQ22" s="2089"/>
    </row>
    <row r="23" spans="1:49" s="104" customFormat="1" ht="34.5" customHeight="1">
      <c r="A23" s="1115" t="s">
        <v>283</v>
      </c>
      <c r="B23" s="1115" t="s">
        <v>234</v>
      </c>
      <c r="C23" s="1108" t="s">
        <v>69</v>
      </c>
      <c r="D23" s="21" t="s">
        <v>113</v>
      </c>
      <c r="E23" s="1546" t="str">
        <f>'XM.GUI MAIL'!E23</f>
        <v>65~75</v>
      </c>
      <c r="F23" s="1627" t="str">
        <f>'XM.GUI MAIL'!F23</f>
        <v>(70±3)</v>
      </c>
      <c r="G23" s="1553"/>
      <c r="H23" s="108"/>
      <c r="I23" s="2088"/>
      <c r="J23" s="2089"/>
      <c r="K23" s="2090"/>
      <c r="L23" s="2088"/>
      <c r="M23" s="2089"/>
      <c r="N23" s="1658"/>
      <c r="O23" s="2088"/>
      <c r="P23" s="2089"/>
      <c r="Q23" s="2090"/>
      <c r="R23" s="2088"/>
      <c r="S23" s="2089"/>
      <c r="T23" s="314"/>
      <c r="U23" s="2088"/>
      <c r="V23" s="2089"/>
      <c r="W23" s="2090"/>
      <c r="X23" s="2088"/>
      <c r="Y23" s="2089"/>
      <c r="Z23" s="314"/>
      <c r="AA23" s="2088"/>
      <c r="AB23" s="2089"/>
      <c r="AC23" s="2090"/>
      <c r="AD23" s="2088"/>
      <c r="AE23" s="2089"/>
      <c r="AF23" s="313"/>
      <c r="AG23" s="2088"/>
      <c r="AH23" s="2089"/>
      <c r="AI23" s="2090"/>
      <c r="AJ23" s="2088"/>
      <c r="AK23" s="2089"/>
      <c r="AL23" s="313"/>
      <c r="AM23" s="2088"/>
      <c r="AN23" s="2089"/>
      <c r="AO23" s="2090"/>
      <c r="AP23" s="2088"/>
      <c r="AQ23" s="2089"/>
    </row>
    <row r="24" spans="1:49" s="104" customFormat="1" ht="34.5" customHeight="1">
      <c r="A24" s="1115" t="s">
        <v>284</v>
      </c>
      <c r="B24" s="1115" t="s">
        <v>234</v>
      </c>
      <c r="C24" s="1108" t="s">
        <v>71</v>
      </c>
      <c r="D24" s="21" t="s">
        <v>113</v>
      </c>
      <c r="E24" s="1546" t="str">
        <f>'XM.GUI MAIL'!E24</f>
        <v>50~60</v>
      </c>
      <c r="F24" s="1627" t="str">
        <f>'XM.GUI MAIL'!F24</f>
        <v>(55±3)</v>
      </c>
      <c r="G24" s="1553"/>
      <c r="H24" s="108"/>
      <c r="I24" s="2088"/>
      <c r="J24" s="2089"/>
      <c r="K24" s="2090"/>
      <c r="L24" s="2088"/>
      <c r="M24" s="2089"/>
      <c r="N24" s="1658"/>
      <c r="O24" s="2088"/>
      <c r="P24" s="2089"/>
      <c r="Q24" s="2090"/>
      <c r="R24" s="2088"/>
      <c r="S24" s="2089"/>
      <c r="T24" s="314"/>
      <c r="U24" s="2088"/>
      <c r="V24" s="2089"/>
      <c r="W24" s="2090"/>
      <c r="X24" s="2088"/>
      <c r="Y24" s="2089"/>
      <c r="Z24" s="314"/>
      <c r="AA24" s="2088"/>
      <c r="AB24" s="2089"/>
      <c r="AC24" s="2090"/>
      <c r="AD24" s="2088"/>
      <c r="AE24" s="2089"/>
      <c r="AF24" s="313"/>
      <c r="AG24" s="2088"/>
      <c r="AH24" s="2089"/>
      <c r="AI24" s="2090"/>
      <c r="AJ24" s="2088"/>
      <c r="AK24" s="2089"/>
      <c r="AL24" s="313"/>
      <c r="AM24" s="2088"/>
      <c r="AN24" s="2089"/>
      <c r="AO24" s="2090"/>
      <c r="AP24" s="2088"/>
      <c r="AQ24" s="2089"/>
    </row>
    <row r="25" spans="1:49" s="104" customFormat="1" ht="34.5" customHeight="1">
      <c r="A25" s="1115" t="s">
        <v>285</v>
      </c>
      <c r="B25" s="1115" t="s">
        <v>234</v>
      </c>
      <c r="C25" s="1108" t="s">
        <v>70</v>
      </c>
      <c r="D25" s="21" t="s">
        <v>113</v>
      </c>
      <c r="E25" s="1546" t="str">
        <f>'XM.GUI MAIL'!E25</f>
        <v>50~60</v>
      </c>
      <c r="F25" s="1627" t="str">
        <f>'XM.GUI MAIL'!F25</f>
        <v>(55±3)</v>
      </c>
      <c r="G25" s="1553"/>
      <c r="H25" s="108"/>
      <c r="I25" s="2088"/>
      <c r="J25" s="2089"/>
      <c r="K25" s="2090"/>
      <c r="L25" s="2088"/>
      <c r="M25" s="2089"/>
      <c r="N25" s="1658"/>
      <c r="O25" s="2088"/>
      <c r="P25" s="2089"/>
      <c r="Q25" s="2090"/>
      <c r="R25" s="2088"/>
      <c r="S25" s="2089"/>
      <c r="T25" s="314"/>
      <c r="U25" s="2088"/>
      <c r="V25" s="2089"/>
      <c r="W25" s="2090"/>
      <c r="X25" s="2088"/>
      <c r="Y25" s="2089"/>
      <c r="Z25" s="314"/>
      <c r="AA25" s="2088"/>
      <c r="AB25" s="2089"/>
      <c r="AC25" s="2090"/>
      <c r="AD25" s="2088"/>
      <c r="AE25" s="2089"/>
      <c r="AF25" s="313"/>
      <c r="AG25" s="2088"/>
      <c r="AH25" s="2089"/>
      <c r="AI25" s="2090"/>
      <c r="AJ25" s="2088"/>
      <c r="AK25" s="2089"/>
      <c r="AL25" s="313"/>
      <c r="AM25" s="2088"/>
      <c r="AN25" s="2089"/>
      <c r="AO25" s="2090"/>
      <c r="AP25" s="2088"/>
      <c r="AQ25" s="2089"/>
    </row>
    <row r="26" spans="1:49" s="104" customFormat="1" ht="34.5" customHeight="1">
      <c r="A26" s="1115" t="s">
        <v>346</v>
      </c>
      <c r="B26" s="1115" t="s">
        <v>234</v>
      </c>
      <c r="C26" s="1108" t="s">
        <v>72</v>
      </c>
      <c r="D26" s="21" t="s">
        <v>113</v>
      </c>
      <c r="E26" s="1546" t="str">
        <f>'XM.GUI MAIL'!E26</f>
        <v>20~30</v>
      </c>
      <c r="F26" s="1627" t="str">
        <f>'XM.GUI MAIL'!F26</f>
        <v>(25±3)</v>
      </c>
      <c r="G26" s="1553"/>
      <c r="H26" s="108"/>
      <c r="I26" s="2088"/>
      <c r="J26" s="2089"/>
      <c r="K26" s="2090"/>
      <c r="L26" s="2088"/>
      <c r="M26" s="2089"/>
      <c r="N26" s="1658"/>
      <c r="O26" s="2088"/>
      <c r="P26" s="2089"/>
      <c r="Q26" s="2090"/>
      <c r="R26" s="2088"/>
      <c r="S26" s="2089"/>
      <c r="T26" s="314"/>
      <c r="U26" s="2088"/>
      <c r="V26" s="2089"/>
      <c r="W26" s="2090"/>
      <c r="X26" s="2088"/>
      <c r="Y26" s="2089"/>
      <c r="Z26" s="314"/>
      <c r="AA26" s="2088"/>
      <c r="AB26" s="2089"/>
      <c r="AC26" s="2090"/>
      <c r="AD26" s="2088"/>
      <c r="AE26" s="2089"/>
      <c r="AF26" s="313"/>
      <c r="AG26" s="2088"/>
      <c r="AH26" s="2089"/>
      <c r="AI26" s="2090"/>
      <c r="AJ26" s="2088"/>
      <c r="AK26" s="2089"/>
      <c r="AL26" s="313"/>
      <c r="AM26" s="2088"/>
      <c r="AN26" s="2089"/>
      <c r="AO26" s="2090"/>
      <c r="AP26" s="2088"/>
      <c r="AQ26" s="2089"/>
    </row>
    <row r="27" spans="1:49" s="104" customFormat="1" ht="34.5" customHeight="1">
      <c r="A27" s="308" t="s">
        <v>286</v>
      </c>
      <c r="B27" s="1115" t="s">
        <v>234</v>
      </c>
      <c r="C27" s="1108" t="s">
        <v>1044</v>
      </c>
      <c r="D27" s="21" t="s">
        <v>113</v>
      </c>
      <c r="E27" s="1546" t="str">
        <f>'XM.GUI MAIL'!E27</f>
        <v>35-45</v>
      </c>
      <c r="F27" s="1627" t="str">
        <f>'XM.GUI MAIL'!F27</f>
        <v>(40±3)</v>
      </c>
      <c r="G27" s="1553"/>
      <c r="H27" s="108"/>
      <c r="I27" s="2088"/>
      <c r="J27" s="2089"/>
      <c r="K27" s="2090"/>
      <c r="L27" s="2088"/>
      <c r="M27" s="2089"/>
      <c r="N27" s="1658"/>
      <c r="O27" s="2088"/>
      <c r="P27" s="2089"/>
      <c r="Q27" s="2090"/>
      <c r="R27" s="2088"/>
      <c r="S27" s="2089"/>
      <c r="T27" s="314"/>
      <c r="U27" s="2088"/>
      <c r="V27" s="2089"/>
      <c r="W27" s="2090"/>
      <c r="X27" s="2088"/>
      <c r="Y27" s="2089"/>
      <c r="Z27" s="314"/>
      <c r="AA27" s="2088"/>
      <c r="AB27" s="2089"/>
      <c r="AC27" s="2090"/>
      <c r="AD27" s="2088"/>
      <c r="AE27" s="2089"/>
      <c r="AF27" s="313"/>
      <c r="AG27" s="2088"/>
      <c r="AH27" s="2089"/>
      <c r="AI27" s="2090"/>
      <c r="AJ27" s="2088"/>
      <c r="AK27" s="2089"/>
      <c r="AL27" s="313"/>
      <c r="AM27" s="2088"/>
      <c r="AN27" s="2089"/>
      <c r="AO27" s="2090"/>
      <c r="AP27" s="2088"/>
      <c r="AQ27" s="2089"/>
    </row>
    <row r="28" spans="1:49" s="104" customFormat="1" ht="34.5" customHeight="1">
      <c r="A28" s="308" t="s">
        <v>287</v>
      </c>
      <c r="B28" s="1115" t="s">
        <v>234</v>
      </c>
      <c r="C28" s="1108" t="s">
        <v>73</v>
      </c>
      <c r="D28" s="21" t="s">
        <v>113</v>
      </c>
      <c r="E28" s="1546" t="str">
        <f>'XM.GUI MAIL'!E28</f>
        <v>55~65</v>
      </c>
      <c r="F28" s="1627" t="str">
        <f>'XM.GUI MAIL'!F28</f>
        <v>(60±3)</v>
      </c>
      <c r="G28" s="1553"/>
      <c r="H28" s="108"/>
      <c r="I28" s="2088"/>
      <c r="J28" s="2089"/>
      <c r="K28" s="2090"/>
      <c r="L28" s="2088"/>
      <c r="M28" s="2089"/>
      <c r="N28" s="1658"/>
      <c r="O28" s="2088"/>
      <c r="P28" s="2089"/>
      <c r="Q28" s="2090"/>
      <c r="R28" s="2088"/>
      <c r="S28" s="2089"/>
      <c r="T28" s="314"/>
      <c r="U28" s="2088"/>
      <c r="V28" s="2089"/>
      <c r="W28" s="2090"/>
      <c r="X28" s="2088"/>
      <c r="Y28" s="2089"/>
      <c r="Z28" s="314"/>
      <c r="AA28" s="2088"/>
      <c r="AB28" s="2089"/>
      <c r="AC28" s="2090"/>
      <c r="AD28" s="2088"/>
      <c r="AE28" s="2089"/>
      <c r="AF28" s="313"/>
      <c r="AG28" s="2088"/>
      <c r="AH28" s="2089"/>
      <c r="AI28" s="2090"/>
      <c r="AJ28" s="2088"/>
      <c r="AK28" s="2089"/>
      <c r="AL28" s="313"/>
      <c r="AM28" s="2088"/>
      <c r="AN28" s="2089"/>
      <c r="AO28" s="2090"/>
      <c r="AP28" s="2088"/>
      <c r="AQ28" s="2089"/>
    </row>
    <row r="29" spans="1:49" s="104" customFormat="1" ht="34.5" customHeight="1">
      <c r="A29" s="52" t="s">
        <v>288</v>
      </c>
      <c r="B29" s="1115" t="s">
        <v>234</v>
      </c>
      <c r="C29" s="1108" t="s">
        <v>74</v>
      </c>
      <c r="D29" s="21" t="s">
        <v>113</v>
      </c>
      <c r="E29" s="1546" t="str">
        <f>'XM.GUI MAIL'!E29</f>
        <v>65~75</v>
      </c>
      <c r="F29" s="1627" t="str">
        <f>'XM.GUI MAIL'!F29</f>
        <v>(70±3)</v>
      </c>
      <c r="G29" s="1553"/>
      <c r="H29" s="108"/>
      <c r="I29" s="2108" t="s">
        <v>1045</v>
      </c>
      <c r="J29" s="2109"/>
      <c r="K29" s="2110"/>
      <c r="L29" s="2088"/>
      <c r="M29" s="2089"/>
      <c r="N29" s="314"/>
      <c r="O29" s="2108" t="s">
        <v>1045</v>
      </c>
      <c r="P29" s="2109"/>
      <c r="Q29" s="2110"/>
      <c r="R29" s="2088"/>
      <c r="S29" s="2089"/>
      <c r="T29" s="314"/>
      <c r="U29" s="2108" t="s">
        <v>1045</v>
      </c>
      <c r="V29" s="2109"/>
      <c r="W29" s="2110"/>
      <c r="X29" s="2088"/>
      <c r="Y29" s="2089"/>
      <c r="Z29" s="314"/>
      <c r="AA29" s="2108" t="s">
        <v>1045</v>
      </c>
      <c r="AB29" s="2109"/>
      <c r="AC29" s="2110"/>
      <c r="AD29" s="2088"/>
      <c r="AE29" s="2089"/>
      <c r="AF29" s="1753"/>
      <c r="AG29" s="2108" t="s">
        <v>1045</v>
      </c>
      <c r="AH29" s="2109"/>
      <c r="AI29" s="2110"/>
      <c r="AJ29" s="2088"/>
      <c r="AK29" s="2089"/>
      <c r="AL29" s="1753"/>
      <c r="AM29" s="2108" t="s">
        <v>1045</v>
      </c>
      <c r="AN29" s="2109"/>
      <c r="AO29" s="2110"/>
      <c r="AP29" s="2088"/>
      <c r="AQ29" s="2089"/>
    </row>
    <row r="30" spans="1:49" s="224" customFormat="1" ht="54" customHeight="1">
      <c r="A30" s="319" t="s">
        <v>78</v>
      </c>
      <c r="B30" s="320"/>
      <c r="C30" s="320"/>
      <c r="D30" s="320"/>
      <c r="E30" s="332"/>
      <c r="F30" s="332"/>
      <c r="G30" s="332"/>
      <c r="H30" s="320"/>
      <c r="I30" s="320"/>
      <c r="J30" s="320"/>
      <c r="K30" s="320"/>
      <c r="L30" s="320"/>
      <c r="M30" s="320"/>
      <c r="N30" s="320"/>
      <c r="O30" s="321"/>
      <c r="P30" s="320"/>
      <c r="Q30" s="320"/>
      <c r="R30" s="320"/>
      <c r="S30" s="321"/>
      <c r="T30" s="320"/>
      <c r="U30" s="321"/>
      <c r="V30" s="320"/>
      <c r="W30" s="320"/>
      <c r="X30" s="320"/>
      <c r="Y30" s="320"/>
      <c r="Z30" s="320"/>
      <c r="AA30" s="320"/>
      <c r="AB30" s="320"/>
      <c r="AC30" s="320"/>
      <c r="AD30" s="320"/>
      <c r="AE30" s="320"/>
      <c r="AF30" s="321"/>
      <c r="AG30" s="321"/>
      <c r="AH30" s="321"/>
      <c r="AI30" s="321"/>
      <c r="AJ30" s="321"/>
      <c r="AK30" s="321"/>
      <c r="AL30" s="321"/>
      <c r="AM30" s="321"/>
      <c r="AN30" s="321"/>
      <c r="AO30" s="321"/>
      <c r="AP30" s="321"/>
      <c r="AQ30" s="1123"/>
      <c r="AR30" s="104"/>
      <c r="AS30" s="104"/>
      <c r="AT30" s="104"/>
      <c r="AU30" s="104"/>
    </row>
    <row r="31" spans="1:49" s="104" customFormat="1" ht="45.75" customHeight="1">
      <c r="A31" s="308" t="s">
        <v>289</v>
      </c>
      <c r="B31" s="1115" t="s">
        <v>234</v>
      </c>
      <c r="C31" s="1117" t="s">
        <v>54</v>
      </c>
      <c r="D31" s="109" t="s">
        <v>51</v>
      </c>
      <c r="E31" s="1081" t="str">
        <f>'XM.GUI MAIL'!E31</f>
        <v>300-360</v>
      </c>
      <c r="F31" s="1628" t="str">
        <f>'XM.GUI MAIL'!F31</f>
        <v>300-360</v>
      </c>
      <c r="G31" s="1554"/>
      <c r="H31" s="312"/>
      <c r="I31" s="2091"/>
      <c r="J31" s="2092"/>
      <c r="K31" s="2092"/>
      <c r="L31" s="2092"/>
      <c r="M31" s="2093"/>
      <c r="N31" s="311"/>
      <c r="O31" s="2091"/>
      <c r="P31" s="2092"/>
      <c r="Q31" s="2092"/>
      <c r="R31" s="2092"/>
      <c r="S31" s="2093"/>
      <c r="U31" s="2091"/>
      <c r="V31" s="2092"/>
      <c r="W31" s="2092"/>
      <c r="X31" s="2092"/>
      <c r="Y31" s="2093"/>
      <c r="Z31" s="1120"/>
      <c r="AA31" s="2091"/>
      <c r="AB31" s="2092"/>
      <c r="AC31" s="2092"/>
      <c r="AD31" s="2092"/>
      <c r="AE31" s="2093"/>
      <c r="AF31" s="294"/>
      <c r="AG31" s="2091"/>
      <c r="AH31" s="2092"/>
      <c r="AI31" s="2092"/>
      <c r="AJ31" s="2092"/>
      <c r="AK31" s="2093"/>
      <c r="AL31" s="294"/>
      <c r="AM31" s="2091"/>
      <c r="AN31" s="2092"/>
      <c r="AO31" s="2092"/>
      <c r="AP31" s="2092"/>
      <c r="AQ31" s="2093"/>
    </row>
    <row r="32" spans="1:49" s="104" customFormat="1" ht="45.75" customHeight="1">
      <c r="A32" s="308" t="s">
        <v>290</v>
      </c>
      <c r="B32" s="1115" t="s">
        <v>234</v>
      </c>
      <c r="C32" s="119" t="s">
        <v>55</v>
      </c>
      <c r="D32" s="109" t="s">
        <v>51</v>
      </c>
      <c r="E32" s="1081" t="str">
        <f>'XM.GUI MAIL'!E32</f>
        <v>30-50</v>
      </c>
      <c r="F32" s="1628" t="str">
        <f>'XM.GUI MAIL'!F32</f>
        <v>30-50</v>
      </c>
      <c r="G32" s="13"/>
      <c r="H32" s="53"/>
      <c r="I32" s="2091"/>
      <c r="J32" s="2092"/>
      <c r="K32" s="2092"/>
      <c r="L32" s="2092"/>
      <c r="M32" s="2093"/>
      <c r="N32" s="1112"/>
      <c r="O32" s="2091"/>
      <c r="P32" s="2092"/>
      <c r="Q32" s="2092"/>
      <c r="R32" s="2092"/>
      <c r="S32" s="2093"/>
      <c r="T32" s="1121"/>
      <c r="U32" s="2091"/>
      <c r="V32" s="2092"/>
      <c r="W32" s="2092"/>
      <c r="X32" s="2092"/>
      <c r="Y32" s="2093"/>
      <c r="Z32" s="1112"/>
      <c r="AA32" s="2091"/>
      <c r="AB32" s="2092"/>
      <c r="AC32" s="2092"/>
      <c r="AD32" s="2092"/>
      <c r="AE32" s="2093"/>
      <c r="AF32" s="1107"/>
      <c r="AG32" s="2091"/>
      <c r="AH32" s="2092"/>
      <c r="AI32" s="2092"/>
      <c r="AJ32" s="2092"/>
      <c r="AK32" s="2093"/>
      <c r="AL32" s="1107"/>
      <c r="AM32" s="2091"/>
      <c r="AN32" s="2092"/>
      <c r="AO32" s="2092"/>
      <c r="AP32" s="2092"/>
      <c r="AQ32" s="2093"/>
    </row>
    <row r="33" spans="1:45" ht="26.25" customHeight="1">
      <c r="A33" s="307"/>
      <c r="B33" s="307"/>
      <c r="C33" s="296"/>
      <c r="D33" s="296"/>
      <c r="E33" s="1547"/>
      <c r="F33" s="1629"/>
      <c r="G33" s="1547"/>
      <c r="H33" s="296"/>
      <c r="I33" s="296"/>
      <c r="J33" s="296"/>
      <c r="K33" s="296"/>
      <c r="L33" s="296"/>
      <c r="M33" s="296"/>
      <c r="N33" s="296"/>
      <c r="O33" s="296"/>
      <c r="P33" s="296"/>
      <c r="Q33" s="296"/>
      <c r="R33" s="296"/>
      <c r="S33" s="296"/>
      <c r="T33" s="296"/>
      <c r="U33" s="296"/>
      <c r="V33" s="296"/>
      <c r="W33" s="296"/>
      <c r="X33" s="296"/>
      <c r="Y33" s="296"/>
      <c r="Z33" s="296"/>
      <c r="AA33" s="296"/>
      <c r="AB33" s="296"/>
      <c r="AC33" s="296"/>
      <c r="AD33" s="296"/>
      <c r="AE33" s="296"/>
      <c r="AK33" s="292"/>
      <c r="AQ33" s="292"/>
    </row>
    <row r="34" spans="1:45" ht="41.25" customHeight="1">
      <c r="A34" s="1182" t="s">
        <v>231</v>
      </c>
      <c r="B34" s="1183"/>
      <c r="C34" s="1184"/>
      <c r="D34" s="1184"/>
      <c r="E34" s="1545"/>
      <c r="F34" s="1626"/>
      <c r="G34" s="1550" t="s">
        <v>92</v>
      </c>
      <c r="H34" s="1185"/>
      <c r="I34" s="1186"/>
      <c r="J34" s="1185"/>
      <c r="K34" s="1185"/>
      <c r="L34" s="1187"/>
      <c r="M34" s="1187"/>
      <c r="N34" s="1187"/>
      <c r="O34" s="1187"/>
      <c r="P34" s="1187"/>
      <c r="Q34" s="1187"/>
      <c r="R34" s="1187"/>
      <c r="S34" s="1185"/>
      <c r="T34" s="1185"/>
      <c r="U34" s="1185"/>
      <c r="V34" s="1185"/>
      <c r="W34" s="1185"/>
      <c r="X34" s="1185"/>
      <c r="Y34" s="1185"/>
      <c r="Z34" s="1185"/>
      <c r="AA34" s="1185"/>
      <c r="AB34" s="1185"/>
      <c r="AC34" s="1185"/>
      <c r="AD34" s="1185"/>
      <c r="AE34" s="1185"/>
      <c r="AF34" s="1180"/>
      <c r="AG34" s="1183" t="s">
        <v>231</v>
      </c>
      <c r="AH34" s="1188"/>
      <c r="AI34" s="1188"/>
      <c r="AJ34" s="1188"/>
      <c r="AK34" s="1188"/>
      <c r="AL34" s="1188"/>
      <c r="AM34" s="1188"/>
      <c r="AN34" s="1188"/>
      <c r="AO34" s="1188"/>
      <c r="AP34" s="1188"/>
      <c r="AQ34" s="1189"/>
    </row>
    <row r="35" spans="1:45" ht="36.75" customHeight="1">
      <c r="A35" s="1113"/>
      <c r="B35" s="1113"/>
      <c r="C35" s="1113"/>
      <c r="D35" s="1113"/>
      <c r="E35" s="1614"/>
      <c r="F35" s="1617"/>
      <c r="G35" s="2114" t="s">
        <v>140</v>
      </c>
      <c r="H35" s="98"/>
      <c r="I35" s="298" t="s">
        <v>239</v>
      </c>
      <c r="J35" s="298"/>
      <c r="K35" s="298"/>
      <c r="L35" s="298"/>
      <c r="M35" s="298"/>
      <c r="N35" s="99"/>
      <c r="O35" s="315" t="s">
        <v>240</v>
      </c>
      <c r="P35" s="298"/>
      <c r="Q35" s="298"/>
      <c r="R35" s="298"/>
      <c r="S35" s="299"/>
      <c r="T35" s="298"/>
      <c r="U35" s="298" t="s">
        <v>241</v>
      </c>
      <c r="V35" s="298"/>
      <c r="W35" s="298"/>
      <c r="X35" s="298"/>
      <c r="Y35" s="298"/>
      <c r="Z35" s="99"/>
      <c r="AA35" s="315" t="s">
        <v>242</v>
      </c>
      <c r="AB35" s="298"/>
      <c r="AC35" s="298"/>
      <c r="AD35" s="298"/>
      <c r="AE35" s="299"/>
      <c r="AF35" s="298"/>
      <c r="AG35" s="298" t="s">
        <v>243</v>
      </c>
      <c r="AH35" s="298"/>
      <c r="AI35" s="298"/>
      <c r="AJ35" s="298"/>
      <c r="AK35" s="298"/>
      <c r="AL35" s="298"/>
      <c r="AM35" s="315" t="s">
        <v>244</v>
      </c>
      <c r="AN35" s="298"/>
      <c r="AO35" s="298"/>
      <c r="AP35" s="299"/>
      <c r="AQ35" s="1122"/>
    </row>
    <row r="36" spans="1:45" ht="63.75" customHeight="1">
      <c r="A36" s="1114" t="s">
        <v>267</v>
      </c>
      <c r="B36" s="1114" t="s">
        <v>350</v>
      </c>
      <c r="C36" s="1120" t="s">
        <v>348</v>
      </c>
      <c r="D36" s="1114" t="s">
        <v>136</v>
      </c>
      <c r="E36" s="1624" t="s">
        <v>1413</v>
      </c>
      <c r="F36" s="1624" t="s">
        <v>1412</v>
      </c>
      <c r="G36" s="2115"/>
      <c r="H36" s="20"/>
      <c r="I36" s="1113" t="s">
        <v>145</v>
      </c>
      <c r="J36" s="1755" t="s">
        <v>1</v>
      </c>
      <c r="K36" s="1755" t="s">
        <v>1</v>
      </c>
      <c r="L36" s="1755"/>
      <c r="M36" s="1755"/>
      <c r="N36" s="1755"/>
      <c r="O36" s="1755" t="s">
        <v>145</v>
      </c>
      <c r="P36" s="1755" t="s">
        <v>1</v>
      </c>
      <c r="Q36" s="1755" t="s">
        <v>1</v>
      </c>
      <c r="R36" s="1755"/>
      <c r="S36" s="1755"/>
      <c r="T36" s="1755"/>
      <c r="U36" s="1755" t="s">
        <v>145</v>
      </c>
      <c r="V36" s="1755" t="s">
        <v>1</v>
      </c>
      <c r="W36" s="1755" t="s">
        <v>1</v>
      </c>
      <c r="X36" s="1755"/>
      <c r="Y36" s="1755"/>
      <c r="Z36" s="1755"/>
      <c r="AA36" s="1755" t="s">
        <v>145</v>
      </c>
      <c r="AB36" s="1755" t="s">
        <v>1</v>
      </c>
      <c r="AC36" s="1755" t="s">
        <v>1</v>
      </c>
      <c r="AD36" s="1755"/>
      <c r="AE36" s="1755"/>
      <c r="AF36" s="1755"/>
      <c r="AG36" s="1755" t="s">
        <v>145</v>
      </c>
      <c r="AH36" s="1755" t="s">
        <v>1</v>
      </c>
      <c r="AI36" s="1755" t="s">
        <v>1</v>
      </c>
      <c r="AJ36" s="1755"/>
      <c r="AK36" s="1755"/>
      <c r="AL36" s="1755"/>
      <c r="AM36" s="1755" t="s">
        <v>145</v>
      </c>
      <c r="AN36" s="34" t="s">
        <v>1</v>
      </c>
      <c r="AO36" s="316" t="s">
        <v>1</v>
      </c>
      <c r="AP36" s="316"/>
      <c r="AQ36" s="317"/>
    </row>
    <row r="37" spans="1:45" ht="34.5" customHeight="1">
      <c r="A37" s="1115" t="s">
        <v>291</v>
      </c>
      <c r="B37" s="1115" t="s">
        <v>233</v>
      </c>
      <c r="C37" s="1115" t="s">
        <v>80</v>
      </c>
      <c r="D37" s="1121" t="s">
        <v>4</v>
      </c>
      <c r="E37" s="13" t="str">
        <f>'XM.GUI MAIL'!E37</f>
        <v>60~80</v>
      </c>
      <c r="F37" s="13" t="str">
        <f>'XM.GUI MAIL'!F37</f>
        <v>(70±5)</v>
      </c>
      <c r="G37" s="1555">
        <f>'XM.GUI MAIL'!G37</f>
        <v>70</v>
      </c>
      <c r="H37" s="102">
        <f>XM.HN!B19</f>
        <v>0</v>
      </c>
      <c r="I37" s="1657">
        <f>H37*6.49</f>
        <v>0</v>
      </c>
      <c r="J37" s="488">
        <f>($G$37-I37)*2693/1000</f>
        <v>188.51</v>
      </c>
      <c r="K37" s="37" t="s">
        <v>8</v>
      </c>
      <c r="L37" s="38">
        <f>IF(J37&lt;0,0,J37)</f>
        <v>188.51</v>
      </c>
      <c r="M37" s="43" t="s">
        <v>9</v>
      </c>
      <c r="N37" s="100">
        <f>XM.HN!C19</f>
        <v>0</v>
      </c>
      <c r="O37" s="1657">
        <f>N37*6.49</f>
        <v>0</v>
      </c>
      <c r="P37" s="488">
        <f>($G$37-O37)*2693/1000</f>
        <v>188.51</v>
      </c>
      <c r="Q37" s="37" t="s">
        <v>8</v>
      </c>
      <c r="R37" s="38">
        <f>IF(P37&lt;0,0,P37)</f>
        <v>188.51</v>
      </c>
      <c r="S37" s="43" t="s">
        <v>9</v>
      </c>
      <c r="T37" s="20">
        <f>XM.HN!D19</f>
        <v>0</v>
      </c>
      <c r="U37" s="1657">
        <f>T37*6.49</f>
        <v>0</v>
      </c>
      <c r="V37" s="488">
        <f>($G$37-U37)*2693/1000</f>
        <v>188.51</v>
      </c>
      <c r="W37" s="37" t="s">
        <v>8</v>
      </c>
      <c r="X37" s="38">
        <f>IF(V37&lt;0,0,V37)</f>
        <v>188.51</v>
      </c>
      <c r="Y37" s="43" t="s">
        <v>9</v>
      </c>
      <c r="Z37" s="100">
        <f>XM.HN!E19</f>
        <v>0</v>
      </c>
      <c r="AA37" s="1657">
        <f>Z37*6.49</f>
        <v>0</v>
      </c>
      <c r="AB37" s="488">
        <f>($G$37-AA37)*2693/1000</f>
        <v>188.51</v>
      </c>
      <c r="AC37" s="37" t="s">
        <v>8</v>
      </c>
      <c r="AD37" s="38">
        <f>IF(AB37&lt;0,0,AB37)</f>
        <v>188.51</v>
      </c>
      <c r="AE37" s="43" t="s">
        <v>9</v>
      </c>
      <c r="AF37" s="100">
        <f>XM.HN!F19</f>
        <v>0</v>
      </c>
      <c r="AG37" s="1657">
        <f>AF37*6.49</f>
        <v>0</v>
      </c>
      <c r="AH37" s="488">
        <f>($G$37-AG37)*2693/1000</f>
        <v>188.51</v>
      </c>
      <c r="AI37" s="37" t="s">
        <v>8</v>
      </c>
      <c r="AJ37" s="38">
        <f>IF(AH37&lt;0,0,AH37)</f>
        <v>188.51</v>
      </c>
      <c r="AK37" s="43" t="s">
        <v>9</v>
      </c>
      <c r="AL37" s="100">
        <f>XM.HN!G19</f>
        <v>0</v>
      </c>
      <c r="AM37" s="1657">
        <f>AL37*6.49</f>
        <v>0</v>
      </c>
      <c r="AN37" s="488">
        <f>($G$37-AM37)*2693/1000</f>
        <v>188.51</v>
      </c>
      <c r="AO37" s="37" t="s">
        <v>8</v>
      </c>
      <c r="AP37" s="38">
        <f>IF(AN37&lt;0,0,AN37)</f>
        <v>188.51</v>
      </c>
      <c r="AQ37" s="39" t="s">
        <v>9</v>
      </c>
      <c r="AS37" s="1657"/>
    </row>
    <row r="38" spans="1:45" ht="34.5" customHeight="1">
      <c r="A38" s="1115" t="s">
        <v>292</v>
      </c>
      <c r="B38" s="1115" t="s">
        <v>233</v>
      </c>
      <c r="C38" s="1115" t="s">
        <v>81</v>
      </c>
      <c r="D38" s="1121" t="s">
        <v>4</v>
      </c>
      <c r="E38" s="13" t="str">
        <f>'XM.GUI MAIL'!E38</f>
        <v>60~80</v>
      </c>
      <c r="F38" s="13" t="str">
        <f>'XM.GUI MAIL'!F38</f>
        <v>(70±5)</v>
      </c>
      <c r="G38" s="1555">
        <f>'XM.GUI MAIL'!G38</f>
        <v>70</v>
      </c>
      <c r="H38" s="102">
        <f>XM.HN!B20</f>
        <v>0</v>
      </c>
      <c r="I38" s="1657">
        <f>H38*6.49</f>
        <v>0</v>
      </c>
      <c r="J38" s="488">
        <f>($G$38-I38)*3305/1000</f>
        <v>231.35</v>
      </c>
      <c r="K38" s="37" t="s">
        <v>8</v>
      </c>
      <c r="L38" s="38">
        <f>IF(J38&lt;0,0,J38)</f>
        <v>231.35</v>
      </c>
      <c r="M38" s="43" t="s">
        <v>9</v>
      </c>
      <c r="N38" s="100">
        <f>XM.HN!C20</f>
        <v>0</v>
      </c>
      <c r="O38" s="1657">
        <f>N38*6.49</f>
        <v>0</v>
      </c>
      <c r="P38" s="488">
        <f>($G$38-O38)*3305/1000</f>
        <v>231.35</v>
      </c>
      <c r="Q38" s="37" t="s">
        <v>8</v>
      </c>
      <c r="R38" s="38">
        <f>IF(P38&lt;0,0,P38)</f>
        <v>231.35</v>
      </c>
      <c r="S38" s="43" t="s">
        <v>9</v>
      </c>
      <c r="T38" s="20">
        <f>XM.HN!D20</f>
        <v>0</v>
      </c>
      <c r="U38" s="1657">
        <f>T38*6.49</f>
        <v>0</v>
      </c>
      <c r="V38" s="488">
        <f>($G$38-U38)*3305/1000</f>
        <v>231.35</v>
      </c>
      <c r="W38" s="37" t="s">
        <v>8</v>
      </c>
      <c r="X38" s="38">
        <f>IF(V38&lt;0,0,V38)</f>
        <v>231.35</v>
      </c>
      <c r="Y38" s="43" t="s">
        <v>9</v>
      </c>
      <c r="Z38" s="100">
        <f>XM.HN!E20</f>
        <v>0</v>
      </c>
      <c r="AA38" s="1657">
        <f>Z38*6.49</f>
        <v>0</v>
      </c>
      <c r="AB38" s="488">
        <f>($G$38-AA38)*3305/1000</f>
        <v>231.35</v>
      </c>
      <c r="AC38" s="37" t="s">
        <v>8</v>
      </c>
      <c r="AD38" s="38">
        <f>IF(AB38&lt;0,0,AB38)</f>
        <v>231.35</v>
      </c>
      <c r="AE38" s="43" t="s">
        <v>9</v>
      </c>
      <c r="AF38" s="100">
        <f>XM.HN!F20</f>
        <v>0</v>
      </c>
      <c r="AG38" s="1657">
        <f>AF38*6.49</f>
        <v>0</v>
      </c>
      <c r="AH38" s="488">
        <f>($G$38-AG38)*3305/1000</f>
        <v>231.35</v>
      </c>
      <c r="AI38" s="37" t="s">
        <v>8</v>
      </c>
      <c r="AJ38" s="38">
        <f>IF(AH38&lt;0,0,AH38)</f>
        <v>231.35</v>
      </c>
      <c r="AK38" s="43" t="s">
        <v>9</v>
      </c>
      <c r="AL38" s="100">
        <f>XM.HN!G20</f>
        <v>0</v>
      </c>
      <c r="AM38" s="1657">
        <f>AL38*6.49</f>
        <v>0</v>
      </c>
      <c r="AN38" s="488">
        <f>($G$38-AM38)*3305/1000</f>
        <v>231.35</v>
      </c>
      <c r="AO38" s="37" t="s">
        <v>8</v>
      </c>
      <c r="AP38" s="38">
        <f>IF(AN38&lt;0,0,AN38)</f>
        <v>231.35</v>
      </c>
      <c r="AQ38" s="39" t="s">
        <v>9</v>
      </c>
      <c r="AS38" s="1657"/>
    </row>
    <row r="39" spans="1:45" ht="34.5" customHeight="1">
      <c r="A39" s="1115" t="s">
        <v>293</v>
      </c>
      <c r="B39" s="1115" t="s">
        <v>233</v>
      </c>
      <c r="C39" s="1115" t="s">
        <v>52</v>
      </c>
      <c r="D39" s="52" t="s">
        <v>4</v>
      </c>
      <c r="E39" s="13" t="str">
        <f>'XM.GUI MAIL'!E39</f>
        <v>50~70</v>
      </c>
      <c r="F39" s="13" t="str">
        <f>'XM.GUI MAIL'!F39</f>
        <v>(60±5)</v>
      </c>
      <c r="G39" s="1555">
        <f>'XM.GUI MAIL'!G39</f>
        <v>60</v>
      </c>
      <c r="H39" s="102">
        <f>XM.HN!B21</f>
        <v>0</v>
      </c>
      <c r="I39" s="1657">
        <f>H39*4.62</f>
        <v>0</v>
      </c>
      <c r="J39" s="36">
        <f>($G$39-I39)*1156/1000</f>
        <v>69.36</v>
      </c>
      <c r="K39" s="37" t="s">
        <v>8</v>
      </c>
      <c r="L39" s="38">
        <f>IF(J39&lt;0,0,J39)</f>
        <v>69.36</v>
      </c>
      <c r="M39" s="43" t="s">
        <v>9</v>
      </c>
      <c r="N39" s="116">
        <f>XM.HN!C21</f>
        <v>0</v>
      </c>
      <c r="O39" s="1657">
        <f>N39*4.62</f>
        <v>0</v>
      </c>
      <c r="P39" s="36">
        <f>($G$39-O39)*1156/1000</f>
        <v>69.36</v>
      </c>
      <c r="Q39" s="37" t="s">
        <v>8</v>
      </c>
      <c r="R39" s="38">
        <f>IF(P39&lt;0,0,P39)</f>
        <v>69.36</v>
      </c>
      <c r="S39" s="43" t="s">
        <v>9</v>
      </c>
      <c r="T39" s="102">
        <f>XM.HN!D21</f>
        <v>0</v>
      </c>
      <c r="U39" s="1657">
        <f>T39*4.62</f>
        <v>0</v>
      </c>
      <c r="V39" s="36">
        <f>($G$39-U39)*1156/1000</f>
        <v>69.36</v>
      </c>
      <c r="W39" s="37" t="s">
        <v>8</v>
      </c>
      <c r="X39" s="38">
        <f>IF(V39&lt;0,0,V39)</f>
        <v>69.36</v>
      </c>
      <c r="Y39" s="43" t="s">
        <v>9</v>
      </c>
      <c r="Z39" s="102">
        <f>XM.HN!E21</f>
        <v>0</v>
      </c>
      <c r="AA39" s="1657">
        <f>Z39*4.62</f>
        <v>0</v>
      </c>
      <c r="AB39" s="36">
        <f>($G$39-AA39)*1156/1000</f>
        <v>69.36</v>
      </c>
      <c r="AC39" s="37" t="s">
        <v>8</v>
      </c>
      <c r="AD39" s="38">
        <f>IF(AB39&lt;0,0,AB39)</f>
        <v>69.36</v>
      </c>
      <c r="AE39" s="43" t="s">
        <v>9</v>
      </c>
      <c r="AF39" s="102">
        <f>XM.HN!F21</f>
        <v>0</v>
      </c>
      <c r="AG39" s="1657">
        <f>AF39*4.62</f>
        <v>0</v>
      </c>
      <c r="AH39" s="36">
        <f>($G$39-AG39)*1156/1000</f>
        <v>69.36</v>
      </c>
      <c r="AI39" s="37" t="s">
        <v>8</v>
      </c>
      <c r="AJ39" s="38">
        <f>IF(AH39&lt;0,0,AH39)</f>
        <v>69.36</v>
      </c>
      <c r="AK39" s="43" t="s">
        <v>9</v>
      </c>
      <c r="AL39" s="102">
        <f>XM.HN!G21</f>
        <v>0</v>
      </c>
      <c r="AM39" s="1657">
        <f>AL39*4.62</f>
        <v>0</v>
      </c>
      <c r="AN39" s="488">
        <f>($G$39-AM39)*1156/1000</f>
        <v>69.36</v>
      </c>
      <c r="AO39" s="37" t="s">
        <v>8</v>
      </c>
      <c r="AP39" s="38">
        <f>IF(AN39&lt;0,0,AN39)</f>
        <v>69.36</v>
      </c>
      <c r="AQ39" s="39" t="s">
        <v>9</v>
      </c>
      <c r="AS39" s="1657"/>
    </row>
    <row r="40" spans="1:45" ht="34.5" customHeight="1">
      <c r="A40" s="1115" t="s">
        <v>294</v>
      </c>
      <c r="B40" s="1115" t="s">
        <v>233</v>
      </c>
      <c r="C40" s="1115" t="s">
        <v>53</v>
      </c>
      <c r="D40" s="52" t="s">
        <v>4</v>
      </c>
      <c r="E40" s="13" t="str">
        <f>'XM.GUI MAIL'!E40</f>
        <v>50~70</v>
      </c>
      <c r="F40" s="13" t="str">
        <f>'XM.GUI MAIL'!F40</f>
        <v>(60±5)</v>
      </c>
      <c r="G40" s="1555">
        <f>'XM.GUI MAIL'!G40</f>
        <v>60</v>
      </c>
      <c r="H40" s="102">
        <f>XM.HN!B22</f>
        <v>0</v>
      </c>
      <c r="I40" s="1657">
        <f>H40*4.62</f>
        <v>0</v>
      </c>
      <c r="J40" s="36">
        <f>($G$40-I40)*1459/1000</f>
        <v>87.54</v>
      </c>
      <c r="K40" s="37" t="s">
        <v>8</v>
      </c>
      <c r="L40" s="38">
        <f>IF(J40&lt;0,0,J40)</f>
        <v>87.54</v>
      </c>
      <c r="M40" s="43" t="s">
        <v>9</v>
      </c>
      <c r="N40" s="116">
        <f>XM.HN!C22</f>
        <v>0</v>
      </c>
      <c r="O40" s="1657">
        <f>N40*4.62</f>
        <v>0</v>
      </c>
      <c r="P40" s="36">
        <f>($G$40-O40)*1459/1000</f>
        <v>87.54</v>
      </c>
      <c r="Q40" s="37" t="s">
        <v>8</v>
      </c>
      <c r="R40" s="38">
        <f>IF(P40&lt;0,0,P40)</f>
        <v>87.54</v>
      </c>
      <c r="S40" s="43" t="s">
        <v>9</v>
      </c>
      <c r="T40" s="102">
        <f>XM.HN!D22</f>
        <v>0</v>
      </c>
      <c r="U40" s="1657">
        <f>T40*4.62</f>
        <v>0</v>
      </c>
      <c r="V40" s="36">
        <f>($G$40-U40)*1459/1000</f>
        <v>87.54</v>
      </c>
      <c r="W40" s="37" t="s">
        <v>8</v>
      </c>
      <c r="X40" s="38">
        <f>IF(V40&lt;0,0,V40)</f>
        <v>87.54</v>
      </c>
      <c r="Y40" s="43" t="s">
        <v>9</v>
      </c>
      <c r="Z40" s="102">
        <f>XM.HN!E22</f>
        <v>0</v>
      </c>
      <c r="AA40" s="1657">
        <f>Z40*4.62</f>
        <v>0</v>
      </c>
      <c r="AB40" s="36">
        <f>($G$40-AA40)*1459/1000</f>
        <v>87.54</v>
      </c>
      <c r="AC40" s="37" t="s">
        <v>8</v>
      </c>
      <c r="AD40" s="38">
        <f>IF(AB40&lt;0,0,AB40)</f>
        <v>87.54</v>
      </c>
      <c r="AE40" s="43" t="s">
        <v>9</v>
      </c>
      <c r="AF40" s="102">
        <f>XM.HN!F22</f>
        <v>0</v>
      </c>
      <c r="AG40" s="1657">
        <f>AF40*4.62</f>
        <v>0</v>
      </c>
      <c r="AH40" s="36">
        <f>($G$40-AG40)*1459/1000</f>
        <v>87.54</v>
      </c>
      <c r="AI40" s="37" t="s">
        <v>8</v>
      </c>
      <c r="AJ40" s="38">
        <f>IF(AH40&lt;0,0,AH40)</f>
        <v>87.54</v>
      </c>
      <c r="AK40" s="43" t="s">
        <v>9</v>
      </c>
      <c r="AL40" s="102">
        <f>XM.HN!G22</f>
        <v>0</v>
      </c>
      <c r="AM40" s="1657">
        <f>AL40*4.62</f>
        <v>0</v>
      </c>
      <c r="AN40" s="488">
        <f>($G$40-AM40)*1459/1000</f>
        <v>87.54</v>
      </c>
      <c r="AO40" s="37" t="s">
        <v>8</v>
      </c>
      <c r="AP40" s="38">
        <f>IF(AN40&lt;0,0,AN40)</f>
        <v>87.54</v>
      </c>
      <c r="AQ40" s="39" t="s">
        <v>9</v>
      </c>
      <c r="AS40" s="1657"/>
    </row>
    <row r="41" spans="1:45" ht="34.5" customHeight="1">
      <c r="A41" s="1115" t="s">
        <v>295</v>
      </c>
      <c r="B41" s="1115" t="s">
        <v>233</v>
      </c>
      <c r="C41" s="1116" t="s">
        <v>59</v>
      </c>
      <c r="D41" s="1121" t="s">
        <v>4</v>
      </c>
      <c r="E41" s="13" t="str">
        <f>'XM.GUI MAIL'!E41</f>
        <v>130 - 150</v>
      </c>
      <c r="F41" s="13" t="str">
        <f>'XM.GUI MAIL'!F41</f>
        <v>(140±10)</v>
      </c>
      <c r="G41" s="1555">
        <f>'XM.GUI MAIL'!G41</f>
        <v>140</v>
      </c>
      <c r="H41" s="102">
        <f>XM.HN!B23</f>
        <v>0</v>
      </c>
      <c r="I41" s="1694">
        <f>H41*8</f>
        <v>0</v>
      </c>
      <c r="J41" s="36">
        <f>($G$41-I41)*19951/1000</f>
        <v>2793.14</v>
      </c>
      <c r="K41" s="37" t="s">
        <v>8</v>
      </c>
      <c r="L41" s="38">
        <f t="shared" ref="L41:L43" si="11">IF(J41&lt;0,0,J41)</f>
        <v>2793.14</v>
      </c>
      <c r="M41" s="43" t="s">
        <v>9</v>
      </c>
      <c r="N41" s="116">
        <f>XM.HN!C23</f>
        <v>0</v>
      </c>
      <c r="O41" s="1694">
        <f>N41*8</f>
        <v>0</v>
      </c>
      <c r="P41" s="36">
        <f>($G$41-O41)*19951/1000</f>
        <v>2793.14</v>
      </c>
      <c r="Q41" s="37" t="s">
        <v>8</v>
      </c>
      <c r="R41" s="38">
        <f t="shared" ref="R41:R43" si="12">IF(P41&lt;0,0,P41)</f>
        <v>2793.14</v>
      </c>
      <c r="S41" s="43" t="s">
        <v>9</v>
      </c>
      <c r="T41" s="102">
        <f>XM.HN!D23</f>
        <v>0</v>
      </c>
      <c r="U41" s="1694">
        <f>T41*8</f>
        <v>0</v>
      </c>
      <c r="V41" s="36">
        <f>($G$41-U41)*19951/1000</f>
        <v>2793.14</v>
      </c>
      <c r="W41" s="37" t="s">
        <v>8</v>
      </c>
      <c r="X41" s="38">
        <f t="shared" ref="X41:X43" si="13">IF(V41&lt;0,0,V41)</f>
        <v>2793.14</v>
      </c>
      <c r="Y41" s="43" t="s">
        <v>9</v>
      </c>
      <c r="Z41" s="102">
        <f>XM.HN!E23</f>
        <v>0</v>
      </c>
      <c r="AA41" s="1694">
        <f>Z41*8</f>
        <v>0</v>
      </c>
      <c r="AB41" s="36">
        <f>($G$41-AA41)*19951/1000</f>
        <v>2793.14</v>
      </c>
      <c r="AC41" s="37" t="s">
        <v>8</v>
      </c>
      <c r="AD41" s="38">
        <f t="shared" ref="AD41:AD43" si="14">IF(AB41&lt;0,0,AB41)</f>
        <v>2793.14</v>
      </c>
      <c r="AE41" s="43" t="s">
        <v>9</v>
      </c>
      <c r="AF41" s="102">
        <f>XM.HN!F23</f>
        <v>0</v>
      </c>
      <c r="AG41" s="1694">
        <f>AF41*8</f>
        <v>0</v>
      </c>
      <c r="AH41" s="36">
        <f>($G$41-AG41)*19951/1000</f>
        <v>2793.14</v>
      </c>
      <c r="AI41" s="37" t="s">
        <v>8</v>
      </c>
      <c r="AJ41" s="38">
        <f t="shared" ref="AJ41:AJ43" si="15">IF(AH41&lt;0,0,AH41)</f>
        <v>2793.14</v>
      </c>
      <c r="AK41" s="43" t="s">
        <v>9</v>
      </c>
      <c r="AL41" s="102">
        <f>XM.HN!G23</f>
        <v>0</v>
      </c>
      <c r="AM41" s="1694">
        <f>AL41*8</f>
        <v>0</v>
      </c>
      <c r="AN41" s="488">
        <f>($G$41-AM41)*19951/1000</f>
        <v>2793.14</v>
      </c>
      <c r="AO41" s="37" t="s">
        <v>8</v>
      </c>
      <c r="AP41" s="38">
        <f t="shared" ref="AP41:AP43" si="16">IF(AN41&lt;0,0,AN41)</f>
        <v>2793.14</v>
      </c>
      <c r="AQ41" s="39" t="s">
        <v>9</v>
      </c>
      <c r="AS41" s="1694"/>
    </row>
    <row r="42" spans="1:45" ht="34.5" customHeight="1">
      <c r="A42" s="52" t="s">
        <v>296</v>
      </c>
      <c r="B42" s="1115" t="s">
        <v>233</v>
      </c>
      <c r="C42" s="1107" t="s">
        <v>60</v>
      </c>
      <c r="D42" s="1121" t="s">
        <v>4</v>
      </c>
      <c r="E42" s="13" t="str">
        <f>'XM.GUI MAIL'!E42</f>
        <v>8~12</v>
      </c>
      <c r="F42" s="13" t="str">
        <f>'XM.GUI MAIL'!F42</f>
        <v>(10±1)</v>
      </c>
      <c r="G42" s="1555">
        <f>'XM.GUI MAIL'!G42</f>
        <v>10</v>
      </c>
      <c r="H42" s="102">
        <f>XM.HN!B24</f>
        <v>0</v>
      </c>
      <c r="I42" s="664">
        <f>H42*1.3</f>
        <v>0</v>
      </c>
      <c r="J42" s="488">
        <f>($G$42-I42)*19951/1000</f>
        <v>199.51</v>
      </c>
      <c r="K42" s="37" t="s">
        <v>8</v>
      </c>
      <c r="L42" s="38">
        <f t="shared" si="11"/>
        <v>199.51</v>
      </c>
      <c r="M42" s="39" t="s">
        <v>1046</v>
      </c>
      <c r="N42" s="100">
        <f>XM.HN!C24</f>
        <v>0</v>
      </c>
      <c r="O42" s="664">
        <f>N42*1.3</f>
        <v>0</v>
      </c>
      <c r="P42" s="488">
        <f>($G$42-O42)*19951/1000</f>
        <v>199.51</v>
      </c>
      <c r="Q42" s="37" t="s">
        <v>8</v>
      </c>
      <c r="R42" s="38">
        <f t="shared" si="12"/>
        <v>199.51</v>
      </c>
      <c r="S42" s="39" t="s">
        <v>1046</v>
      </c>
      <c r="T42" s="20">
        <f>XM.HN!D24</f>
        <v>0</v>
      </c>
      <c r="U42" s="664">
        <f>T42*1.3</f>
        <v>0</v>
      </c>
      <c r="V42" s="488">
        <f>($G$42-U42)*19951/1000</f>
        <v>199.51</v>
      </c>
      <c r="W42" s="37" t="s">
        <v>8</v>
      </c>
      <c r="X42" s="38">
        <f t="shared" si="13"/>
        <v>199.51</v>
      </c>
      <c r="Y42" s="39" t="s">
        <v>1046</v>
      </c>
      <c r="Z42" s="100">
        <f>XM.HN!E24</f>
        <v>0</v>
      </c>
      <c r="AA42" s="664">
        <f>Z42*1.3</f>
        <v>0</v>
      </c>
      <c r="AB42" s="488">
        <f>($G$42-AA42)*19951/1000</f>
        <v>199.51</v>
      </c>
      <c r="AC42" s="37" t="s">
        <v>8</v>
      </c>
      <c r="AD42" s="38">
        <f t="shared" si="14"/>
        <v>199.51</v>
      </c>
      <c r="AE42" s="39" t="s">
        <v>1046</v>
      </c>
      <c r="AF42" s="100">
        <f>XM.HN!F24</f>
        <v>0</v>
      </c>
      <c r="AG42" s="664">
        <f>AF42*1.3</f>
        <v>0</v>
      </c>
      <c r="AH42" s="488">
        <f>($G$42-AG42)*19951/1000</f>
        <v>199.51</v>
      </c>
      <c r="AI42" s="37" t="s">
        <v>8</v>
      </c>
      <c r="AJ42" s="38">
        <f t="shared" si="15"/>
        <v>199.51</v>
      </c>
      <c r="AK42" s="39" t="s">
        <v>1046</v>
      </c>
      <c r="AL42" s="100">
        <f>XM.HN!G24</f>
        <v>0</v>
      </c>
      <c r="AM42" s="664">
        <f>AL42*1.3</f>
        <v>0</v>
      </c>
      <c r="AN42" s="488">
        <f>($G$42-AM42)*19951/1000</f>
        <v>199.51</v>
      </c>
      <c r="AO42" s="37" t="s">
        <v>8</v>
      </c>
      <c r="AP42" s="38">
        <f t="shared" si="16"/>
        <v>199.51</v>
      </c>
      <c r="AQ42" s="39" t="s">
        <v>1046</v>
      </c>
      <c r="AS42" s="664"/>
    </row>
    <row r="43" spans="1:45" ht="34.5" customHeight="1">
      <c r="A43" s="308" t="s">
        <v>297</v>
      </c>
      <c r="B43" s="1115" t="s">
        <v>233</v>
      </c>
      <c r="C43" s="1119" t="s">
        <v>1034</v>
      </c>
      <c r="D43" s="1121" t="s">
        <v>3</v>
      </c>
      <c r="E43" s="13" t="str">
        <f>'XM.GUI MAIL'!E43</f>
        <v xml:space="preserve">6~10 </v>
      </c>
      <c r="F43" s="13" t="str">
        <f>'XM.GUI MAIL'!F43</f>
        <v>(8±0.5)</v>
      </c>
      <c r="G43" s="1555">
        <f>'XM.GUI MAIL'!G43</f>
        <v>8</v>
      </c>
      <c r="H43" s="102">
        <f>XM.HN!B25</f>
        <v>0</v>
      </c>
      <c r="I43" s="664">
        <f>(H43*0.4237)-1.0461</f>
        <v>-1.0461</v>
      </c>
      <c r="J43" s="488">
        <f>($G$43-I43)*575/100</f>
        <v>52.015074999999996</v>
      </c>
      <c r="K43" s="37" t="s">
        <v>8</v>
      </c>
      <c r="L43" s="38">
        <f t="shared" si="11"/>
        <v>52.015074999999996</v>
      </c>
      <c r="M43" s="43" t="s">
        <v>10</v>
      </c>
      <c r="N43" s="100">
        <f>XM.HN!C25</f>
        <v>0</v>
      </c>
      <c r="O43" s="664">
        <f>(N43*0.4237)-1.0461</f>
        <v>-1.0461</v>
      </c>
      <c r="P43" s="488">
        <f>($G$43-O43)*575/100</f>
        <v>52.015074999999996</v>
      </c>
      <c r="Q43" s="37" t="s">
        <v>8</v>
      </c>
      <c r="R43" s="38">
        <f t="shared" si="12"/>
        <v>52.015074999999996</v>
      </c>
      <c r="S43" s="43" t="s">
        <v>10</v>
      </c>
      <c r="T43" s="292">
        <f>XM.HN!D25</f>
        <v>0</v>
      </c>
      <c r="U43" s="664">
        <f>(T43*0.4237)-1.0461</f>
        <v>-1.0461</v>
      </c>
      <c r="V43" s="488">
        <f>($G$43-U43)*575/100</f>
        <v>52.015074999999996</v>
      </c>
      <c r="W43" s="37" t="s">
        <v>8</v>
      </c>
      <c r="X43" s="38">
        <f t="shared" si="13"/>
        <v>52.015074999999996</v>
      </c>
      <c r="Y43" s="43" t="s">
        <v>10</v>
      </c>
      <c r="Z43" s="292">
        <f>XM.HN!E25</f>
        <v>0</v>
      </c>
      <c r="AA43" s="664">
        <f>(Z43*0.4237)-1.0461</f>
        <v>-1.0461</v>
      </c>
      <c r="AB43" s="488">
        <f>($G$43-AA43)*575/100</f>
        <v>52.015074999999996</v>
      </c>
      <c r="AC43" s="37" t="s">
        <v>8</v>
      </c>
      <c r="AD43" s="38">
        <f t="shared" si="14"/>
        <v>52.015074999999996</v>
      </c>
      <c r="AE43" s="43" t="s">
        <v>10</v>
      </c>
      <c r="AF43" s="292">
        <f>XM.HN!F25</f>
        <v>0</v>
      </c>
      <c r="AG43" s="664">
        <f>(AF43*0.4237)-1.0461</f>
        <v>-1.0461</v>
      </c>
      <c r="AH43" s="488">
        <f>($G$43-AG43)*575/100</f>
        <v>52.015074999999996</v>
      </c>
      <c r="AI43" s="37" t="s">
        <v>8</v>
      </c>
      <c r="AJ43" s="38">
        <f t="shared" si="15"/>
        <v>52.015074999999996</v>
      </c>
      <c r="AK43" s="43" t="s">
        <v>10</v>
      </c>
      <c r="AL43" s="292">
        <f>XM.HN!G25</f>
        <v>0</v>
      </c>
      <c r="AM43" s="664">
        <f>(AL43*0.4237)-1.0461</f>
        <v>-1.0461</v>
      </c>
      <c r="AN43" s="488">
        <f>($G$43-AM43)*575/100</f>
        <v>52.015074999999996</v>
      </c>
      <c r="AO43" s="37" t="s">
        <v>8</v>
      </c>
      <c r="AP43" s="38">
        <f t="shared" si="16"/>
        <v>52.015074999999996</v>
      </c>
      <c r="AQ43" s="39" t="s">
        <v>10</v>
      </c>
      <c r="AS43" s="664"/>
    </row>
    <row r="44" spans="1:45" ht="34.5" customHeight="1">
      <c r="A44" s="308" t="s">
        <v>298</v>
      </c>
      <c r="B44" s="1115" t="s">
        <v>233</v>
      </c>
      <c r="C44" s="311" t="s">
        <v>131</v>
      </c>
      <c r="D44" s="1121" t="s">
        <v>5</v>
      </c>
      <c r="E44" s="13" t="str">
        <f>'XM.GUI MAIL'!E44</f>
        <v>2~2.5</v>
      </c>
      <c r="F44" s="13" t="str">
        <f>'XM.GUI MAIL'!F44</f>
        <v>(2.3±0.1 )</v>
      </c>
      <c r="G44" s="1555">
        <f>'XM.GUI MAIL'!G44</f>
        <v>0</v>
      </c>
      <c r="H44" s="102"/>
      <c r="I44" s="664">
        <f>XM.HN!B32</f>
        <v>0</v>
      </c>
      <c r="J44" s="488"/>
      <c r="K44" s="41"/>
      <c r="L44" s="42"/>
      <c r="M44" s="1423"/>
      <c r="N44" s="100"/>
      <c r="O44" s="664">
        <f>XM.HN!C32</f>
        <v>0</v>
      </c>
      <c r="U44" s="664">
        <f>XM.HN!D32</f>
        <v>0</v>
      </c>
      <c r="AA44" s="664">
        <f>XM.HN!E32</f>
        <v>0</v>
      </c>
      <c r="AE44" s="292"/>
      <c r="AG44" s="664">
        <f>XM.HN!F32</f>
        <v>0</v>
      </c>
      <c r="AK44" s="292"/>
      <c r="AM44" s="664">
        <f>XM.HN!G32</f>
        <v>0</v>
      </c>
      <c r="AN44" s="488"/>
      <c r="AO44" s="41"/>
      <c r="AP44" s="42"/>
      <c r="AQ44" s="1124"/>
      <c r="AS44" s="664"/>
    </row>
    <row r="45" spans="1:45" ht="34.5" customHeight="1">
      <c r="A45" s="309" t="s">
        <v>299</v>
      </c>
      <c r="B45" s="1115" t="s">
        <v>233</v>
      </c>
      <c r="C45" s="1116" t="s">
        <v>61</v>
      </c>
      <c r="D45" s="1121" t="s">
        <v>6</v>
      </c>
      <c r="E45" s="13" t="str">
        <f>'XM.GUI MAIL'!E45</f>
        <v xml:space="preserve">30~60 </v>
      </c>
      <c r="F45" s="13" t="str">
        <f>'XM.GUI MAIL'!F45</f>
        <v>(45±5)</v>
      </c>
      <c r="G45" s="1551">
        <f>'XM.GUI MAIL'!G45</f>
        <v>0.45</v>
      </c>
      <c r="H45" s="102">
        <f>XM.HN!B26</f>
        <v>0</v>
      </c>
      <c r="I45" s="337">
        <f>(1*H45*36.5)/(1*10)/32%/100</f>
        <v>0</v>
      </c>
      <c r="J45" s="35">
        <f>($G$45-I45)*2122</f>
        <v>954.9</v>
      </c>
      <c r="K45" s="43" t="s">
        <v>8</v>
      </c>
      <c r="L45" s="44">
        <f>IF(J45&lt;0,0,J45)</f>
        <v>954.9</v>
      </c>
      <c r="M45" s="237" t="s">
        <v>10</v>
      </c>
      <c r="N45" s="116">
        <f>XM.HN!C26</f>
        <v>0</v>
      </c>
      <c r="O45" s="337">
        <f>(1*N45*36.5)/(1*10)/32%/100</f>
        <v>0</v>
      </c>
      <c r="P45" s="35">
        <f>($G$45-O45)*2122</f>
        <v>954.9</v>
      </c>
      <c r="Q45" s="43" t="s">
        <v>8</v>
      </c>
      <c r="R45" s="44">
        <f>IF(P45&lt;0,0,P45)</f>
        <v>954.9</v>
      </c>
      <c r="S45" s="237" t="s">
        <v>10</v>
      </c>
      <c r="T45" s="102">
        <f>XM.HN!D26</f>
        <v>0</v>
      </c>
      <c r="U45" s="337">
        <f>(1*T45*36.5)/(1*10)/32%/100</f>
        <v>0</v>
      </c>
      <c r="V45" s="35">
        <f>($G$45-U45)*2122</f>
        <v>954.9</v>
      </c>
      <c r="W45" s="43" t="s">
        <v>8</v>
      </c>
      <c r="X45" s="44">
        <f>IF(V45&lt;0,0,V45)</f>
        <v>954.9</v>
      </c>
      <c r="Y45" s="237" t="s">
        <v>10</v>
      </c>
      <c r="Z45" s="102">
        <f>XM.HN!E26</f>
        <v>0</v>
      </c>
      <c r="AA45" s="337">
        <f>(1*Z45*36.5)/(1*10)/32%/100</f>
        <v>0</v>
      </c>
      <c r="AB45" s="35">
        <f>($G$45-AA45)*2122</f>
        <v>954.9</v>
      </c>
      <c r="AC45" s="43" t="s">
        <v>8</v>
      </c>
      <c r="AD45" s="44">
        <f>IF(AB45&lt;0,0,AB45)</f>
        <v>954.9</v>
      </c>
      <c r="AE45" s="237" t="s">
        <v>10</v>
      </c>
      <c r="AF45" s="102">
        <f>XM.HN!F26</f>
        <v>0</v>
      </c>
      <c r="AG45" s="337">
        <f>(1*AF45*36.5)/(1*10)/32%/100</f>
        <v>0</v>
      </c>
      <c r="AH45" s="35">
        <f>($G$45-AG45)*2122</f>
        <v>954.9</v>
      </c>
      <c r="AI45" s="43" t="s">
        <v>8</v>
      </c>
      <c r="AJ45" s="44">
        <f>IF(AH45&lt;0,0,AH45)</f>
        <v>954.9</v>
      </c>
      <c r="AK45" s="237" t="s">
        <v>10</v>
      </c>
      <c r="AL45" s="102">
        <f>XM.HN!G26</f>
        <v>0</v>
      </c>
      <c r="AM45" s="337">
        <f>(1*AL45*36.5)/(1*10)/32%/100</f>
        <v>0</v>
      </c>
      <c r="AN45" s="488">
        <f>($G$45-AM45)*2122</f>
        <v>954.9</v>
      </c>
      <c r="AO45" s="43" t="s">
        <v>8</v>
      </c>
      <c r="AP45" s="44">
        <f>IF(AN45&lt;0,0,AN45)</f>
        <v>954.9</v>
      </c>
      <c r="AQ45" s="45" t="s">
        <v>10</v>
      </c>
      <c r="AS45" s="337"/>
    </row>
    <row r="46" spans="1:45" ht="34.5" customHeight="1">
      <c r="A46" s="309" t="s">
        <v>300</v>
      </c>
      <c r="B46" s="1115" t="s">
        <v>233</v>
      </c>
      <c r="C46" s="1116" t="s">
        <v>62</v>
      </c>
      <c r="D46" s="1121" t="s">
        <v>6</v>
      </c>
      <c r="E46" s="13" t="str">
        <f>'XM.GUI MAIL'!E46</f>
        <v>15~30</v>
      </c>
      <c r="F46" s="13" t="str">
        <f>'XM.GUI MAIL'!F46</f>
        <v>(22±5 )</v>
      </c>
      <c r="G46" s="1551">
        <f>'XM.GUI MAIL'!G46</f>
        <v>0.22</v>
      </c>
      <c r="H46" s="102">
        <f>XM.HN!B27</f>
        <v>0</v>
      </c>
      <c r="I46" s="337">
        <f>(1*H46*36.5)/(1*10)/32%/100</f>
        <v>0</v>
      </c>
      <c r="J46" s="35">
        <f>($G$46-I46)*612</f>
        <v>134.64000000000001</v>
      </c>
      <c r="K46" s="43" t="s">
        <v>8</v>
      </c>
      <c r="L46" s="44">
        <f>IF(J46&lt;0,0,J46)</f>
        <v>134.64000000000001</v>
      </c>
      <c r="M46" s="237" t="s">
        <v>10</v>
      </c>
      <c r="N46" s="116">
        <f>XM.HN!C27</f>
        <v>0</v>
      </c>
      <c r="O46" s="337">
        <f>(1*N46*36.5)/(1*10)/32%/100</f>
        <v>0</v>
      </c>
      <c r="P46" s="35">
        <f>($G$46-O46)*612</f>
        <v>134.64000000000001</v>
      </c>
      <c r="Q46" s="43" t="s">
        <v>8</v>
      </c>
      <c r="R46" s="44">
        <f>IF(P46&lt;0,0,P46)</f>
        <v>134.64000000000001</v>
      </c>
      <c r="S46" s="237" t="s">
        <v>10</v>
      </c>
      <c r="T46" s="102">
        <f>XM.HN!D27</f>
        <v>0</v>
      </c>
      <c r="U46" s="337">
        <f>(1*T46*36.5)/(1*10)/32%/100</f>
        <v>0</v>
      </c>
      <c r="V46" s="35">
        <f>($G$46-U46)*612</f>
        <v>134.64000000000001</v>
      </c>
      <c r="W46" s="43" t="s">
        <v>8</v>
      </c>
      <c r="X46" s="44">
        <f>IF(V46&lt;0,0,V46)</f>
        <v>134.64000000000001</v>
      </c>
      <c r="Y46" s="237" t="s">
        <v>10</v>
      </c>
      <c r="Z46" s="102">
        <f>XM.HN!E27</f>
        <v>0</v>
      </c>
      <c r="AA46" s="337">
        <f>(1*Z46*36.5)/(1*10)/32%/100</f>
        <v>0</v>
      </c>
      <c r="AB46" s="35">
        <f>($G$46-AA46)*612</f>
        <v>134.64000000000001</v>
      </c>
      <c r="AC46" s="43" t="s">
        <v>8</v>
      </c>
      <c r="AD46" s="44">
        <f>IF(AB46&lt;0,0,AB46)</f>
        <v>134.64000000000001</v>
      </c>
      <c r="AE46" s="237" t="s">
        <v>10</v>
      </c>
      <c r="AF46" s="102">
        <f>XM.HN!F27</f>
        <v>0</v>
      </c>
      <c r="AG46" s="337">
        <f>(1*AF46*36.5)/(1*10)/32%/100</f>
        <v>0</v>
      </c>
      <c r="AH46" s="35">
        <f>($G$46-AG46)*612</f>
        <v>134.64000000000001</v>
      </c>
      <c r="AI46" s="43" t="s">
        <v>8</v>
      </c>
      <c r="AJ46" s="44">
        <f>IF(AH46&lt;0,0,AH46)</f>
        <v>134.64000000000001</v>
      </c>
      <c r="AK46" s="237" t="s">
        <v>10</v>
      </c>
      <c r="AL46" s="102">
        <f>XM.HN!G27</f>
        <v>0</v>
      </c>
      <c r="AM46" s="337">
        <f>(1*AL46*36.5)/(1*10)/32%/100</f>
        <v>0</v>
      </c>
      <c r="AN46" s="488">
        <f>($G$46-AM46)*612</f>
        <v>134.64000000000001</v>
      </c>
      <c r="AO46" s="43" t="s">
        <v>8</v>
      </c>
      <c r="AP46" s="44">
        <f>IF(AN46&lt;0,0,AN46)</f>
        <v>134.64000000000001</v>
      </c>
      <c r="AQ46" s="45" t="s">
        <v>10</v>
      </c>
      <c r="AS46" s="337"/>
    </row>
    <row r="47" spans="1:45" ht="34.5" customHeight="1">
      <c r="A47" s="309" t="s">
        <v>301</v>
      </c>
      <c r="B47" s="1115" t="s">
        <v>233</v>
      </c>
      <c r="C47" s="1116" t="s">
        <v>63</v>
      </c>
      <c r="D47" s="52" t="s">
        <v>6</v>
      </c>
      <c r="E47" s="13" t="str">
        <f>'XM.GUI MAIL'!E47</f>
        <v>5~15</v>
      </c>
      <c r="F47" s="13" t="str">
        <f>'XM.GUI MAIL'!F47</f>
        <v>(10±3)</v>
      </c>
      <c r="G47" s="1551">
        <f>'XM.GUI MAIL'!G47</f>
        <v>0.1</v>
      </c>
      <c r="H47" s="102">
        <f>XM.HN!B28</f>
        <v>0</v>
      </c>
      <c r="I47" s="337">
        <f>(1*H47*36.5)/(5*10)/32%/100</f>
        <v>0</v>
      </c>
      <c r="J47" s="35">
        <f>($G$47-I47)*575</f>
        <v>57.5</v>
      </c>
      <c r="K47" s="43" t="s">
        <v>8</v>
      </c>
      <c r="L47" s="44">
        <f>IF(J47&lt;0,0,J47)</f>
        <v>57.5</v>
      </c>
      <c r="M47" s="45" t="s">
        <v>10</v>
      </c>
      <c r="N47" s="103">
        <f>XM.HN!C28</f>
        <v>0</v>
      </c>
      <c r="O47" s="337">
        <f>(1*N47*36.5)/(5*10)/32%/100</f>
        <v>0</v>
      </c>
      <c r="P47" s="35">
        <f>($G$47-O47)*575</f>
        <v>57.5</v>
      </c>
      <c r="Q47" s="43" t="s">
        <v>8</v>
      </c>
      <c r="R47" s="44">
        <f>IF(P47&lt;0,0,P47)</f>
        <v>57.5</v>
      </c>
      <c r="S47" s="45" t="s">
        <v>10</v>
      </c>
      <c r="T47" s="103">
        <f>XM.HN!D28</f>
        <v>0</v>
      </c>
      <c r="U47" s="337">
        <f>(1*T47*36.5)/(5*10)/32%/100</f>
        <v>0</v>
      </c>
      <c r="V47" s="35">
        <f>($G$47-U47)*575</f>
        <v>57.5</v>
      </c>
      <c r="W47" s="43" t="s">
        <v>8</v>
      </c>
      <c r="X47" s="44">
        <f>IF(V47&lt;0,0,V47)</f>
        <v>57.5</v>
      </c>
      <c r="Y47" s="45" t="s">
        <v>10</v>
      </c>
      <c r="Z47" s="103">
        <f>XM.HN!E28</f>
        <v>0</v>
      </c>
      <c r="AA47" s="337">
        <f>(1*Z47*36.5)/(5*10)/32%/100</f>
        <v>0</v>
      </c>
      <c r="AB47" s="35">
        <f>($G$47-AA47)*575</f>
        <v>57.5</v>
      </c>
      <c r="AC47" s="43" t="s">
        <v>8</v>
      </c>
      <c r="AD47" s="44">
        <f>IF(AB47&lt;0,0,AB47)</f>
        <v>57.5</v>
      </c>
      <c r="AE47" s="45" t="s">
        <v>10</v>
      </c>
      <c r="AF47" s="102">
        <f>XM.HN!F28</f>
        <v>0</v>
      </c>
      <c r="AG47" s="337">
        <f>(1*AF47*36.5)/(5*10)/32%/100</f>
        <v>0</v>
      </c>
      <c r="AH47" s="35">
        <f>($G$47-AG47)*575</f>
        <v>57.5</v>
      </c>
      <c r="AI47" s="43" t="s">
        <v>8</v>
      </c>
      <c r="AJ47" s="44">
        <f>IF(AH47&lt;0,0,AH47)</f>
        <v>57.5</v>
      </c>
      <c r="AK47" s="45" t="s">
        <v>10</v>
      </c>
      <c r="AL47" s="102">
        <f>XM.HN!G28</f>
        <v>0</v>
      </c>
      <c r="AM47" s="337">
        <f>(1*AL47*36.5)/(5*10)/32%/100</f>
        <v>0</v>
      </c>
      <c r="AN47" s="42">
        <f>($G$47-AM47)*575</f>
        <v>57.5</v>
      </c>
      <c r="AO47" s="43" t="s">
        <v>8</v>
      </c>
      <c r="AP47" s="44">
        <f>IF(AN47&lt;0,0,AN47)</f>
        <v>57.5</v>
      </c>
      <c r="AQ47" s="45" t="s">
        <v>10</v>
      </c>
      <c r="AS47" s="337"/>
    </row>
    <row r="48" spans="1:45" ht="34.5" customHeight="1">
      <c r="A48" s="309" t="s">
        <v>302</v>
      </c>
      <c r="B48" s="1115" t="s">
        <v>233</v>
      </c>
      <c r="C48" s="1116" t="s">
        <v>162</v>
      </c>
      <c r="D48" s="1166" t="s">
        <v>1055</v>
      </c>
      <c r="E48" s="13" t="str">
        <f>'XM.GUI MAIL'!E48</f>
        <v>0.5~1.5</v>
      </c>
      <c r="F48" s="13" t="str">
        <f>'XM.GUI MAIL'!F48</f>
        <v>(1±0.2)</v>
      </c>
      <c r="G48" s="1551">
        <f>'XM.GUI MAIL'!G48</f>
        <v>0.01</v>
      </c>
      <c r="H48" s="102">
        <f>XM.HN!B29</f>
        <v>0</v>
      </c>
      <c r="I48" s="340">
        <f>(1*H48*6.301)/5/100</f>
        <v>0</v>
      </c>
      <c r="J48" s="35">
        <f>($G$48-I48)*530/65%</f>
        <v>8.1538461538461533</v>
      </c>
      <c r="K48" s="43" t="s">
        <v>8</v>
      </c>
      <c r="L48" s="46">
        <f>IF(J48&lt;0,0,J48)</f>
        <v>8.1538461538461533</v>
      </c>
      <c r="M48" s="237" t="s">
        <v>10</v>
      </c>
      <c r="N48" s="270">
        <f>XM.HN!C29</f>
        <v>0</v>
      </c>
      <c r="O48" s="340">
        <f>(1*N48*6.301)/5/100</f>
        <v>0</v>
      </c>
      <c r="P48" s="35">
        <f>($G$48-O48)*530/65%</f>
        <v>8.1538461538461533</v>
      </c>
      <c r="Q48" s="43" t="s">
        <v>8</v>
      </c>
      <c r="R48" s="46">
        <f>IF(P48&lt;0,0,P48)</f>
        <v>8.1538461538461533</v>
      </c>
      <c r="S48" s="237" t="s">
        <v>10</v>
      </c>
      <c r="T48" s="103">
        <f>XM.HN!D29</f>
        <v>0</v>
      </c>
      <c r="U48" s="340">
        <f>(1*T48*6.301)/5/100</f>
        <v>0</v>
      </c>
      <c r="V48" s="35">
        <f>($G$48-U48)*530/65%</f>
        <v>8.1538461538461533</v>
      </c>
      <c r="W48" s="43" t="s">
        <v>8</v>
      </c>
      <c r="X48" s="46">
        <f>IF(V48&lt;0,0,V48)</f>
        <v>8.1538461538461533</v>
      </c>
      <c r="Y48" s="237" t="s">
        <v>10</v>
      </c>
      <c r="Z48" s="103">
        <f>XM.HN!E29</f>
        <v>0</v>
      </c>
      <c r="AA48" s="340">
        <f>(1*Z48*6.301)/5/100</f>
        <v>0</v>
      </c>
      <c r="AB48" s="35">
        <f>($G$48-AA48)*530/65%</f>
        <v>8.1538461538461533</v>
      </c>
      <c r="AC48" s="43" t="s">
        <v>8</v>
      </c>
      <c r="AD48" s="46">
        <f>IF(AB48&lt;0,0,AB48)</f>
        <v>8.1538461538461533</v>
      </c>
      <c r="AE48" s="237" t="s">
        <v>10</v>
      </c>
      <c r="AF48" s="102">
        <f>XM.HN!F29</f>
        <v>0</v>
      </c>
      <c r="AG48" s="340">
        <f>(1*AF48*6.301)/5/100</f>
        <v>0</v>
      </c>
      <c r="AH48" s="35">
        <f>($G$48-AG48)*530/65%</f>
        <v>8.1538461538461533</v>
      </c>
      <c r="AI48" s="43" t="s">
        <v>8</v>
      </c>
      <c r="AJ48" s="46">
        <f>IF(AH48&lt;0,0,AH48)</f>
        <v>8.1538461538461533</v>
      </c>
      <c r="AK48" s="237" t="s">
        <v>10</v>
      </c>
      <c r="AL48" s="102">
        <f>XM.HN!G29</f>
        <v>0</v>
      </c>
      <c r="AM48" s="340">
        <f>(1*AL48*6.301)/5/100</f>
        <v>0</v>
      </c>
      <c r="AN48" s="488">
        <f>($G$48-AM48)*530/65%</f>
        <v>8.1538461538461533</v>
      </c>
      <c r="AO48" s="43" t="s">
        <v>8</v>
      </c>
      <c r="AP48" s="46">
        <f>IF(AN48&lt;0,0,AN48)</f>
        <v>8.1538461538461533</v>
      </c>
      <c r="AQ48" s="45" t="s">
        <v>10</v>
      </c>
      <c r="AS48" s="340"/>
    </row>
    <row r="49" spans="1:47" ht="48" customHeight="1">
      <c r="A49" s="308" t="s">
        <v>303</v>
      </c>
      <c r="B49" s="1115" t="s">
        <v>233</v>
      </c>
      <c r="C49" s="328" t="s">
        <v>1229</v>
      </c>
      <c r="D49" s="52" t="s">
        <v>3</v>
      </c>
      <c r="E49" s="13" t="str">
        <f>'XM.GUI MAIL'!E49</f>
        <v>5~8</v>
      </c>
      <c r="F49" s="13" t="str">
        <f>'XM.GUI MAIL'!F49</f>
        <v>(6%±0.5)</v>
      </c>
      <c r="G49" s="1555">
        <f>'XM.GUI MAIL'!G49</f>
        <v>6</v>
      </c>
      <c r="H49" s="102">
        <f>XM.HN!B30</f>
        <v>0</v>
      </c>
      <c r="I49" s="35">
        <f>H49*0.8+1.1</f>
        <v>1.1000000000000001</v>
      </c>
      <c r="J49" s="36">
        <f>($G$49-I49)*575/95</f>
        <v>29.657894736842106</v>
      </c>
      <c r="K49" s="37" t="s">
        <v>8</v>
      </c>
      <c r="L49" s="38">
        <f>IF(J49&lt;0,0,J49)</f>
        <v>29.657894736842106</v>
      </c>
      <c r="M49" s="43" t="s">
        <v>10</v>
      </c>
      <c r="N49" s="116">
        <f>XM.HN!C30</f>
        <v>0</v>
      </c>
      <c r="O49" s="35">
        <f>N49*0.8+1.1</f>
        <v>1.1000000000000001</v>
      </c>
      <c r="P49" s="36">
        <f>($G$49-O49)*575/95</f>
        <v>29.657894736842106</v>
      </c>
      <c r="Q49" s="37" t="s">
        <v>8</v>
      </c>
      <c r="R49" s="38">
        <f>IF(P49&lt;0,0,P49)</f>
        <v>29.657894736842106</v>
      </c>
      <c r="S49" s="43" t="s">
        <v>10</v>
      </c>
      <c r="T49" s="102">
        <f>XM.HN!D30</f>
        <v>0</v>
      </c>
      <c r="U49" s="35">
        <f>T49*0.8+1.1</f>
        <v>1.1000000000000001</v>
      </c>
      <c r="V49" s="36">
        <f>($G$49-U49)*575/95</f>
        <v>29.657894736842106</v>
      </c>
      <c r="W49" s="37" t="s">
        <v>8</v>
      </c>
      <c r="X49" s="38">
        <f>IF(V49&lt;0,0,V49)</f>
        <v>29.657894736842106</v>
      </c>
      <c r="Y49" s="43" t="s">
        <v>10</v>
      </c>
      <c r="Z49" s="102">
        <f>XM.HN!E30</f>
        <v>0</v>
      </c>
      <c r="AA49" s="35">
        <f>Z49*0.8+1.1</f>
        <v>1.1000000000000001</v>
      </c>
      <c r="AB49" s="36">
        <f>($G$49-AA49)*575/95</f>
        <v>29.657894736842106</v>
      </c>
      <c r="AC49" s="37" t="s">
        <v>8</v>
      </c>
      <c r="AD49" s="38">
        <f>IF(AB49&lt;0,0,AB49)</f>
        <v>29.657894736842106</v>
      </c>
      <c r="AE49" s="43" t="s">
        <v>10</v>
      </c>
      <c r="AF49" s="102">
        <f>XM.HN!F30</f>
        <v>0</v>
      </c>
      <c r="AG49" s="35">
        <f>AF49*0.8+1.1</f>
        <v>1.1000000000000001</v>
      </c>
      <c r="AH49" s="36">
        <f>($G$49-AG49)*575/95</f>
        <v>29.657894736842106</v>
      </c>
      <c r="AI49" s="37" t="s">
        <v>8</v>
      </c>
      <c r="AJ49" s="38">
        <f>IF(AH49&lt;0,0,AH49)</f>
        <v>29.657894736842106</v>
      </c>
      <c r="AK49" s="43" t="s">
        <v>10</v>
      </c>
      <c r="AL49" s="102">
        <f>XM.HN!G30</f>
        <v>0</v>
      </c>
      <c r="AM49" s="35">
        <f>AL49*0.8+1.1</f>
        <v>1.1000000000000001</v>
      </c>
      <c r="AN49" s="36">
        <f>($G$49-AM49)*575/95</f>
        <v>29.657894736842106</v>
      </c>
      <c r="AO49" s="37" t="s">
        <v>8</v>
      </c>
      <c r="AP49" s="38">
        <f>IF(AN49&lt;0,0,AN49)</f>
        <v>29.657894736842106</v>
      </c>
      <c r="AQ49" s="39" t="s">
        <v>10</v>
      </c>
      <c r="AS49" s="35"/>
    </row>
    <row r="50" spans="1:47" ht="41.25" customHeight="1">
      <c r="A50" s="52" t="s">
        <v>304</v>
      </c>
      <c r="B50" s="1115" t="s">
        <v>233</v>
      </c>
      <c r="C50" s="329" t="s">
        <v>131</v>
      </c>
      <c r="D50" s="52" t="s">
        <v>5</v>
      </c>
      <c r="E50" s="13" t="str">
        <f>'XM.GUI MAIL'!E50</f>
        <v>1.8~2.4</v>
      </c>
      <c r="F50" s="13" t="str">
        <f>'XM.GUI MAIL'!F50</f>
        <v>(2.1±0.1 )</v>
      </c>
      <c r="G50" s="1552"/>
      <c r="H50" s="102"/>
      <c r="I50" s="1423">
        <f>XM.HN!B31</f>
        <v>0</v>
      </c>
      <c r="J50" s="1423"/>
      <c r="K50" s="37"/>
      <c r="L50" s="38"/>
      <c r="M50" s="1423"/>
      <c r="N50" s="1450"/>
      <c r="O50" s="1423">
        <f>XM.HN!C31</f>
        <v>0</v>
      </c>
      <c r="P50" s="1423"/>
      <c r="Q50" s="37"/>
      <c r="R50" s="38"/>
      <c r="S50" s="1423"/>
      <c r="T50" s="1423"/>
      <c r="U50" s="1423">
        <f>XM.HN!D31</f>
        <v>0</v>
      </c>
      <c r="V50" s="1423"/>
      <c r="W50" s="37"/>
      <c r="X50" s="38"/>
      <c r="Y50" s="1423"/>
      <c r="Z50" s="1423"/>
      <c r="AA50" s="1423">
        <f>XM.HN!E31</f>
        <v>0</v>
      </c>
      <c r="AB50" s="1423"/>
      <c r="AC50" s="47"/>
      <c r="AD50" s="1141"/>
      <c r="AE50" s="103"/>
      <c r="AF50" s="1423"/>
      <c r="AG50" s="1423">
        <f>XM.HN!F31</f>
        <v>0</v>
      </c>
      <c r="AH50" s="1423"/>
      <c r="AI50" s="47"/>
      <c r="AJ50" s="1141"/>
      <c r="AK50" s="103"/>
      <c r="AL50" s="1423"/>
      <c r="AM50" s="1423">
        <f>XM.HN!G31</f>
        <v>0</v>
      </c>
      <c r="AN50" s="1423"/>
      <c r="AO50" s="47"/>
      <c r="AP50" s="1141"/>
      <c r="AQ50" s="1124"/>
      <c r="AS50" s="103"/>
    </row>
    <row r="51" spans="1:47" s="224" customFormat="1" ht="54" customHeight="1">
      <c r="A51" s="319" t="s">
        <v>76</v>
      </c>
      <c r="B51" s="320"/>
      <c r="C51" s="320"/>
      <c r="D51" s="320"/>
      <c r="E51" s="332"/>
      <c r="F51" s="332"/>
      <c r="G51" s="332"/>
      <c r="H51" s="320"/>
      <c r="I51" s="320"/>
      <c r="J51" s="320"/>
      <c r="K51" s="320"/>
      <c r="L51" s="320"/>
      <c r="M51" s="320"/>
      <c r="N51" s="320"/>
      <c r="O51" s="321"/>
      <c r="P51" s="320"/>
      <c r="Q51" s="320"/>
      <c r="R51" s="320"/>
      <c r="S51" s="321"/>
      <c r="T51" s="320"/>
      <c r="U51" s="321"/>
      <c r="V51" s="320"/>
      <c r="W51" s="320"/>
      <c r="X51" s="320"/>
      <c r="Y51" s="320"/>
      <c r="Z51" s="320"/>
      <c r="AA51" s="320"/>
      <c r="AB51" s="320"/>
      <c r="AC51" s="320"/>
      <c r="AD51" s="320"/>
      <c r="AE51" s="320"/>
      <c r="AF51" s="321"/>
      <c r="AG51" s="321"/>
      <c r="AH51" s="321"/>
      <c r="AI51" s="321"/>
      <c r="AJ51" s="321"/>
      <c r="AK51" s="321"/>
      <c r="AL51" s="321"/>
      <c r="AM51" s="321"/>
      <c r="AN51" s="321"/>
      <c r="AO51" s="321"/>
      <c r="AP51" s="321"/>
      <c r="AQ51" s="1130"/>
      <c r="AR51" s="104"/>
      <c r="AS51" s="104"/>
      <c r="AT51" s="104"/>
      <c r="AU51" s="104"/>
    </row>
    <row r="52" spans="1:47" ht="44.25" customHeight="1">
      <c r="A52" s="1121" t="s">
        <v>267</v>
      </c>
      <c r="B52" s="1114" t="s">
        <v>350</v>
      </c>
      <c r="C52" s="1112" t="s">
        <v>64</v>
      </c>
      <c r="D52" s="1112" t="s">
        <v>66</v>
      </c>
      <c r="E52" s="1624" t="s">
        <v>1413</v>
      </c>
      <c r="F52" s="1624" t="s">
        <v>1412</v>
      </c>
      <c r="G52" s="1280"/>
      <c r="H52" s="105"/>
      <c r="I52" s="313" t="s">
        <v>48</v>
      </c>
      <c r="J52" s="314"/>
      <c r="K52" s="314"/>
      <c r="L52" s="313" t="s">
        <v>65</v>
      </c>
      <c r="M52" s="330"/>
      <c r="N52" s="311"/>
      <c r="O52" s="313" t="s">
        <v>48</v>
      </c>
      <c r="P52" s="314"/>
      <c r="Q52" s="314"/>
      <c r="R52" s="313" t="s">
        <v>65</v>
      </c>
      <c r="S52" s="330"/>
      <c r="T52" s="106"/>
      <c r="U52" s="313" t="s">
        <v>48</v>
      </c>
      <c r="V52" s="314"/>
      <c r="W52" s="314"/>
      <c r="X52" s="313" t="s">
        <v>65</v>
      </c>
      <c r="Y52" s="330"/>
      <c r="Z52" s="107"/>
      <c r="AA52" s="313" t="s">
        <v>48</v>
      </c>
      <c r="AB52" s="314"/>
      <c r="AC52" s="314"/>
      <c r="AD52" s="313" t="s">
        <v>65</v>
      </c>
      <c r="AE52" s="330"/>
      <c r="AF52" s="107"/>
      <c r="AG52" s="313" t="s">
        <v>48</v>
      </c>
      <c r="AH52" s="314"/>
      <c r="AI52" s="314"/>
      <c r="AJ52" s="313" t="s">
        <v>65</v>
      </c>
      <c r="AK52" s="330"/>
      <c r="AL52" s="107"/>
      <c r="AM52" s="313" t="s">
        <v>48</v>
      </c>
      <c r="AN52" s="314"/>
      <c r="AO52" s="314"/>
      <c r="AP52" s="313" t="s">
        <v>65</v>
      </c>
      <c r="AQ52" s="330"/>
    </row>
    <row r="53" spans="1:47" ht="38.25" customHeight="1">
      <c r="A53" s="1115" t="s">
        <v>305</v>
      </c>
      <c r="B53" s="1115" t="s">
        <v>233</v>
      </c>
      <c r="C53" s="1108" t="s">
        <v>68</v>
      </c>
      <c r="D53" s="110" t="s">
        <v>113</v>
      </c>
      <c r="E53" s="1546" t="str">
        <f>'XM.GUI MAIL'!E53</f>
        <v>50~70</v>
      </c>
      <c r="F53" s="1627" t="str">
        <f>'XM.GUI MAIL'!F53</f>
        <v>(60±3)</v>
      </c>
      <c r="G53" s="1549"/>
      <c r="H53" s="111"/>
      <c r="I53" s="2088"/>
      <c r="J53" s="2089"/>
      <c r="K53" s="2090"/>
      <c r="L53" s="2088"/>
      <c r="M53" s="2089"/>
      <c r="N53" s="2090"/>
      <c r="O53" s="2088"/>
      <c r="P53" s="2089"/>
      <c r="Q53" s="2090"/>
      <c r="R53" s="2088"/>
      <c r="S53" s="2089"/>
      <c r="T53" s="2090"/>
      <c r="U53" s="2088"/>
      <c r="V53" s="2089"/>
      <c r="W53" s="2090"/>
      <c r="X53" s="2088"/>
      <c r="Y53" s="2089"/>
      <c r="Z53" s="2090"/>
      <c r="AA53" s="2088"/>
      <c r="AB53" s="2089"/>
      <c r="AC53" s="2090"/>
      <c r="AD53" s="2088"/>
      <c r="AE53" s="2089"/>
      <c r="AF53" s="2090"/>
      <c r="AG53" s="2088"/>
      <c r="AH53" s="2089"/>
      <c r="AI53" s="2090"/>
      <c r="AJ53" s="2088"/>
      <c r="AK53" s="2089"/>
      <c r="AL53" s="2090"/>
      <c r="AM53" s="2088"/>
      <c r="AN53" s="2089"/>
      <c r="AO53" s="2090"/>
      <c r="AP53" s="2088"/>
      <c r="AQ53" s="2090"/>
    </row>
    <row r="54" spans="1:47" ht="38.25" customHeight="1">
      <c r="A54" s="1115" t="s">
        <v>306</v>
      </c>
      <c r="B54" s="1115" t="s">
        <v>233</v>
      </c>
      <c r="C54" s="1108" t="s">
        <v>69</v>
      </c>
      <c r="D54" s="110" t="s">
        <v>113</v>
      </c>
      <c r="E54" s="1546" t="str">
        <f>'XM.GUI MAIL'!E54</f>
        <v>50~70</v>
      </c>
      <c r="F54" s="1627" t="str">
        <f>'XM.GUI MAIL'!F54</f>
        <v>(60±3)</v>
      </c>
      <c r="G54" s="1549"/>
      <c r="H54" s="111"/>
      <c r="I54" s="2088"/>
      <c r="J54" s="2089"/>
      <c r="K54" s="2090"/>
      <c r="L54" s="2088"/>
      <c r="M54" s="2089"/>
      <c r="N54" s="2090"/>
      <c r="O54" s="2088"/>
      <c r="P54" s="2089"/>
      <c r="Q54" s="2090"/>
      <c r="R54" s="2088"/>
      <c r="S54" s="2089"/>
      <c r="T54" s="2090"/>
      <c r="U54" s="2088"/>
      <c r="V54" s="2089"/>
      <c r="W54" s="2090"/>
      <c r="X54" s="2088"/>
      <c r="Y54" s="2089"/>
      <c r="Z54" s="2090"/>
      <c r="AA54" s="2088"/>
      <c r="AB54" s="2089"/>
      <c r="AC54" s="2090"/>
      <c r="AD54" s="2088"/>
      <c r="AE54" s="2089"/>
      <c r="AF54" s="2090"/>
      <c r="AG54" s="2088"/>
      <c r="AH54" s="2089"/>
      <c r="AI54" s="2090"/>
      <c r="AJ54" s="2088"/>
      <c r="AK54" s="2089"/>
      <c r="AL54" s="2090"/>
      <c r="AM54" s="2088"/>
      <c r="AN54" s="2089"/>
      <c r="AO54" s="2090"/>
      <c r="AP54" s="2088"/>
      <c r="AQ54" s="2090"/>
    </row>
    <row r="55" spans="1:47" ht="38.25" customHeight="1">
      <c r="A55" s="1115" t="s">
        <v>307</v>
      </c>
      <c r="B55" s="1115" t="s">
        <v>233</v>
      </c>
      <c r="C55" s="1108" t="s">
        <v>71</v>
      </c>
      <c r="D55" s="110" t="s">
        <v>113</v>
      </c>
      <c r="E55" s="1546" t="str">
        <f>'XM.GUI MAIL'!E55</f>
        <v>50~70</v>
      </c>
      <c r="F55" s="1627" t="str">
        <f>'XM.GUI MAIL'!F55</f>
        <v>(60±3)</v>
      </c>
      <c r="G55" s="1549"/>
      <c r="H55" s="111"/>
      <c r="I55" s="2088"/>
      <c r="J55" s="2089"/>
      <c r="K55" s="2090"/>
      <c r="L55" s="2088"/>
      <c r="M55" s="2089"/>
      <c r="N55" s="2090"/>
      <c r="O55" s="2088"/>
      <c r="P55" s="2089"/>
      <c r="Q55" s="2090"/>
      <c r="R55" s="2088"/>
      <c r="S55" s="2089"/>
      <c r="T55" s="2090"/>
      <c r="U55" s="2088"/>
      <c r="V55" s="2089"/>
      <c r="W55" s="2090"/>
      <c r="X55" s="2088"/>
      <c r="Y55" s="2089"/>
      <c r="Z55" s="2090"/>
      <c r="AA55" s="2088"/>
      <c r="AB55" s="2089"/>
      <c r="AC55" s="2090"/>
      <c r="AD55" s="2088"/>
      <c r="AE55" s="2089"/>
      <c r="AF55" s="2090"/>
      <c r="AG55" s="2088"/>
      <c r="AH55" s="2089"/>
      <c r="AI55" s="2090"/>
      <c r="AJ55" s="2088"/>
      <c r="AK55" s="2089"/>
      <c r="AL55" s="2090"/>
      <c r="AM55" s="2088"/>
      <c r="AN55" s="2089"/>
      <c r="AO55" s="2090"/>
      <c r="AP55" s="2088"/>
      <c r="AQ55" s="2090"/>
    </row>
    <row r="56" spans="1:47" ht="38.25" customHeight="1">
      <c r="A56" s="1115" t="s">
        <v>308</v>
      </c>
      <c r="B56" s="1115" t="s">
        <v>233</v>
      </c>
      <c r="C56" s="1108" t="s">
        <v>70</v>
      </c>
      <c r="D56" s="110" t="s">
        <v>113</v>
      </c>
      <c r="E56" s="1546" t="str">
        <f>'XM.GUI MAIL'!E56</f>
        <v>50~70</v>
      </c>
      <c r="F56" s="1627" t="str">
        <f>'XM.GUI MAIL'!F56</f>
        <v>(60±3)</v>
      </c>
      <c r="G56" s="1549"/>
      <c r="H56" s="111"/>
      <c r="I56" s="2088"/>
      <c r="J56" s="2089"/>
      <c r="K56" s="2090"/>
      <c r="L56" s="2088"/>
      <c r="M56" s="2089"/>
      <c r="N56" s="2090"/>
      <c r="O56" s="2088"/>
      <c r="P56" s="2089"/>
      <c r="Q56" s="2090"/>
      <c r="R56" s="2088"/>
      <c r="S56" s="2089"/>
      <c r="T56" s="2090"/>
      <c r="U56" s="2088"/>
      <c r="V56" s="2089"/>
      <c r="W56" s="2090"/>
      <c r="X56" s="2088"/>
      <c r="Y56" s="2089"/>
      <c r="Z56" s="2090"/>
      <c r="AA56" s="2088"/>
      <c r="AB56" s="2089"/>
      <c r="AC56" s="2090"/>
      <c r="AD56" s="2088"/>
      <c r="AE56" s="2089"/>
      <c r="AF56" s="2090"/>
      <c r="AG56" s="2088"/>
      <c r="AH56" s="2089"/>
      <c r="AI56" s="2090"/>
      <c r="AJ56" s="2088"/>
      <c r="AK56" s="2089"/>
      <c r="AL56" s="2090"/>
      <c r="AM56" s="2088"/>
      <c r="AN56" s="2089"/>
      <c r="AO56" s="2090"/>
      <c r="AP56" s="2088"/>
      <c r="AQ56" s="2090"/>
    </row>
    <row r="57" spans="1:47" ht="38.25" customHeight="1">
      <c r="A57" s="1115" t="s">
        <v>347</v>
      </c>
      <c r="B57" s="1115" t="s">
        <v>233</v>
      </c>
      <c r="C57" s="1108" t="s">
        <v>72</v>
      </c>
      <c r="D57" s="110" t="s">
        <v>113</v>
      </c>
      <c r="E57" s="1546" t="str">
        <f>'XM.GUI MAIL'!E57</f>
        <v>22~30</v>
      </c>
      <c r="F57" s="1627" t="str">
        <f>'XM.GUI MAIL'!F57</f>
        <v>(24±1)</v>
      </c>
      <c r="G57" s="1549"/>
      <c r="H57" s="111"/>
      <c r="I57" s="2088"/>
      <c r="J57" s="2089"/>
      <c r="K57" s="2090"/>
      <c r="L57" s="2088"/>
      <c r="M57" s="2089"/>
      <c r="N57" s="2090"/>
      <c r="O57" s="2088"/>
      <c r="P57" s="2089"/>
      <c r="Q57" s="2090"/>
      <c r="R57" s="2088"/>
      <c r="S57" s="2089"/>
      <c r="T57" s="2090"/>
      <c r="U57" s="2088"/>
      <c r="V57" s="2089"/>
      <c r="W57" s="2090"/>
      <c r="X57" s="2088"/>
      <c r="Y57" s="2089"/>
      <c r="Z57" s="2090"/>
      <c r="AA57" s="2088"/>
      <c r="AB57" s="2089"/>
      <c r="AC57" s="2090"/>
      <c r="AD57" s="2088"/>
      <c r="AE57" s="2089"/>
      <c r="AF57" s="2090"/>
      <c r="AG57" s="2088"/>
      <c r="AH57" s="2089"/>
      <c r="AI57" s="2090"/>
      <c r="AJ57" s="2088"/>
      <c r="AK57" s="2089"/>
      <c r="AL57" s="2090"/>
      <c r="AM57" s="2088"/>
      <c r="AN57" s="2089"/>
      <c r="AO57" s="2090"/>
      <c r="AP57" s="2088"/>
      <c r="AQ57" s="2090"/>
    </row>
    <row r="58" spans="1:47" ht="38.25" customHeight="1">
      <c r="A58" s="308" t="s">
        <v>309</v>
      </c>
      <c r="B58" s="1115" t="s">
        <v>233</v>
      </c>
      <c r="C58" s="1108" t="s">
        <v>163</v>
      </c>
      <c r="D58" s="110" t="s">
        <v>113</v>
      </c>
      <c r="E58" s="1546" t="str">
        <f>'XM.GUI MAIL'!E58</f>
        <v>30-38</v>
      </c>
      <c r="F58" s="1627" t="str">
        <f>'XM.GUI MAIL'!F58</f>
        <v>(34±2)</v>
      </c>
      <c r="G58" s="1549"/>
      <c r="H58" s="111"/>
      <c r="I58" s="2088"/>
      <c r="J58" s="2089"/>
      <c r="K58" s="2090"/>
      <c r="L58" s="2088"/>
      <c r="M58" s="2089"/>
      <c r="N58" s="2090"/>
      <c r="O58" s="2088"/>
      <c r="P58" s="2089"/>
      <c r="Q58" s="2090"/>
      <c r="R58" s="2088"/>
      <c r="S58" s="2089"/>
      <c r="T58" s="2090"/>
      <c r="U58" s="2088"/>
      <c r="V58" s="2089"/>
      <c r="W58" s="2090"/>
      <c r="X58" s="2088"/>
      <c r="Y58" s="2089"/>
      <c r="Z58" s="2090"/>
      <c r="AA58" s="2088"/>
      <c r="AB58" s="2089"/>
      <c r="AC58" s="2090"/>
      <c r="AD58" s="2088"/>
      <c r="AE58" s="2089"/>
      <c r="AF58" s="2090"/>
      <c r="AG58" s="2088"/>
      <c r="AH58" s="2089"/>
      <c r="AI58" s="2090"/>
      <c r="AJ58" s="2088"/>
      <c r="AK58" s="2089"/>
      <c r="AL58" s="2090"/>
      <c r="AM58" s="2088"/>
      <c r="AN58" s="2089"/>
      <c r="AO58" s="2090"/>
      <c r="AP58" s="2088"/>
      <c r="AQ58" s="2090"/>
    </row>
    <row r="59" spans="1:47" ht="38.25" customHeight="1">
      <c r="A59" s="308" t="s">
        <v>310</v>
      </c>
      <c r="B59" s="1115" t="s">
        <v>233</v>
      </c>
      <c r="C59" s="1108" t="s">
        <v>73</v>
      </c>
      <c r="D59" s="110" t="s">
        <v>113</v>
      </c>
      <c r="E59" s="1546" t="str">
        <f>'XM.GUI MAIL'!E59</f>
        <v>55~65</v>
      </c>
      <c r="F59" s="1627" t="str">
        <f>'XM.GUI MAIL'!F59</f>
        <v>(60±3)</v>
      </c>
      <c r="G59" s="1549"/>
      <c r="H59" s="111"/>
      <c r="I59" s="2088"/>
      <c r="J59" s="2089"/>
      <c r="K59" s="2090"/>
      <c r="L59" s="2088"/>
      <c r="M59" s="2089"/>
      <c r="N59" s="2090"/>
      <c r="O59" s="2088"/>
      <c r="P59" s="2089"/>
      <c r="Q59" s="2090"/>
      <c r="R59" s="2088"/>
      <c r="S59" s="2089"/>
      <c r="T59" s="2090"/>
      <c r="U59" s="2088"/>
      <c r="V59" s="2089"/>
      <c r="W59" s="2090"/>
      <c r="X59" s="2088"/>
      <c r="Y59" s="2089"/>
      <c r="Z59" s="2090"/>
      <c r="AA59" s="2088"/>
      <c r="AB59" s="2089"/>
      <c r="AC59" s="2090"/>
      <c r="AD59" s="2088"/>
      <c r="AE59" s="2089"/>
      <c r="AF59" s="2090"/>
      <c r="AG59" s="2088"/>
      <c r="AH59" s="2089"/>
      <c r="AI59" s="2090"/>
      <c r="AJ59" s="2088"/>
      <c r="AK59" s="2089"/>
      <c r="AL59" s="2090"/>
      <c r="AM59" s="2088"/>
      <c r="AN59" s="2089"/>
      <c r="AO59" s="2090"/>
      <c r="AP59" s="2088"/>
      <c r="AQ59" s="2090"/>
    </row>
    <row r="60" spans="1:47" ht="38.25" customHeight="1">
      <c r="A60" s="52" t="s">
        <v>311</v>
      </c>
      <c r="B60" s="1115" t="s">
        <v>233</v>
      </c>
      <c r="C60" s="1108" t="s">
        <v>74</v>
      </c>
      <c r="D60" s="110" t="s">
        <v>113</v>
      </c>
      <c r="E60" s="1546" t="str">
        <f>'XM.GUI MAIL'!E60</f>
        <v>65~75</v>
      </c>
      <c r="F60" s="1627" t="str">
        <f>'XM.GUI MAIL'!F60</f>
        <v>(70±3)</v>
      </c>
      <c r="G60" s="1549"/>
      <c r="H60" s="111"/>
      <c r="I60" s="2108" t="s">
        <v>50</v>
      </c>
      <c r="J60" s="2109"/>
      <c r="K60" s="2110"/>
      <c r="L60" s="2088"/>
      <c r="M60" s="2089"/>
      <c r="N60" s="2090"/>
      <c r="O60" s="2108" t="s">
        <v>50</v>
      </c>
      <c r="P60" s="2109"/>
      <c r="Q60" s="2110"/>
      <c r="R60" s="2088"/>
      <c r="S60" s="2089"/>
      <c r="T60" s="2090"/>
      <c r="U60" s="2108" t="s">
        <v>50</v>
      </c>
      <c r="V60" s="2109"/>
      <c r="W60" s="2110"/>
      <c r="X60" s="2088"/>
      <c r="Y60" s="2089"/>
      <c r="Z60" s="2090"/>
      <c r="AA60" s="2108" t="s">
        <v>50</v>
      </c>
      <c r="AB60" s="2109"/>
      <c r="AC60" s="2110"/>
      <c r="AD60" s="2088"/>
      <c r="AE60" s="2089"/>
      <c r="AF60" s="2090"/>
      <c r="AG60" s="2108" t="s">
        <v>50</v>
      </c>
      <c r="AH60" s="2109"/>
      <c r="AI60" s="2110"/>
      <c r="AJ60" s="2088"/>
      <c r="AK60" s="2089"/>
      <c r="AL60" s="2090"/>
      <c r="AM60" s="2108" t="s">
        <v>50</v>
      </c>
      <c r="AN60" s="2109"/>
      <c r="AO60" s="2110"/>
      <c r="AP60" s="2088"/>
      <c r="AQ60" s="2090"/>
    </row>
    <row r="61" spans="1:47" s="224" customFormat="1" ht="54" customHeight="1">
      <c r="A61" s="319" t="s">
        <v>78</v>
      </c>
      <c r="B61" s="320"/>
      <c r="C61" s="320"/>
      <c r="D61" s="320"/>
      <c r="E61" s="332"/>
      <c r="F61" s="332"/>
      <c r="G61" s="332"/>
      <c r="H61" s="320"/>
      <c r="I61" s="320"/>
      <c r="J61" s="320"/>
      <c r="K61" s="320"/>
      <c r="L61" s="320"/>
      <c r="M61" s="320"/>
      <c r="N61" s="320"/>
      <c r="O61" s="321"/>
      <c r="P61" s="320"/>
      <c r="Q61" s="320"/>
      <c r="R61" s="320"/>
      <c r="S61" s="321"/>
      <c r="T61" s="320"/>
      <c r="U61" s="321"/>
      <c r="V61" s="320"/>
      <c r="W61" s="320"/>
      <c r="X61" s="320"/>
      <c r="Y61" s="320"/>
      <c r="Z61" s="320"/>
      <c r="AA61" s="320"/>
      <c r="AB61" s="320"/>
      <c r="AC61" s="320"/>
      <c r="AD61" s="320"/>
      <c r="AE61" s="320"/>
      <c r="AF61" s="321"/>
      <c r="AG61" s="321"/>
      <c r="AH61" s="321"/>
      <c r="AI61" s="321"/>
      <c r="AJ61" s="321"/>
      <c r="AK61" s="321"/>
      <c r="AL61" s="321"/>
      <c r="AM61" s="321"/>
      <c r="AN61" s="321"/>
      <c r="AO61" s="321"/>
      <c r="AP61" s="321"/>
      <c r="AQ61" s="1123"/>
      <c r="AR61" s="104"/>
      <c r="AS61" s="104"/>
      <c r="AT61" s="104"/>
      <c r="AU61" s="104"/>
    </row>
    <row r="62" spans="1:47" ht="39.75" customHeight="1">
      <c r="A62" s="308" t="s">
        <v>312</v>
      </c>
      <c r="B62" s="1115" t="s">
        <v>233</v>
      </c>
      <c r="C62" s="1117" t="s">
        <v>263</v>
      </c>
      <c r="D62" s="1126" t="s">
        <v>265</v>
      </c>
      <c r="E62" s="1081" t="str">
        <f>'XM.GUI MAIL'!E62</f>
        <v>100-200</v>
      </c>
      <c r="F62" s="1081" t="str">
        <f>'XM.GUI MAIL'!F62</f>
        <v>100-200</v>
      </c>
      <c r="G62" s="14"/>
      <c r="H62" s="49"/>
      <c r="I62" s="2091"/>
      <c r="J62" s="2092"/>
      <c r="K62" s="2092"/>
      <c r="L62" s="2092"/>
      <c r="M62" s="2093"/>
      <c r="N62" s="311"/>
      <c r="O62" s="2091"/>
      <c r="P62" s="2092"/>
      <c r="Q62" s="2092"/>
      <c r="R62" s="2092"/>
      <c r="S62" s="2093"/>
      <c r="T62" s="679"/>
      <c r="U62" s="2091"/>
      <c r="V62" s="2092"/>
      <c r="W62" s="2092"/>
      <c r="X62" s="2092"/>
      <c r="Y62" s="2093"/>
      <c r="Z62" s="1120"/>
      <c r="AA62" s="2091"/>
      <c r="AB62" s="2092"/>
      <c r="AC62" s="2092"/>
      <c r="AD62" s="2092"/>
      <c r="AE62" s="2093"/>
      <c r="AF62" s="294"/>
      <c r="AG62" s="2091"/>
      <c r="AH62" s="2092"/>
      <c r="AI62" s="2092"/>
      <c r="AJ62" s="2092"/>
      <c r="AK62" s="2093"/>
      <c r="AL62" s="294"/>
      <c r="AM62" s="2091"/>
      <c r="AN62" s="2092"/>
      <c r="AO62" s="2092"/>
      <c r="AP62" s="2092"/>
      <c r="AQ62" s="2092"/>
    </row>
    <row r="63" spans="1:47" ht="41.25" customHeight="1">
      <c r="A63" s="52" t="s">
        <v>313</v>
      </c>
      <c r="B63" s="1115" t="s">
        <v>233</v>
      </c>
      <c r="C63" s="119" t="s">
        <v>264</v>
      </c>
      <c r="D63" s="1126" t="s">
        <v>265</v>
      </c>
      <c r="E63" s="1081" t="str">
        <f>'XM.GUI MAIL'!E63</f>
        <v>20-50</v>
      </c>
      <c r="F63" s="1081" t="str">
        <f>'XM.GUI MAIL'!F63</f>
        <v>20-50</v>
      </c>
      <c r="G63" s="14"/>
      <c r="H63" s="49"/>
      <c r="I63" s="2091"/>
      <c r="J63" s="2092"/>
      <c r="K63" s="2092"/>
      <c r="L63" s="2092"/>
      <c r="M63" s="2093"/>
      <c r="N63" s="1112"/>
      <c r="O63" s="2091"/>
      <c r="P63" s="2092"/>
      <c r="Q63" s="2092"/>
      <c r="R63" s="2092"/>
      <c r="S63" s="2093"/>
      <c r="T63" s="679"/>
      <c r="U63" s="2091"/>
      <c r="V63" s="2092"/>
      <c r="W63" s="2092"/>
      <c r="X63" s="2092"/>
      <c r="Y63" s="2092"/>
      <c r="Z63" s="1112"/>
      <c r="AA63" s="2091"/>
      <c r="AB63" s="2092"/>
      <c r="AC63" s="2092"/>
      <c r="AD63" s="2092"/>
      <c r="AE63" s="2092"/>
      <c r="AF63" s="1107"/>
      <c r="AG63" s="2091"/>
      <c r="AH63" s="2092"/>
      <c r="AI63" s="2092"/>
      <c r="AJ63" s="2092"/>
      <c r="AK63" s="2092"/>
      <c r="AL63" s="1107"/>
      <c r="AM63" s="2091"/>
      <c r="AN63" s="2092"/>
      <c r="AO63" s="2092"/>
      <c r="AP63" s="2092"/>
      <c r="AQ63" s="2092"/>
    </row>
    <row r="64" spans="1:47" ht="26.25" customHeight="1">
      <c r="A64" s="293"/>
      <c r="B64" s="293"/>
      <c r="C64" s="293"/>
      <c r="D64" s="293"/>
      <c r="E64" s="1548"/>
      <c r="F64" s="1630"/>
      <c r="G64" s="1548"/>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row>
    <row r="65" spans="1:45" ht="41.25" customHeight="1">
      <c r="A65" s="1182" t="s">
        <v>56</v>
      </c>
      <c r="B65" s="1183"/>
      <c r="C65" s="1184"/>
      <c r="D65" s="1184"/>
      <c r="E65" s="1545"/>
      <c r="F65" s="1626"/>
      <c r="G65" s="1550" t="s">
        <v>75</v>
      </c>
      <c r="H65" s="1185"/>
      <c r="I65" s="1186"/>
      <c r="J65" s="1185"/>
      <c r="K65" s="1185"/>
      <c r="L65" s="1187"/>
      <c r="M65" s="1187"/>
      <c r="N65" s="1187"/>
      <c r="O65" s="1187"/>
      <c r="P65" s="1187"/>
      <c r="Q65" s="1187"/>
      <c r="R65" s="1187"/>
      <c r="S65" s="1185"/>
      <c r="T65" s="1185"/>
      <c r="U65" s="1185"/>
      <c r="V65" s="1185"/>
      <c r="W65" s="1185"/>
      <c r="X65" s="1185"/>
      <c r="Y65" s="1185"/>
      <c r="Z65" s="1185"/>
      <c r="AA65" s="1185"/>
      <c r="AB65" s="1185"/>
      <c r="AC65" s="1185"/>
      <c r="AD65" s="1185"/>
      <c r="AE65" s="1185"/>
      <c r="AF65" s="1180"/>
      <c r="AG65" s="1183" t="s">
        <v>56</v>
      </c>
      <c r="AH65" s="1188"/>
      <c r="AI65" s="1188"/>
      <c r="AJ65" s="1188"/>
      <c r="AK65" s="1188"/>
      <c r="AL65" s="1188"/>
      <c r="AM65" s="1188"/>
      <c r="AN65" s="1188"/>
      <c r="AO65" s="1188"/>
      <c r="AP65" s="1188"/>
      <c r="AQ65" s="1189"/>
    </row>
    <row r="66" spans="1:45" ht="36.75" customHeight="1">
      <c r="A66" s="1113"/>
      <c r="B66" s="1113"/>
      <c r="C66" s="1113"/>
      <c r="D66" s="1113"/>
      <c r="E66" s="1614"/>
      <c r="F66" s="1617"/>
      <c r="G66" s="2114" t="s">
        <v>140</v>
      </c>
      <c r="H66" s="98"/>
      <c r="I66" s="298" t="s">
        <v>239</v>
      </c>
      <c r="J66" s="298"/>
      <c r="K66" s="298"/>
      <c r="L66" s="298"/>
      <c r="M66" s="298"/>
      <c r="N66" s="99"/>
      <c r="O66" s="315" t="s">
        <v>240</v>
      </c>
      <c r="P66" s="298"/>
      <c r="Q66" s="298"/>
      <c r="R66" s="298"/>
      <c r="S66" s="299"/>
      <c r="T66" s="298"/>
      <c r="U66" s="298" t="s">
        <v>241</v>
      </c>
      <c r="V66" s="298"/>
      <c r="W66" s="298"/>
      <c r="X66" s="298"/>
      <c r="Y66" s="298"/>
      <c r="Z66" s="99"/>
      <c r="AA66" s="315" t="s">
        <v>242</v>
      </c>
      <c r="AB66" s="298"/>
      <c r="AC66" s="298"/>
      <c r="AD66" s="298"/>
      <c r="AE66" s="299"/>
      <c r="AF66" s="298"/>
      <c r="AG66" s="298" t="s">
        <v>243</v>
      </c>
      <c r="AH66" s="298"/>
      <c r="AI66" s="298"/>
      <c r="AJ66" s="298"/>
      <c r="AK66" s="298"/>
      <c r="AL66" s="298"/>
      <c r="AM66" s="315" t="s">
        <v>244</v>
      </c>
      <c r="AN66" s="298"/>
      <c r="AO66" s="298"/>
      <c r="AP66" s="299"/>
      <c r="AQ66" s="1122"/>
    </row>
    <row r="67" spans="1:45" ht="63.75" customHeight="1">
      <c r="A67" s="1114" t="s">
        <v>267</v>
      </c>
      <c r="B67" s="1114" t="s">
        <v>350</v>
      </c>
      <c r="C67" s="1120" t="s">
        <v>348</v>
      </c>
      <c r="D67" s="1114" t="s">
        <v>136</v>
      </c>
      <c r="E67" s="1624" t="s">
        <v>1413</v>
      </c>
      <c r="F67" s="1624" t="s">
        <v>1412</v>
      </c>
      <c r="G67" s="2115"/>
      <c r="H67" s="20"/>
      <c r="I67" s="1194" t="s">
        <v>145</v>
      </c>
      <c r="J67" s="1195" t="s">
        <v>1</v>
      </c>
      <c r="K67" s="1196" t="s">
        <v>1</v>
      </c>
      <c r="L67" s="1196"/>
      <c r="M67" s="1197"/>
      <c r="N67" s="1198"/>
      <c r="O67" s="1194" t="s">
        <v>145</v>
      </c>
      <c r="P67" s="1195" t="s">
        <v>1</v>
      </c>
      <c r="Q67" s="1196" t="s">
        <v>1</v>
      </c>
      <c r="R67" s="1196"/>
      <c r="S67" s="1197"/>
      <c r="T67" s="1105"/>
      <c r="U67" s="1194" t="s">
        <v>145</v>
      </c>
      <c r="V67" s="1195" t="s">
        <v>1</v>
      </c>
      <c r="W67" s="1196" t="s">
        <v>1</v>
      </c>
      <c r="X67" s="1196"/>
      <c r="Y67" s="1197"/>
      <c r="Z67" s="1198"/>
      <c r="AA67" s="1194" t="s">
        <v>145</v>
      </c>
      <c r="AB67" s="1195" t="s">
        <v>1</v>
      </c>
      <c r="AC67" s="1196" t="s">
        <v>1</v>
      </c>
      <c r="AD67" s="1196"/>
      <c r="AE67" s="1197"/>
      <c r="AF67" s="1198"/>
      <c r="AG67" s="1194" t="s">
        <v>145</v>
      </c>
      <c r="AH67" s="1195" t="s">
        <v>1</v>
      </c>
      <c r="AI67" s="1196" t="s">
        <v>1</v>
      </c>
      <c r="AJ67" s="1196"/>
      <c r="AK67" s="1197"/>
      <c r="AL67" s="1198"/>
      <c r="AM67" s="1194" t="s">
        <v>145</v>
      </c>
      <c r="AN67" s="34" t="s">
        <v>1</v>
      </c>
      <c r="AO67" s="316" t="s">
        <v>1</v>
      </c>
      <c r="AP67" s="316"/>
      <c r="AQ67" s="317"/>
    </row>
    <row r="68" spans="1:45" ht="33.75" customHeight="1">
      <c r="A68" s="1115" t="s">
        <v>314</v>
      </c>
      <c r="B68" s="1115" t="s">
        <v>143</v>
      </c>
      <c r="C68" s="52" t="s">
        <v>83</v>
      </c>
      <c r="D68" s="52" t="s">
        <v>4</v>
      </c>
      <c r="E68" s="13" t="str">
        <f>'XM.GUI MAIL'!E68</f>
        <v>40~60</v>
      </c>
      <c r="F68" s="13" t="str">
        <f>'XM.GUI MAIL'!F68</f>
        <v>(50±5)</v>
      </c>
      <c r="G68" s="1209">
        <f>'XM.GUI MAIL'!G68</f>
        <v>50</v>
      </c>
      <c r="H68" s="103">
        <f>XM.HN!B35</f>
        <v>13.45</v>
      </c>
      <c r="I68" s="1657">
        <f>H68*6.49</f>
        <v>87.290499999999994</v>
      </c>
      <c r="J68" s="1759">
        <f>($G$68-I68)*15517/1000</f>
        <v>-578.63668849999988</v>
      </c>
      <c r="K68" s="1752" t="s">
        <v>8</v>
      </c>
      <c r="L68" s="44">
        <f t="shared" ref="L68:L74" si="17">IF(J68&lt;0,0,J68)</f>
        <v>0</v>
      </c>
      <c r="M68" s="237" t="s">
        <v>9</v>
      </c>
      <c r="N68" s="1198">
        <f>XM.HN!C35</f>
        <v>0</v>
      </c>
      <c r="O68" s="1657">
        <f>N68*6.49</f>
        <v>0</v>
      </c>
      <c r="P68" s="1759">
        <f>($G$68-O68)*15517/1000</f>
        <v>775.85</v>
      </c>
      <c r="Q68" s="1752" t="s">
        <v>8</v>
      </c>
      <c r="R68" s="44">
        <f t="shared" ref="R68:R71" si="18">IF(P68&lt;0,0,P68)</f>
        <v>775.85</v>
      </c>
      <c r="S68" s="237" t="s">
        <v>9</v>
      </c>
      <c r="T68" s="1105">
        <f>XM.HN!D35</f>
        <v>0</v>
      </c>
      <c r="U68" s="1657">
        <f>T68*6.49</f>
        <v>0</v>
      </c>
      <c r="V68" s="1759">
        <f>($G$68-U68)*15517/1000</f>
        <v>775.85</v>
      </c>
      <c r="W68" s="1752" t="s">
        <v>8</v>
      </c>
      <c r="X68" s="44">
        <f t="shared" ref="X68:X71" si="19">IF(V68&lt;0,0,V68)</f>
        <v>775.85</v>
      </c>
      <c r="Y68" s="237" t="s">
        <v>9</v>
      </c>
      <c r="Z68" s="1198">
        <f>XM.HN!E35</f>
        <v>0</v>
      </c>
      <c r="AA68" s="1657">
        <f>Z68*6.49</f>
        <v>0</v>
      </c>
      <c r="AB68" s="1759">
        <f>($G$68-AA68)*15517/1000</f>
        <v>775.85</v>
      </c>
      <c r="AC68" s="1752" t="s">
        <v>8</v>
      </c>
      <c r="AD68" s="44">
        <f t="shared" ref="AD68:AD71" si="20">IF(AB68&lt;0,0,AB68)</f>
        <v>775.85</v>
      </c>
      <c r="AE68" s="237" t="s">
        <v>9</v>
      </c>
      <c r="AF68" s="1198">
        <f>XM.HN!F35</f>
        <v>0</v>
      </c>
      <c r="AG68" s="1657">
        <f>AF68*6.49</f>
        <v>0</v>
      </c>
      <c r="AH68" s="1759">
        <f>($G$68-AG68)*15517/1000</f>
        <v>775.85</v>
      </c>
      <c r="AI68" s="1752" t="s">
        <v>8</v>
      </c>
      <c r="AJ68" s="44">
        <f t="shared" ref="AJ68:AJ71" si="21">IF(AH68&lt;0,0,AH68)</f>
        <v>775.85</v>
      </c>
      <c r="AK68" s="237" t="s">
        <v>9</v>
      </c>
      <c r="AL68" s="1198">
        <f>XM.HN!G35</f>
        <v>0</v>
      </c>
      <c r="AM68" s="1657">
        <f>AL68*6.49</f>
        <v>0</v>
      </c>
      <c r="AN68" s="35">
        <f>($G$68-AM68)*15517/1000</f>
        <v>775.85</v>
      </c>
      <c r="AO68" s="43" t="s">
        <v>8</v>
      </c>
      <c r="AP68" s="44">
        <f t="shared" ref="AP68:AP71" si="22">IF(AN68&lt;0,0,AN68)</f>
        <v>775.85</v>
      </c>
      <c r="AQ68" s="45" t="s">
        <v>9</v>
      </c>
      <c r="AS68" s="1657"/>
    </row>
    <row r="69" spans="1:45" ht="33.75" customHeight="1">
      <c r="A69" s="1115" t="s">
        <v>315</v>
      </c>
      <c r="B69" s="1115" t="s">
        <v>143</v>
      </c>
      <c r="C69" s="52" t="s">
        <v>142</v>
      </c>
      <c r="D69" s="52" t="s">
        <v>4</v>
      </c>
      <c r="E69" s="13" t="str">
        <f>'XM.GUI MAIL'!E69</f>
        <v>40~60</v>
      </c>
      <c r="F69" s="13" t="str">
        <f>'XM.GUI MAIL'!F69</f>
        <v>(50±5)</v>
      </c>
      <c r="G69" s="1209">
        <f>'XM.GUI MAIL'!G69</f>
        <v>50</v>
      </c>
      <c r="H69" s="103">
        <f>XM.HN!B36</f>
        <v>0</v>
      </c>
      <c r="I69" s="1657">
        <f>H69*6.49</f>
        <v>0</v>
      </c>
      <c r="J69" s="1759">
        <f>($G$69-I69)*11475/1000</f>
        <v>573.75</v>
      </c>
      <c r="K69" s="1752" t="s">
        <v>8</v>
      </c>
      <c r="L69" s="44">
        <f t="shared" si="17"/>
        <v>573.75</v>
      </c>
      <c r="M69" s="237" t="s">
        <v>9</v>
      </c>
      <c r="N69" s="1198">
        <f>XM.HN!C36</f>
        <v>0</v>
      </c>
      <c r="O69" s="1657">
        <f>N69*6.49</f>
        <v>0</v>
      </c>
      <c r="P69" s="1759">
        <f>($G$69-O69)*11475/1000</f>
        <v>573.75</v>
      </c>
      <c r="Q69" s="1752" t="s">
        <v>8</v>
      </c>
      <c r="R69" s="44">
        <f t="shared" si="18"/>
        <v>573.75</v>
      </c>
      <c r="S69" s="237" t="s">
        <v>9</v>
      </c>
      <c r="T69" s="1105">
        <f>XM.HN!D36</f>
        <v>0</v>
      </c>
      <c r="U69" s="1657">
        <f>T69*6.49</f>
        <v>0</v>
      </c>
      <c r="V69" s="1759">
        <f>($G$69-U69)*11475/1000</f>
        <v>573.75</v>
      </c>
      <c r="W69" s="1752" t="s">
        <v>8</v>
      </c>
      <c r="X69" s="44">
        <f t="shared" si="19"/>
        <v>573.75</v>
      </c>
      <c r="Y69" s="237" t="s">
        <v>9</v>
      </c>
      <c r="Z69" s="1198">
        <f>XM.HN!E36</f>
        <v>0</v>
      </c>
      <c r="AA69" s="1657">
        <f>Z69*6.49</f>
        <v>0</v>
      </c>
      <c r="AB69" s="1759">
        <f>($G$69-AA69)*11475/1000</f>
        <v>573.75</v>
      </c>
      <c r="AC69" s="1752" t="s">
        <v>8</v>
      </c>
      <c r="AD69" s="44">
        <f t="shared" si="20"/>
        <v>573.75</v>
      </c>
      <c r="AE69" s="237" t="s">
        <v>9</v>
      </c>
      <c r="AF69" s="1198">
        <f>XM.HN!F36</f>
        <v>0</v>
      </c>
      <c r="AG69" s="1657">
        <f>AF69*6.49</f>
        <v>0</v>
      </c>
      <c r="AH69" s="1759">
        <f>($G$69-AG69)*11475/1000</f>
        <v>573.75</v>
      </c>
      <c r="AI69" s="1752" t="s">
        <v>8</v>
      </c>
      <c r="AJ69" s="44">
        <f t="shared" si="21"/>
        <v>573.75</v>
      </c>
      <c r="AK69" s="237" t="s">
        <v>9</v>
      </c>
      <c r="AL69" s="1198">
        <f>XM.HN!G36</f>
        <v>0</v>
      </c>
      <c r="AM69" s="1657">
        <f>AL69*6.49</f>
        <v>0</v>
      </c>
      <c r="AN69" s="35">
        <f>($G$69-AM69)*11475/1000</f>
        <v>573.75</v>
      </c>
      <c r="AO69" s="43" t="s">
        <v>8</v>
      </c>
      <c r="AP69" s="44">
        <f t="shared" si="22"/>
        <v>573.75</v>
      </c>
      <c r="AQ69" s="45" t="s">
        <v>9</v>
      </c>
      <c r="AS69" s="1657"/>
    </row>
    <row r="70" spans="1:45" ht="33.75" customHeight="1">
      <c r="A70" s="1115" t="s">
        <v>316</v>
      </c>
      <c r="B70" s="1115" t="s">
        <v>143</v>
      </c>
      <c r="C70" s="52" t="s">
        <v>88</v>
      </c>
      <c r="D70" s="52" t="s">
        <v>4</v>
      </c>
      <c r="E70" s="13" t="str">
        <f>'XM.GUI MAIL'!E70</f>
        <v>50~70</v>
      </c>
      <c r="F70" s="13" t="str">
        <f>'XM.GUI MAIL'!F70</f>
        <v>(60±5)</v>
      </c>
      <c r="G70" s="1209">
        <f>'XM.GUI MAIL'!G70</f>
        <v>60</v>
      </c>
      <c r="H70" s="103">
        <f>XM.HN!B37</f>
        <v>12.5</v>
      </c>
      <c r="I70" s="1657">
        <f>H70*4.62</f>
        <v>57.75</v>
      </c>
      <c r="J70" s="35">
        <f>($G$70-I70)*8200/1000</f>
        <v>18.45</v>
      </c>
      <c r="K70" s="43" t="s">
        <v>8</v>
      </c>
      <c r="L70" s="44">
        <f t="shared" si="17"/>
        <v>18.45</v>
      </c>
      <c r="M70" s="45" t="s">
        <v>9</v>
      </c>
      <c r="N70" s="103">
        <f>XM.HN!C37</f>
        <v>0</v>
      </c>
      <c r="O70" s="1657">
        <f>N70*4.62</f>
        <v>0</v>
      </c>
      <c r="P70" s="35">
        <f>($G$70-O70)*8200/1000</f>
        <v>492</v>
      </c>
      <c r="Q70" s="43" t="s">
        <v>8</v>
      </c>
      <c r="R70" s="44">
        <f t="shared" si="18"/>
        <v>492</v>
      </c>
      <c r="S70" s="45" t="s">
        <v>9</v>
      </c>
      <c r="T70" s="103">
        <f>XM.HN!D37</f>
        <v>0</v>
      </c>
      <c r="U70" s="1657">
        <f>T70*4.62</f>
        <v>0</v>
      </c>
      <c r="V70" s="35">
        <f>($G$70-U70)*8200/1000</f>
        <v>492</v>
      </c>
      <c r="W70" s="43" t="s">
        <v>8</v>
      </c>
      <c r="X70" s="44">
        <f t="shared" si="19"/>
        <v>492</v>
      </c>
      <c r="Y70" s="45" t="s">
        <v>9</v>
      </c>
      <c r="Z70" s="103">
        <f>XM.HN!E37</f>
        <v>0</v>
      </c>
      <c r="AA70" s="1657">
        <f>Z70*4.62</f>
        <v>0</v>
      </c>
      <c r="AB70" s="35">
        <f>($G$70-AA70)*8200/1000</f>
        <v>492</v>
      </c>
      <c r="AC70" s="43" t="s">
        <v>8</v>
      </c>
      <c r="AD70" s="44">
        <f t="shared" si="20"/>
        <v>492</v>
      </c>
      <c r="AE70" s="45" t="s">
        <v>9</v>
      </c>
      <c r="AF70" s="103">
        <f>XM.HN!F37</f>
        <v>0</v>
      </c>
      <c r="AG70" s="1657">
        <f>AF70*4.62</f>
        <v>0</v>
      </c>
      <c r="AH70" s="35">
        <f>($G$70-AG70)*8200/1000</f>
        <v>492</v>
      </c>
      <c r="AI70" s="43" t="s">
        <v>8</v>
      </c>
      <c r="AJ70" s="44">
        <f t="shared" si="21"/>
        <v>492</v>
      </c>
      <c r="AK70" s="45" t="s">
        <v>9</v>
      </c>
      <c r="AL70" s="103">
        <f>XM.HN!G37</f>
        <v>0</v>
      </c>
      <c r="AM70" s="1657">
        <f>AL70*4.62</f>
        <v>0</v>
      </c>
      <c r="AN70" s="35">
        <f>($G$70-AM70)*8200/1000</f>
        <v>492</v>
      </c>
      <c r="AO70" s="43" t="s">
        <v>8</v>
      </c>
      <c r="AP70" s="44">
        <f t="shared" si="22"/>
        <v>492</v>
      </c>
      <c r="AQ70" s="45" t="s">
        <v>9</v>
      </c>
      <c r="AS70" s="1657"/>
    </row>
    <row r="71" spans="1:45" ht="33.75" customHeight="1">
      <c r="A71" s="1115" t="s">
        <v>317</v>
      </c>
      <c r="B71" s="1115" t="s">
        <v>143</v>
      </c>
      <c r="C71" s="52" t="s">
        <v>87</v>
      </c>
      <c r="D71" s="52" t="s">
        <v>4</v>
      </c>
      <c r="E71" s="13" t="str">
        <f>'XM.GUI MAIL'!E71</f>
        <v>50~70</v>
      </c>
      <c r="F71" s="13" t="str">
        <f>'XM.GUI MAIL'!F71</f>
        <v>(60±5)</v>
      </c>
      <c r="G71" s="1209">
        <f>'XM.GUI MAIL'!G71</f>
        <v>60</v>
      </c>
      <c r="H71" s="103">
        <f>XM.HN!B38</f>
        <v>0</v>
      </c>
      <c r="I71" s="1657">
        <f>H71*4.62</f>
        <v>0</v>
      </c>
      <c r="J71" s="35">
        <f>($G$71-I71)*8668/1000</f>
        <v>520.08000000000004</v>
      </c>
      <c r="K71" s="43" t="s">
        <v>8</v>
      </c>
      <c r="L71" s="44">
        <f t="shared" si="17"/>
        <v>520.08000000000004</v>
      </c>
      <c r="M71" s="237" t="s">
        <v>9</v>
      </c>
      <c r="N71" s="270">
        <f>XM.HN!C38</f>
        <v>0</v>
      </c>
      <c r="O71" s="1657">
        <f>N71*4.62</f>
        <v>0</v>
      </c>
      <c r="P71" s="35">
        <f>($G$71-O71)*8668/1000</f>
        <v>520.08000000000004</v>
      </c>
      <c r="Q71" s="43" t="s">
        <v>8</v>
      </c>
      <c r="R71" s="44">
        <f t="shared" si="18"/>
        <v>520.08000000000004</v>
      </c>
      <c r="S71" s="237" t="s">
        <v>9</v>
      </c>
      <c r="T71" s="103">
        <f>XM.HN!D38</f>
        <v>0</v>
      </c>
      <c r="U71" s="1657">
        <f>T71*4.62</f>
        <v>0</v>
      </c>
      <c r="V71" s="35">
        <f>($G$71-U71)*8668/1000</f>
        <v>520.08000000000004</v>
      </c>
      <c r="W71" s="43" t="s">
        <v>8</v>
      </c>
      <c r="X71" s="44">
        <f t="shared" si="19"/>
        <v>520.08000000000004</v>
      </c>
      <c r="Y71" s="237" t="s">
        <v>9</v>
      </c>
      <c r="Z71" s="103">
        <f>XM.HN!E38</f>
        <v>0</v>
      </c>
      <c r="AA71" s="1657">
        <f>Z71*4.62</f>
        <v>0</v>
      </c>
      <c r="AB71" s="35">
        <f>($G$71-AA71)*8668/1000</f>
        <v>520.08000000000004</v>
      </c>
      <c r="AC71" s="43" t="s">
        <v>8</v>
      </c>
      <c r="AD71" s="44">
        <f t="shared" si="20"/>
        <v>520.08000000000004</v>
      </c>
      <c r="AE71" s="237" t="s">
        <v>9</v>
      </c>
      <c r="AF71" s="103">
        <f>XM.HN!F38</f>
        <v>0</v>
      </c>
      <c r="AG71" s="1657">
        <f>AF71*4.62</f>
        <v>0</v>
      </c>
      <c r="AH71" s="35">
        <f>($G$71-AG71)*8668/1000</f>
        <v>520.08000000000004</v>
      </c>
      <c r="AI71" s="43" t="s">
        <v>8</v>
      </c>
      <c r="AJ71" s="44">
        <f t="shared" si="21"/>
        <v>520.08000000000004</v>
      </c>
      <c r="AK71" s="237" t="s">
        <v>9</v>
      </c>
      <c r="AL71" s="103">
        <f>XM.HN!G38</f>
        <v>0</v>
      </c>
      <c r="AM71" s="1657">
        <f>AL71*4.62</f>
        <v>0</v>
      </c>
      <c r="AN71" s="35">
        <f>($G$71-AM71)*8668/1000</f>
        <v>520.08000000000004</v>
      </c>
      <c r="AO71" s="43" t="s">
        <v>8</v>
      </c>
      <c r="AP71" s="44">
        <f t="shared" si="22"/>
        <v>520.08000000000004</v>
      </c>
      <c r="AQ71" s="45" t="s">
        <v>9</v>
      </c>
      <c r="AS71" s="1657"/>
    </row>
    <row r="72" spans="1:45" ht="33.75" customHeight="1">
      <c r="A72" s="1115" t="s">
        <v>318</v>
      </c>
      <c r="B72" s="1115" t="s">
        <v>143</v>
      </c>
      <c r="C72" s="119" t="s">
        <v>84</v>
      </c>
      <c r="D72" s="52" t="s">
        <v>4</v>
      </c>
      <c r="E72" s="13" t="str">
        <f>'XM.GUI MAIL'!E72</f>
        <v>135~ 145</v>
      </c>
      <c r="F72" s="13" t="str">
        <f>'XM.GUI MAIL'!F72</f>
        <v>(140±5)</v>
      </c>
      <c r="G72" s="1209">
        <f>'XM.GUI MAIL'!G72</f>
        <v>140</v>
      </c>
      <c r="H72" s="103">
        <f>XM.HN!B39</f>
        <v>17.3</v>
      </c>
      <c r="I72" s="88">
        <f>H72*8</f>
        <v>138.4</v>
      </c>
      <c r="J72" s="35">
        <f>($G$72-I72)*53066/1000</f>
        <v>84.905599999999694</v>
      </c>
      <c r="K72" s="43" t="s">
        <v>8</v>
      </c>
      <c r="L72" s="44">
        <f t="shared" si="17"/>
        <v>84.905599999999694</v>
      </c>
      <c r="M72" s="45" t="s">
        <v>9</v>
      </c>
      <c r="N72" s="103">
        <f>XM.HN!C39</f>
        <v>0</v>
      </c>
      <c r="O72" s="88">
        <f>N72*8</f>
        <v>0</v>
      </c>
      <c r="P72" s="35">
        <f>($G$72-O72)*53066/1000</f>
        <v>7429.24</v>
      </c>
      <c r="Q72" s="43" t="s">
        <v>8</v>
      </c>
      <c r="R72" s="44">
        <f t="shared" ref="R72:R74" si="23">IF(P72&lt;0,0,P72)</f>
        <v>7429.24</v>
      </c>
      <c r="S72" s="45" t="s">
        <v>9</v>
      </c>
      <c r="T72" s="20">
        <f>XM.HN!D39</f>
        <v>0</v>
      </c>
      <c r="U72" s="88">
        <f>T72*8</f>
        <v>0</v>
      </c>
      <c r="V72" s="35">
        <f>($G$72-U72)*53066/1000</f>
        <v>7429.24</v>
      </c>
      <c r="W72" s="43" t="s">
        <v>8</v>
      </c>
      <c r="X72" s="44">
        <f t="shared" ref="X72:X74" si="24">IF(V72&lt;0,0,V72)</f>
        <v>7429.24</v>
      </c>
      <c r="Y72" s="45" t="s">
        <v>9</v>
      </c>
      <c r="Z72" s="100">
        <f>XM.HN!E39</f>
        <v>0</v>
      </c>
      <c r="AA72" s="88">
        <f>Z72*8</f>
        <v>0</v>
      </c>
      <c r="AB72" s="35">
        <f>($G$72-AA72)*53066/1000</f>
        <v>7429.24</v>
      </c>
      <c r="AC72" s="43" t="s">
        <v>8</v>
      </c>
      <c r="AD72" s="44">
        <f t="shared" ref="AD72:AD74" si="25">IF(AB72&lt;0,0,AB72)</f>
        <v>7429.24</v>
      </c>
      <c r="AE72" s="45" t="s">
        <v>9</v>
      </c>
      <c r="AF72" s="100">
        <f>XM.HN!F39</f>
        <v>0</v>
      </c>
      <c r="AG72" s="88">
        <f>AF72*8</f>
        <v>0</v>
      </c>
      <c r="AH72" s="35">
        <f>($G$72-AG72)*53066/1000</f>
        <v>7429.24</v>
      </c>
      <c r="AI72" s="43" t="s">
        <v>8</v>
      </c>
      <c r="AJ72" s="44">
        <f t="shared" ref="AJ72:AJ74" si="26">IF(AH72&lt;0,0,AH72)</f>
        <v>7429.24</v>
      </c>
      <c r="AK72" s="45" t="s">
        <v>9</v>
      </c>
      <c r="AL72" s="100">
        <f>XM.HN!G39</f>
        <v>0</v>
      </c>
      <c r="AM72" s="88">
        <f>AL72*8</f>
        <v>0</v>
      </c>
      <c r="AN72" s="36">
        <f>($G$72-AM72)*53066/1000</f>
        <v>7429.24</v>
      </c>
      <c r="AO72" s="37" t="s">
        <v>8</v>
      </c>
      <c r="AP72" s="38">
        <f t="shared" ref="AP72:AP74" si="27">IF(AN72&lt;0,0,AN72)</f>
        <v>7429.24</v>
      </c>
      <c r="AQ72" s="39" t="s">
        <v>9</v>
      </c>
      <c r="AS72" s="88"/>
    </row>
    <row r="73" spans="1:45" ht="33.75" customHeight="1">
      <c r="A73" s="52" t="s">
        <v>319</v>
      </c>
      <c r="B73" s="1115" t="s">
        <v>143</v>
      </c>
      <c r="C73" s="1311" t="s">
        <v>85</v>
      </c>
      <c r="D73" s="52" t="s">
        <v>4</v>
      </c>
      <c r="E73" s="13" t="str">
        <f>'XM.GUI MAIL'!E73</f>
        <v>6~8</v>
      </c>
      <c r="F73" s="13" t="str">
        <f>'XM.GUI MAIL'!F73</f>
        <v>(7±0.5)</v>
      </c>
      <c r="G73" s="1209">
        <f>'XM.GUI MAIL'!G73</f>
        <v>7</v>
      </c>
      <c r="H73" s="103">
        <f>XM.HN!B40</f>
        <v>4.5</v>
      </c>
      <c r="I73" s="664">
        <f>H73*1.3</f>
        <v>5.8500000000000005</v>
      </c>
      <c r="J73" s="35">
        <f>($G$73-I73)*53066/1000</f>
        <v>61.025899999999972</v>
      </c>
      <c r="K73" s="43" t="s">
        <v>8</v>
      </c>
      <c r="L73" s="44">
        <f t="shared" si="17"/>
        <v>61.025899999999972</v>
      </c>
      <c r="M73" s="45" t="s">
        <v>1046</v>
      </c>
      <c r="N73" s="103">
        <f>XM.HN!C40</f>
        <v>0</v>
      </c>
      <c r="O73" s="664">
        <f>N73*1.3</f>
        <v>0</v>
      </c>
      <c r="P73" s="35">
        <f>($G$73-O73)*53066/1000</f>
        <v>371.46199999999999</v>
      </c>
      <c r="Q73" s="43" t="s">
        <v>8</v>
      </c>
      <c r="R73" s="44">
        <f t="shared" si="23"/>
        <v>371.46199999999999</v>
      </c>
      <c r="S73" s="45" t="s">
        <v>1046</v>
      </c>
      <c r="T73" s="20">
        <f>XM.HN!D40</f>
        <v>0</v>
      </c>
      <c r="U73" s="664">
        <f>T73*1.3</f>
        <v>0</v>
      </c>
      <c r="V73" s="35">
        <f>($G$73-U73)*53066/1000</f>
        <v>371.46199999999999</v>
      </c>
      <c r="W73" s="43" t="s">
        <v>8</v>
      </c>
      <c r="X73" s="44">
        <f t="shared" si="24"/>
        <v>371.46199999999999</v>
      </c>
      <c r="Y73" s="45" t="s">
        <v>1046</v>
      </c>
      <c r="Z73" s="100">
        <f>XM.HN!E40</f>
        <v>0</v>
      </c>
      <c r="AA73" s="664">
        <f>Z73*1.3</f>
        <v>0</v>
      </c>
      <c r="AB73" s="35">
        <f>($G$73-AA73)*53066/1000</f>
        <v>371.46199999999999</v>
      </c>
      <c r="AC73" s="43" t="s">
        <v>8</v>
      </c>
      <c r="AD73" s="44">
        <f t="shared" si="25"/>
        <v>371.46199999999999</v>
      </c>
      <c r="AE73" s="45" t="s">
        <v>1046</v>
      </c>
      <c r="AF73" s="100">
        <f>XM.HN!F40</f>
        <v>0</v>
      </c>
      <c r="AG73" s="664">
        <f>AF73*1.3</f>
        <v>0</v>
      </c>
      <c r="AH73" s="35">
        <f>($G$73-AG73)*53066/1000</f>
        <v>371.46199999999999</v>
      </c>
      <c r="AI73" s="43" t="s">
        <v>8</v>
      </c>
      <c r="AJ73" s="44">
        <f t="shared" si="26"/>
        <v>371.46199999999999</v>
      </c>
      <c r="AK73" s="45" t="s">
        <v>1046</v>
      </c>
      <c r="AL73" s="100">
        <f>XM.HN!G40</f>
        <v>0</v>
      </c>
      <c r="AM73" s="664">
        <f>AL73*1.3</f>
        <v>0</v>
      </c>
      <c r="AN73" s="488">
        <f>($G$73-AM73)*53066/1000</f>
        <v>371.46199999999999</v>
      </c>
      <c r="AO73" s="307" t="s">
        <v>8</v>
      </c>
      <c r="AP73" s="38">
        <f t="shared" si="27"/>
        <v>371.46199999999999</v>
      </c>
      <c r="AQ73" s="39" t="s">
        <v>1046</v>
      </c>
      <c r="AS73" s="664"/>
    </row>
    <row r="74" spans="1:45" ht="37.5" customHeight="1">
      <c r="A74" s="308" t="s">
        <v>320</v>
      </c>
      <c r="B74" s="1115" t="s">
        <v>143</v>
      </c>
      <c r="C74" s="1591" t="s">
        <v>1221</v>
      </c>
      <c r="D74" s="1589" t="s">
        <v>3</v>
      </c>
      <c r="E74" s="13" t="str">
        <f>'XM.GUI MAIL'!E74</f>
        <v>5~8</v>
      </c>
      <c r="F74" s="13" t="str">
        <f>'XM.GUI MAIL'!F74</f>
        <v>(6±0.5)</v>
      </c>
      <c r="G74" s="1209">
        <f>'XM.GUI MAIL'!G74</f>
        <v>6</v>
      </c>
      <c r="H74" s="103">
        <f>XM.HN!B41</f>
        <v>0</v>
      </c>
      <c r="I74" s="664">
        <f>(H74*0.4237)-1.0461</f>
        <v>-1.0461</v>
      </c>
      <c r="J74" s="35">
        <f>($G$74-I74)*3360/100</f>
        <v>236.74896000000001</v>
      </c>
      <c r="K74" s="43" t="s">
        <v>8</v>
      </c>
      <c r="L74" s="44">
        <f t="shared" si="17"/>
        <v>236.74896000000001</v>
      </c>
      <c r="M74" s="45" t="s">
        <v>10</v>
      </c>
      <c r="N74" s="100">
        <f>XM.HN!C41</f>
        <v>0</v>
      </c>
      <c r="O74" s="664">
        <f>(N74*0.4237)-1.0461</f>
        <v>-1.0461</v>
      </c>
      <c r="P74" s="35">
        <f>($G$74-O74)*3360/100</f>
        <v>236.74896000000001</v>
      </c>
      <c r="Q74" s="43" t="s">
        <v>8</v>
      </c>
      <c r="R74" s="44">
        <f t="shared" si="23"/>
        <v>236.74896000000001</v>
      </c>
      <c r="S74" s="45" t="s">
        <v>10</v>
      </c>
      <c r="T74" s="20">
        <f>XM.HN!D41</f>
        <v>0</v>
      </c>
      <c r="U74" s="664">
        <f>(T74*0.4237)-1.0461</f>
        <v>-1.0461</v>
      </c>
      <c r="V74" s="35">
        <f>($G$74-U74)*3360/100</f>
        <v>236.74896000000001</v>
      </c>
      <c r="W74" s="43" t="s">
        <v>8</v>
      </c>
      <c r="X74" s="44">
        <f t="shared" si="24"/>
        <v>236.74896000000001</v>
      </c>
      <c r="Y74" s="45" t="s">
        <v>10</v>
      </c>
      <c r="Z74" s="100">
        <f>XM.HN!E41</f>
        <v>0</v>
      </c>
      <c r="AA74" s="664">
        <f>(Z74*0.4237)-1.0461</f>
        <v>-1.0461</v>
      </c>
      <c r="AB74" s="35">
        <f>($G$74-AA74)*3360/100</f>
        <v>236.74896000000001</v>
      </c>
      <c r="AC74" s="43" t="s">
        <v>8</v>
      </c>
      <c r="AD74" s="44">
        <f t="shared" si="25"/>
        <v>236.74896000000001</v>
      </c>
      <c r="AE74" s="45" t="s">
        <v>10</v>
      </c>
      <c r="AF74" s="100">
        <f>XM.HN!F41</f>
        <v>0</v>
      </c>
      <c r="AG74" s="664">
        <f>(AF74*0.4237)-1.0461</f>
        <v>-1.0461</v>
      </c>
      <c r="AH74" s="35">
        <f>($G$74-AG74)*3360/100</f>
        <v>236.74896000000001</v>
      </c>
      <c r="AI74" s="43" t="s">
        <v>8</v>
      </c>
      <c r="AJ74" s="44">
        <f t="shared" si="26"/>
        <v>236.74896000000001</v>
      </c>
      <c r="AK74" s="45" t="s">
        <v>10</v>
      </c>
      <c r="AL74" s="100">
        <f>XM.HN!G41</f>
        <v>0</v>
      </c>
      <c r="AM74" s="664">
        <f>(AL74*0.4237)-1.0461</f>
        <v>-1.0461</v>
      </c>
      <c r="AN74" s="35">
        <f>($G$74-AM74)*3360/100</f>
        <v>236.74896000000001</v>
      </c>
      <c r="AO74" s="43" t="s">
        <v>8</v>
      </c>
      <c r="AP74" s="44">
        <f t="shared" si="27"/>
        <v>236.74896000000001</v>
      </c>
      <c r="AQ74" s="45" t="s">
        <v>10</v>
      </c>
      <c r="AS74" s="664"/>
    </row>
    <row r="75" spans="1:45" ht="33.75" customHeight="1">
      <c r="A75" s="52" t="s">
        <v>321</v>
      </c>
      <c r="B75" s="1115" t="s">
        <v>143</v>
      </c>
      <c r="C75" s="311" t="s">
        <v>131</v>
      </c>
      <c r="D75" s="1589" t="s">
        <v>5</v>
      </c>
      <c r="E75" s="13" t="str">
        <f>'XM.GUI MAIL'!E75</f>
        <v>2.0~2.4</v>
      </c>
      <c r="F75" s="13" t="str">
        <f>'XM.GUI MAIL'!F75</f>
        <v>(2.2±0.2 )</v>
      </c>
      <c r="G75" s="1209">
        <f>'XM.GUI MAIL'!G75</f>
        <v>0</v>
      </c>
      <c r="H75" s="103"/>
      <c r="I75" s="664">
        <f>XM.HN!B48</f>
        <v>0</v>
      </c>
      <c r="J75" s="1423"/>
      <c r="K75" s="41"/>
      <c r="L75" s="42"/>
      <c r="M75" s="1423"/>
      <c r="N75" s="103"/>
      <c r="O75" s="664">
        <f>XM.HN!C48</f>
        <v>0</v>
      </c>
      <c r="P75" s="488"/>
      <c r="Q75" s="307"/>
      <c r="R75" s="307"/>
      <c r="S75" s="100"/>
      <c r="T75" s="20"/>
      <c r="U75" s="664">
        <f>XM.HN!D48</f>
        <v>0</v>
      </c>
      <c r="V75" s="488"/>
      <c r="W75" s="307"/>
      <c r="X75" s="307"/>
      <c r="Y75" s="100"/>
      <c r="Z75" s="100"/>
      <c r="AA75" s="664">
        <f>XM.HN!E48</f>
        <v>0</v>
      </c>
      <c r="AB75" s="488"/>
      <c r="AC75" s="307"/>
      <c r="AD75" s="307"/>
      <c r="AE75" s="100"/>
      <c r="AF75" s="100"/>
      <c r="AG75" s="664">
        <f>XM.HN!F48</f>
        <v>0</v>
      </c>
      <c r="AH75" s="488"/>
      <c r="AI75" s="307"/>
      <c r="AJ75" s="307"/>
      <c r="AK75" s="100"/>
      <c r="AL75" s="100"/>
      <c r="AM75" s="664">
        <f>XM.HN!G48</f>
        <v>0</v>
      </c>
      <c r="AN75" s="1423"/>
      <c r="AO75" s="41"/>
      <c r="AP75" s="42"/>
      <c r="AQ75" s="1124"/>
      <c r="AS75" s="664"/>
    </row>
    <row r="76" spans="1:45" ht="33.75" customHeight="1">
      <c r="A76" s="309" t="s">
        <v>322</v>
      </c>
      <c r="B76" s="1115" t="s">
        <v>143</v>
      </c>
      <c r="C76" s="119" t="s">
        <v>89</v>
      </c>
      <c r="D76" s="52" t="s">
        <v>6</v>
      </c>
      <c r="E76" s="13" t="str">
        <f>'XM.GUI MAIL'!E76</f>
        <v>40~50</v>
      </c>
      <c r="F76" s="13" t="str">
        <f>'XM.GUI MAIL'!F76</f>
        <v>(45±5)</v>
      </c>
      <c r="G76" s="1556">
        <f>'XM.GUI MAIL'!G76</f>
        <v>0.45</v>
      </c>
      <c r="H76" s="103">
        <f>XM.HN!B42</f>
        <v>1.74</v>
      </c>
      <c r="I76" s="68">
        <f>(1*H76*36.5)/(0.5*10)/32%/100</f>
        <v>0.3969375</v>
      </c>
      <c r="J76" s="35">
        <f>($G$76-I76)*6723/2.6</f>
        <v>137.20737980769232</v>
      </c>
      <c r="K76" s="43" t="s">
        <v>8</v>
      </c>
      <c r="L76" s="44">
        <f>IF(J76&lt;0,0,J76)</f>
        <v>137.20737980769232</v>
      </c>
      <c r="M76" s="237" t="s">
        <v>10</v>
      </c>
      <c r="N76" s="270">
        <f>XM.HN!C42</f>
        <v>0</v>
      </c>
      <c r="O76" s="68">
        <f>(1*N76*36.5)/(0.5*10)/32%/100</f>
        <v>0</v>
      </c>
      <c r="P76" s="35">
        <f>($G$76-O76)*6723/2.6</f>
        <v>1163.5961538461538</v>
      </c>
      <c r="Q76" s="43" t="s">
        <v>8</v>
      </c>
      <c r="R76" s="44">
        <f>IF(P76&lt;0,0,P76)</f>
        <v>1163.5961538461538</v>
      </c>
      <c r="S76" s="237" t="s">
        <v>10</v>
      </c>
      <c r="T76" s="20">
        <f>XM.HN!D42</f>
        <v>0</v>
      </c>
      <c r="U76" s="68">
        <f>(1*T76*36.5)/(0.5*10)/32%/100</f>
        <v>0</v>
      </c>
      <c r="V76" s="35">
        <f>($G$76-U76)*6723/2.6</f>
        <v>1163.5961538461538</v>
      </c>
      <c r="W76" s="43" t="s">
        <v>8</v>
      </c>
      <c r="X76" s="44">
        <f>IF(V76&lt;0,0,V76)</f>
        <v>1163.5961538461538</v>
      </c>
      <c r="Y76" s="237" t="s">
        <v>10</v>
      </c>
      <c r="Z76" s="100">
        <f>XM.HN!E42</f>
        <v>0</v>
      </c>
      <c r="AA76" s="68">
        <f>(1*Z76*36.5)/(0.5*10)/32%/100</f>
        <v>0</v>
      </c>
      <c r="AB76" s="35">
        <f>($G$76-AA76)*6723/2.6</f>
        <v>1163.5961538461538</v>
      </c>
      <c r="AC76" s="43" t="s">
        <v>8</v>
      </c>
      <c r="AD76" s="44">
        <f>IF(AB76&lt;0,0,AB76)</f>
        <v>1163.5961538461538</v>
      </c>
      <c r="AE76" s="237" t="s">
        <v>10</v>
      </c>
      <c r="AF76" s="100">
        <f>XM.HN!F42</f>
        <v>0</v>
      </c>
      <c r="AG76" s="68">
        <f>(1*AF76*36.5)/(0.5*10)/32%/100</f>
        <v>0</v>
      </c>
      <c r="AH76" s="35">
        <f>($G$76-AG76)*6723/2.6</f>
        <v>1163.5961538461538</v>
      </c>
      <c r="AI76" s="43" t="s">
        <v>8</v>
      </c>
      <c r="AJ76" s="44">
        <f>IF(AH76&lt;0,0,AH76)</f>
        <v>1163.5961538461538</v>
      </c>
      <c r="AK76" s="237" t="s">
        <v>10</v>
      </c>
      <c r="AL76" s="100">
        <f>XM.HN!G42</f>
        <v>0</v>
      </c>
      <c r="AM76" s="68">
        <f>(1*AL76*36.5)/(0.5*10)/32%/100</f>
        <v>0</v>
      </c>
      <c r="AN76" s="35">
        <f>($G$76-AM76)*6723/2.6</f>
        <v>1163.5961538461538</v>
      </c>
      <c r="AO76" s="43" t="s">
        <v>8</v>
      </c>
      <c r="AP76" s="44">
        <f>IF(AN76&lt;0,0,AN76)</f>
        <v>1163.5961538461538</v>
      </c>
      <c r="AQ76" s="45" t="s">
        <v>10</v>
      </c>
      <c r="AS76" s="68"/>
    </row>
    <row r="77" spans="1:45" ht="33.75" customHeight="1">
      <c r="A77" s="309" t="s">
        <v>323</v>
      </c>
      <c r="B77" s="1115" t="s">
        <v>143</v>
      </c>
      <c r="C77" s="119" t="s">
        <v>90</v>
      </c>
      <c r="D77" s="52" t="s">
        <v>6</v>
      </c>
      <c r="E77" s="13" t="str">
        <f>'XM.GUI MAIL'!E77</f>
        <v>40~50</v>
      </c>
      <c r="F77" s="13" t="str">
        <f>'XM.GUI MAIL'!F77</f>
        <v>(45±5)</v>
      </c>
      <c r="G77" s="1556">
        <f>'XM.GUI MAIL'!G77</f>
        <v>0.45</v>
      </c>
      <c r="H77" s="103">
        <f>XM.HN!B43</f>
        <v>0</v>
      </c>
      <c r="I77" s="68">
        <f>(1*H77*36.5)/(0.5*10)/32%/100</f>
        <v>0</v>
      </c>
      <c r="J77" s="35">
        <f>($G$76-I77)*10509/2.6</f>
        <v>1818.8653846153845</v>
      </c>
      <c r="K77" s="43" t="s">
        <v>8</v>
      </c>
      <c r="L77" s="44">
        <f>IF(J77&lt;0,0,J77)</f>
        <v>1818.8653846153845</v>
      </c>
      <c r="M77" s="237" t="s">
        <v>10</v>
      </c>
      <c r="N77" s="270">
        <f>XM.HN!C43</f>
        <v>0</v>
      </c>
      <c r="O77" s="68">
        <f>(1*N77*36.5)/(0.5*10)/32%/100</f>
        <v>0</v>
      </c>
      <c r="P77" s="35">
        <f>($G$76-O77)*10509/2.6</f>
        <v>1818.8653846153845</v>
      </c>
      <c r="Q77" s="43" t="s">
        <v>8</v>
      </c>
      <c r="R77" s="44">
        <f>IF(P77&lt;0,0,P77)</f>
        <v>1818.8653846153845</v>
      </c>
      <c r="S77" s="237" t="s">
        <v>10</v>
      </c>
      <c r="T77" s="20">
        <f>XM.HN!D43</f>
        <v>0</v>
      </c>
      <c r="U77" s="68">
        <f>(1*T77*36.5)/(0.5*10)/32%/100</f>
        <v>0</v>
      </c>
      <c r="V77" s="35">
        <f>($G$76-U77)*10509/2.6</f>
        <v>1818.8653846153845</v>
      </c>
      <c r="W77" s="43" t="s">
        <v>8</v>
      </c>
      <c r="X77" s="44">
        <f>IF(V77&lt;0,0,V77)</f>
        <v>1818.8653846153845</v>
      </c>
      <c r="Y77" s="237" t="s">
        <v>10</v>
      </c>
      <c r="Z77" s="100">
        <f>XM.HN!E43</f>
        <v>0</v>
      </c>
      <c r="AA77" s="68">
        <f>(1*Z77*36.5)/(0.5*10)/32%/100</f>
        <v>0</v>
      </c>
      <c r="AB77" s="35">
        <f>($G$76-AA77)*10509/2.6</f>
        <v>1818.8653846153845</v>
      </c>
      <c r="AC77" s="43" t="s">
        <v>8</v>
      </c>
      <c r="AD77" s="44">
        <f>IF(AB77&lt;0,0,AB77)</f>
        <v>1818.8653846153845</v>
      </c>
      <c r="AE77" s="237" t="s">
        <v>10</v>
      </c>
      <c r="AF77" s="100">
        <f>XM.HN!F43</f>
        <v>0</v>
      </c>
      <c r="AG77" s="68">
        <f>(1*AF77*36.5)/(0.5*10)/32%/100</f>
        <v>0</v>
      </c>
      <c r="AH77" s="35">
        <f>($G$76-AG77)*10509/2.6</f>
        <v>1818.8653846153845</v>
      </c>
      <c r="AI77" s="43" t="s">
        <v>8</v>
      </c>
      <c r="AJ77" s="44">
        <f>IF(AH77&lt;0,0,AH77)</f>
        <v>1818.8653846153845</v>
      </c>
      <c r="AK77" s="237" t="s">
        <v>10</v>
      </c>
      <c r="AL77" s="100">
        <f>XM.HN!G43</f>
        <v>0</v>
      </c>
      <c r="AM77" s="68">
        <f>(1*AL77*36.5)/(0.5*10)/32%/100</f>
        <v>0</v>
      </c>
      <c r="AN77" s="35">
        <f>($G$76-AM77)*10509/2.6</f>
        <v>1818.8653846153845</v>
      </c>
      <c r="AO77" s="43" t="s">
        <v>8</v>
      </c>
      <c r="AP77" s="44">
        <f>IF(AN77&lt;0,0,AN77)</f>
        <v>1818.8653846153845</v>
      </c>
      <c r="AQ77" s="45" t="s">
        <v>10</v>
      </c>
      <c r="AS77" s="68"/>
    </row>
    <row r="78" spans="1:45" ht="33.75" customHeight="1">
      <c r="A78" s="309" t="s">
        <v>324</v>
      </c>
      <c r="B78" s="1115" t="s">
        <v>143</v>
      </c>
      <c r="C78" s="119" t="s">
        <v>86</v>
      </c>
      <c r="D78" s="52" t="s">
        <v>6</v>
      </c>
      <c r="E78" s="13" t="str">
        <f>'XM.GUI MAIL'!E78</f>
        <v>20~40</v>
      </c>
      <c r="F78" s="13" t="str">
        <f>'XM.GUI MAIL'!F78</f>
        <v>(30±5)</v>
      </c>
      <c r="G78" s="1556">
        <f>'XM.GUI MAIL'!G78</f>
        <v>0.3</v>
      </c>
      <c r="H78" s="103">
        <f>XM.HN!B44</f>
        <v>0.36</v>
      </c>
      <c r="I78" s="337">
        <f>(1*H78*36.5)/(0.5*10)/32%/100</f>
        <v>8.212499999999999E-2</v>
      </c>
      <c r="J78" s="488">
        <f>($G$78-I78)*3234/2.9</f>
        <v>242.96818965517238</v>
      </c>
      <c r="K78" s="307" t="s">
        <v>8</v>
      </c>
      <c r="L78" s="44">
        <f>IF(J78&lt;0,0,J78)</f>
        <v>242.96818965517238</v>
      </c>
      <c r="M78" s="237" t="s">
        <v>10</v>
      </c>
      <c r="N78" s="100">
        <f>XM.HN!C44</f>
        <v>0</v>
      </c>
      <c r="O78" s="337">
        <f>(1*N78*36.5)/(0.5*10)/32%/100</f>
        <v>0</v>
      </c>
      <c r="P78" s="488">
        <f>($G$78-O78)*3234/2.9</f>
        <v>334.55172413793105</v>
      </c>
      <c r="Q78" s="307" t="s">
        <v>8</v>
      </c>
      <c r="R78" s="44">
        <f>IF(P78&lt;0,0,P78)</f>
        <v>334.55172413793105</v>
      </c>
      <c r="S78" s="237" t="s">
        <v>10</v>
      </c>
      <c r="T78" s="20">
        <f>XM.HN!D44</f>
        <v>0</v>
      </c>
      <c r="U78" s="337">
        <f>(1*T78*36.5)/(0.5*10)/32%/100</f>
        <v>0</v>
      </c>
      <c r="V78" s="488">
        <f>($G$78-U78)*3234/2.9</f>
        <v>334.55172413793105</v>
      </c>
      <c r="W78" s="307" t="s">
        <v>8</v>
      </c>
      <c r="X78" s="44">
        <f>IF(V78&lt;0,0,V78)</f>
        <v>334.55172413793105</v>
      </c>
      <c r="Y78" s="237" t="s">
        <v>10</v>
      </c>
      <c r="Z78" s="100">
        <f>XM.HN!E44</f>
        <v>0</v>
      </c>
      <c r="AA78" s="337">
        <f>(1*Z78*36.5)/(0.5*10)/32%/100</f>
        <v>0</v>
      </c>
      <c r="AB78" s="488">
        <f>($G$78-AA78)*3234/2.9</f>
        <v>334.55172413793105</v>
      </c>
      <c r="AC78" s="307" t="s">
        <v>8</v>
      </c>
      <c r="AD78" s="44">
        <f>IF(AB78&lt;0,0,AB78)</f>
        <v>334.55172413793105</v>
      </c>
      <c r="AE78" s="237" t="s">
        <v>10</v>
      </c>
      <c r="AF78" s="100">
        <f>XM.HN!F44</f>
        <v>0</v>
      </c>
      <c r="AG78" s="337">
        <f>(1*AF78*36.5)/(0.5*10)/32%/100</f>
        <v>0</v>
      </c>
      <c r="AH78" s="488">
        <f>($G$78-AG78)*3234/2.9</f>
        <v>334.55172413793105</v>
      </c>
      <c r="AI78" s="307" t="s">
        <v>8</v>
      </c>
      <c r="AJ78" s="44">
        <f>IF(AH78&lt;0,0,AH78)</f>
        <v>334.55172413793105</v>
      </c>
      <c r="AK78" s="237" t="s">
        <v>10</v>
      </c>
      <c r="AL78" s="100">
        <f>XM.HN!G44</f>
        <v>0</v>
      </c>
      <c r="AM78" s="337">
        <f>(1*AL78*36.5)/(0.5*10)/32%/100</f>
        <v>0</v>
      </c>
      <c r="AN78" s="488">
        <f>($G$78-AM78)*3234/2.9</f>
        <v>334.55172413793105</v>
      </c>
      <c r="AO78" s="307" t="s">
        <v>8</v>
      </c>
      <c r="AP78" s="44">
        <f>IF(AN78&lt;0,0,AN78)</f>
        <v>334.55172413793105</v>
      </c>
      <c r="AQ78" s="45" t="s">
        <v>10</v>
      </c>
      <c r="AS78" s="337"/>
    </row>
    <row r="79" spans="1:45" ht="33.75" customHeight="1">
      <c r="A79" s="309" t="s">
        <v>325</v>
      </c>
      <c r="B79" s="1115" t="s">
        <v>143</v>
      </c>
      <c r="C79" s="119" t="s">
        <v>164</v>
      </c>
      <c r="D79" s="52" t="s">
        <v>6</v>
      </c>
      <c r="E79" s="13" t="str">
        <f>'XM.GUI MAIL'!E79</f>
        <v>0.5~1.5</v>
      </c>
      <c r="F79" s="13" t="str">
        <f>'XM.GUI MAIL'!F79</f>
        <v>(1±0.4)</v>
      </c>
      <c r="G79" s="1556">
        <f>'XM.GUI MAIL'!G79</f>
        <v>0.01</v>
      </c>
      <c r="H79" s="103">
        <f>XM.HN!B45</f>
        <v>0</v>
      </c>
      <c r="I79" s="340">
        <f>(1*H79*6.301)/5/100/65%</f>
        <v>0</v>
      </c>
      <c r="J79" s="35">
        <f>($G$79-I79)*2808</f>
        <v>28.080000000000002</v>
      </c>
      <c r="K79" s="43" t="s">
        <v>8</v>
      </c>
      <c r="L79" s="46">
        <f>IF(J79&lt;0,0,J79)</f>
        <v>28.080000000000002</v>
      </c>
      <c r="M79" s="237" t="s">
        <v>10</v>
      </c>
      <c r="N79" s="103">
        <f>XM.HN!C45</f>
        <v>0</v>
      </c>
      <c r="O79" s="340">
        <f>(1*N79*6.301)/5/100/65%</f>
        <v>0</v>
      </c>
      <c r="P79" s="35">
        <f>($G$79-O79)*2808</f>
        <v>28.080000000000002</v>
      </c>
      <c r="Q79" s="43" t="s">
        <v>8</v>
      </c>
      <c r="R79" s="46">
        <f>IF(P79&lt;0,0,P79)</f>
        <v>28.080000000000002</v>
      </c>
      <c r="S79" s="237" t="s">
        <v>10</v>
      </c>
      <c r="T79" s="103">
        <f>XM.HN!D45</f>
        <v>0</v>
      </c>
      <c r="U79" s="340">
        <f>(1*T79*6.301)/5/100/65%</f>
        <v>0</v>
      </c>
      <c r="V79" s="35">
        <f>($G$79-U79)*2808</f>
        <v>28.080000000000002</v>
      </c>
      <c r="W79" s="43" t="s">
        <v>8</v>
      </c>
      <c r="X79" s="46">
        <f>IF(V79&lt;0,0,V79)</f>
        <v>28.080000000000002</v>
      </c>
      <c r="Y79" s="237" t="s">
        <v>10</v>
      </c>
      <c r="Z79" s="103">
        <f>XM.HN!E45</f>
        <v>0</v>
      </c>
      <c r="AA79" s="340">
        <f>(1*Z79*6.301)/5/100/65%</f>
        <v>0</v>
      </c>
      <c r="AB79" s="35">
        <f>($G$79-AA79)*2808</f>
        <v>28.080000000000002</v>
      </c>
      <c r="AC79" s="43" t="s">
        <v>8</v>
      </c>
      <c r="AD79" s="46">
        <f>IF(AB79&lt;0,0,AB79)</f>
        <v>28.080000000000002</v>
      </c>
      <c r="AE79" s="237" t="s">
        <v>10</v>
      </c>
      <c r="AF79" s="103">
        <f>XM.HN!F45</f>
        <v>0</v>
      </c>
      <c r="AG79" s="340">
        <f>(1*AF79*6.301)/5/100/65%</f>
        <v>0</v>
      </c>
      <c r="AH79" s="35">
        <f>($G$79-AG79)*2808</f>
        <v>28.080000000000002</v>
      </c>
      <c r="AI79" s="43" t="s">
        <v>8</v>
      </c>
      <c r="AJ79" s="46">
        <f>IF(AH79&lt;0,0,AH79)</f>
        <v>28.080000000000002</v>
      </c>
      <c r="AK79" s="237" t="s">
        <v>10</v>
      </c>
      <c r="AL79" s="103">
        <f>XM.HN!G45</f>
        <v>0</v>
      </c>
      <c r="AM79" s="340">
        <f>(1*AL79*6.301)/5/100/65%</f>
        <v>0</v>
      </c>
      <c r="AN79" s="35">
        <f>($G$79-AM79)*2808/1.8</f>
        <v>15.600000000000001</v>
      </c>
      <c r="AO79" s="43" t="s">
        <v>8</v>
      </c>
      <c r="AP79" s="46">
        <f>IF(AN79&lt;0,0,AN79)</f>
        <v>15.600000000000001</v>
      </c>
      <c r="AQ79" s="45" t="s">
        <v>10</v>
      </c>
      <c r="AS79" s="340"/>
    </row>
    <row r="80" spans="1:45" ht="33.75" customHeight="1">
      <c r="A80" s="308" t="s">
        <v>326</v>
      </c>
      <c r="B80" s="1115" t="s">
        <v>143</v>
      </c>
      <c r="C80" s="328" t="s">
        <v>93</v>
      </c>
      <c r="D80" s="52" t="s">
        <v>3</v>
      </c>
      <c r="E80" s="13" t="str">
        <f>'XM.GUI MAIL'!E80</f>
        <v>3~9</v>
      </c>
      <c r="F80" s="13" t="str">
        <f>'XM.GUI MAIL'!F80</f>
        <v>(6±1)</v>
      </c>
      <c r="G80" s="1209">
        <f>'XM.GUI MAIL'!G80</f>
        <v>6</v>
      </c>
      <c r="H80" s="103">
        <f>XM.HN!B46</f>
        <v>5.3</v>
      </c>
      <c r="I80" s="302">
        <f>H80*0.8</f>
        <v>4.24</v>
      </c>
      <c r="J80" s="47">
        <f>($G$80-I80)*4042/95*0.88</f>
        <v>65.897364210526305</v>
      </c>
      <c r="K80" s="43" t="s">
        <v>8</v>
      </c>
      <c r="L80" s="44">
        <f>IF(J80&lt;0,0,J80)</f>
        <v>65.897364210526305</v>
      </c>
      <c r="M80" s="237" t="s">
        <v>10</v>
      </c>
      <c r="N80" s="103">
        <f>XM.HN!C46</f>
        <v>0</v>
      </c>
      <c r="O80" s="302">
        <f>N80*0.8</f>
        <v>0</v>
      </c>
      <c r="P80" s="47">
        <f>($G$80-O80)*4042/95*0.88</f>
        <v>224.65010526315791</v>
      </c>
      <c r="Q80" s="43" t="s">
        <v>8</v>
      </c>
      <c r="R80" s="44">
        <f>IF(P80&lt;0,0,P80)</f>
        <v>224.65010526315791</v>
      </c>
      <c r="S80" s="237" t="s">
        <v>10</v>
      </c>
      <c r="T80" s="103">
        <f>XM.HN!D46</f>
        <v>0</v>
      </c>
      <c r="U80" s="302">
        <f>T80*0.8</f>
        <v>0</v>
      </c>
      <c r="V80" s="47">
        <f>($G$80-U80)*4042/95*0.88</f>
        <v>224.65010526315791</v>
      </c>
      <c r="W80" s="43" t="s">
        <v>8</v>
      </c>
      <c r="X80" s="44">
        <f>IF(V80&lt;0,0,V80)</f>
        <v>224.65010526315791</v>
      </c>
      <c r="Y80" s="237" t="s">
        <v>10</v>
      </c>
      <c r="Z80" s="103">
        <f>XM.HN!E46</f>
        <v>0</v>
      </c>
      <c r="AA80" s="302">
        <f>Z80*0.8</f>
        <v>0</v>
      </c>
      <c r="AB80" s="47">
        <f>($G$80-AA80)*4042/95*0.88</f>
        <v>224.65010526315791</v>
      </c>
      <c r="AC80" s="43" t="s">
        <v>8</v>
      </c>
      <c r="AD80" s="44">
        <f>IF(AB80&lt;0,0,AB80)</f>
        <v>224.65010526315791</v>
      </c>
      <c r="AE80" s="237" t="s">
        <v>10</v>
      </c>
      <c r="AF80" s="103">
        <f>XM.HN!F46</f>
        <v>0</v>
      </c>
      <c r="AG80" s="302">
        <f>AF80*0.8</f>
        <v>0</v>
      </c>
      <c r="AH80" s="47">
        <f>($G$80-AG80)*4042/95*0.88</f>
        <v>224.65010526315791</v>
      </c>
      <c r="AI80" s="43" t="s">
        <v>8</v>
      </c>
      <c r="AJ80" s="44">
        <f>IF(AH80&lt;0,0,AH80)</f>
        <v>224.65010526315791</v>
      </c>
      <c r="AK80" s="237" t="s">
        <v>10</v>
      </c>
      <c r="AL80" s="103">
        <f>XM.HN!G46</f>
        <v>0</v>
      </c>
      <c r="AM80" s="302">
        <f>AL80*0.8</f>
        <v>0</v>
      </c>
      <c r="AN80" s="47">
        <f>($G$80-AM80)*4042/95*0.88</f>
        <v>224.65010526315791</v>
      </c>
      <c r="AO80" s="43" t="s">
        <v>8</v>
      </c>
      <c r="AP80" s="44">
        <f>IF(AN80&lt;0,0,AN80)</f>
        <v>224.65010526315791</v>
      </c>
      <c r="AQ80" s="45" t="s">
        <v>10</v>
      </c>
      <c r="AS80" s="302"/>
    </row>
    <row r="81" spans="1:47" ht="38.25" customHeight="1">
      <c r="A81" s="308" t="s">
        <v>327</v>
      </c>
      <c r="B81" s="1115" t="s">
        <v>143</v>
      </c>
      <c r="C81" s="329" t="s">
        <v>131</v>
      </c>
      <c r="D81" s="52" t="s">
        <v>5</v>
      </c>
      <c r="E81" s="13" t="str">
        <f>'XM.GUI MAIL'!E81</f>
        <v>1.8~2.4</v>
      </c>
      <c r="F81" s="13" t="str">
        <f>'XM.GUI MAIL'!F81</f>
        <v>(2.0±0.1)</v>
      </c>
      <c r="G81" s="1209">
        <f>'XM.GUI MAIL'!G81</f>
        <v>0</v>
      </c>
      <c r="H81" s="102"/>
      <c r="I81" s="303">
        <f>XM.HN!B47</f>
        <v>1.88</v>
      </c>
      <c r="J81" s="47"/>
      <c r="K81" s="43"/>
      <c r="L81" s="44"/>
      <c r="M81" s="237"/>
      <c r="N81" s="103"/>
      <c r="O81" s="303">
        <f>XM.HN!C47</f>
        <v>0</v>
      </c>
      <c r="P81" s="47"/>
      <c r="Q81" s="43"/>
      <c r="R81" s="44"/>
      <c r="S81" s="237"/>
      <c r="T81" s="103"/>
      <c r="U81" s="303">
        <f>XM.HN!D47</f>
        <v>0</v>
      </c>
      <c r="V81" s="47"/>
      <c r="W81" s="43"/>
      <c r="X81" s="44"/>
      <c r="Y81" s="237"/>
      <c r="Z81" s="103"/>
      <c r="AA81" s="303">
        <f>XM.HN!E47</f>
        <v>0</v>
      </c>
      <c r="AB81" s="47"/>
      <c r="AC81" s="43"/>
      <c r="AD81" s="44"/>
      <c r="AE81" s="237"/>
      <c r="AF81" s="103"/>
      <c r="AG81" s="303">
        <f>XM.HN!F47</f>
        <v>0</v>
      </c>
      <c r="AH81" s="47"/>
      <c r="AI81" s="43"/>
      <c r="AJ81" s="44"/>
      <c r="AK81" s="237"/>
      <c r="AL81" s="103"/>
      <c r="AM81" s="303">
        <f>XM.HN!G47</f>
        <v>0</v>
      </c>
      <c r="AN81" s="1423"/>
      <c r="AO81" s="37"/>
      <c r="AP81" s="38"/>
      <c r="AQ81" s="1124"/>
      <c r="AS81" s="303"/>
    </row>
    <row r="82" spans="1:47" ht="38.25" customHeight="1">
      <c r="A82" s="1561"/>
      <c r="B82" s="1562"/>
      <c r="C82" s="1559" t="s">
        <v>1389</v>
      </c>
      <c r="D82" s="305" t="s">
        <v>3</v>
      </c>
      <c r="E82" s="1606" t="str">
        <f>'XM.GUI MAIL'!E82</f>
        <v>8~16 %</v>
      </c>
      <c r="F82" s="13" t="str">
        <f>'XM.GUI MAIL'!F82</f>
        <v>(12±2%)</v>
      </c>
      <c r="G82" s="1209">
        <f>'XM.GUI MAIL'!G82</f>
        <v>12</v>
      </c>
      <c r="H82" s="103">
        <f>XM.HN!B49</f>
        <v>0</v>
      </c>
      <c r="I82" s="1657">
        <f>H82*100/6.95/10</f>
        <v>0</v>
      </c>
      <c r="J82" s="35">
        <f>($G$82-I82)*3360/100</f>
        <v>403.2</v>
      </c>
      <c r="K82" s="43" t="s">
        <v>8</v>
      </c>
      <c r="L82" s="44">
        <f t="shared" ref="L82" si="28">IF(J82&lt;0,0,J82)</f>
        <v>403.2</v>
      </c>
      <c r="M82" s="45" t="s">
        <v>10</v>
      </c>
      <c r="N82" s="100">
        <f>XM.HN!C49</f>
        <v>0</v>
      </c>
      <c r="O82" s="1657">
        <f>N82*100/6.95/10</f>
        <v>0</v>
      </c>
      <c r="P82" s="35">
        <f>($G$82-O82)*3360/100</f>
        <v>403.2</v>
      </c>
      <c r="Q82" s="43" t="s">
        <v>8</v>
      </c>
      <c r="R82" s="44">
        <f t="shared" ref="R82" si="29">IF(P82&lt;0,0,P82)</f>
        <v>403.2</v>
      </c>
      <c r="S82" s="45" t="s">
        <v>10</v>
      </c>
      <c r="T82" s="20">
        <f>XM.HN!D49</f>
        <v>0</v>
      </c>
      <c r="U82" s="1657">
        <f>T82*100/6.95/10</f>
        <v>0</v>
      </c>
      <c r="V82" s="35">
        <f>($G$82-U82)*3360/100</f>
        <v>403.2</v>
      </c>
      <c r="W82" s="43" t="s">
        <v>8</v>
      </c>
      <c r="X82" s="44">
        <f t="shared" ref="X82" si="30">IF(V82&lt;0,0,V82)</f>
        <v>403.2</v>
      </c>
      <c r="Y82" s="45" t="s">
        <v>10</v>
      </c>
      <c r="Z82" s="100">
        <f>XM.HN!E49</f>
        <v>0</v>
      </c>
      <c r="AA82" s="1657">
        <f>Z82*100/6.95/10</f>
        <v>0</v>
      </c>
      <c r="AB82" s="35">
        <f>($G$82-AA82)*3360/100</f>
        <v>403.2</v>
      </c>
      <c r="AC82" s="43" t="s">
        <v>8</v>
      </c>
      <c r="AD82" s="44">
        <f t="shared" ref="AD82" si="31">IF(AB82&lt;0,0,AB82)</f>
        <v>403.2</v>
      </c>
      <c r="AE82" s="45" t="s">
        <v>10</v>
      </c>
      <c r="AF82" s="100">
        <f>XM.HN!F49</f>
        <v>0</v>
      </c>
      <c r="AG82" s="1657">
        <f>AF82*100/6.95/10</f>
        <v>0</v>
      </c>
      <c r="AH82" s="35">
        <f>($G$82-AG82)*3360/100</f>
        <v>403.2</v>
      </c>
      <c r="AI82" s="43" t="s">
        <v>8</v>
      </c>
      <c r="AJ82" s="44">
        <f t="shared" ref="AJ82" si="32">IF(AH82&lt;0,0,AH82)</f>
        <v>403.2</v>
      </c>
      <c r="AK82" s="45" t="s">
        <v>10</v>
      </c>
      <c r="AL82" s="100">
        <f>XM.HN!G49</f>
        <v>0</v>
      </c>
      <c r="AM82" s="1657">
        <f>AL82*100/6.95/10</f>
        <v>0</v>
      </c>
      <c r="AN82" s="35">
        <f>($G$82-AM82)*3360/100</f>
        <v>403.2</v>
      </c>
      <c r="AO82" s="43" t="s">
        <v>8</v>
      </c>
      <c r="AP82" s="44">
        <f t="shared" ref="AP82" si="33">IF(AN82&lt;0,0,AN82)</f>
        <v>403.2</v>
      </c>
      <c r="AQ82" s="45" t="s">
        <v>10</v>
      </c>
      <c r="AS82" s="1657"/>
    </row>
    <row r="83" spans="1:47" ht="38.25" customHeight="1">
      <c r="A83" s="1561"/>
      <c r="B83" s="1562"/>
      <c r="C83" s="1560" t="s">
        <v>131</v>
      </c>
      <c r="D83" s="305" t="s">
        <v>5</v>
      </c>
      <c r="E83" s="1606" t="str">
        <f>'XM.GUI MAIL'!E83</f>
        <v>1.8~2.4</v>
      </c>
      <c r="F83" s="13" t="str">
        <f>'XM.GUI MAIL'!F83</f>
        <v>(2.0 ±0.2 )</v>
      </c>
      <c r="G83" s="1209">
        <f>'XM.GUI MAIL'!G83</f>
        <v>0</v>
      </c>
      <c r="H83" s="102"/>
      <c r="I83" s="664">
        <f>XM.HN!B50</f>
        <v>0</v>
      </c>
      <c r="J83" s="1423"/>
      <c r="K83" s="41"/>
      <c r="L83" s="42"/>
      <c r="M83" s="1423"/>
      <c r="N83" s="103"/>
      <c r="O83" s="664">
        <f>XM.HN!C50</f>
        <v>0</v>
      </c>
      <c r="P83" s="488"/>
      <c r="Q83" s="307"/>
      <c r="R83" s="307"/>
      <c r="S83" s="45"/>
      <c r="T83" s="20"/>
      <c r="U83" s="664">
        <f>XM.HN!D50</f>
        <v>0</v>
      </c>
      <c r="V83" s="488"/>
      <c r="W83" s="307"/>
      <c r="X83" s="307"/>
      <c r="Y83" s="45"/>
      <c r="Z83" s="100"/>
      <c r="AA83" s="664">
        <f>XM.HN!E50</f>
        <v>0</v>
      </c>
      <c r="AB83" s="488"/>
      <c r="AC83" s="307"/>
      <c r="AD83" s="307"/>
      <c r="AE83" s="45"/>
      <c r="AF83" s="100"/>
      <c r="AG83" s="664">
        <f>XM.HN!F50</f>
        <v>0</v>
      </c>
      <c r="AH83" s="488"/>
      <c r="AI83" s="307"/>
      <c r="AJ83" s="307"/>
      <c r="AK83" s="45"/>
      <c r="AL83" s="100"/>
      <c r="AM83" s="664">
        <f>XM.HN!G50</f>
        <v>0</v>
      </c>
      <c r="AN83" s="1423"/>
      <c r="AO83" s="41"/>
      <c r="AP83" s="42"/>
      <c r="AQ83" s="1124"/>
      <c r="AS83" s="664"/>
    </row>
    <row r="84" spans="1:47" ht="33" customHeight="1">
      <c r="A84" s="1499" t="s">
        <v>337</v>
      </c>
      <c r="B84" s="1500" t="s">
        <v>143</v>
      </c>
      <c r="C84" s="236" t="s">
        <v>210</v>
      </c>
      <c r="D84" s="229" t="s">
        <v>4</v>
      </c>
      <c r="E84" s="13" t="str">
        <f>'XM.GUI MAIL'!E84</f>
        <v>5~6</v>
      </c>
      <c r="F84" s="13" t="str">
        <f>'XM.GUI MAIL'!F84</f>
        <v>(5.5± 0.5L)</v>
      </c>
      <c r="G84" s="1209">
        <f>'XM.GUI MAIL'!G84</f>
        <v>5.5</v>
      </c>
      <c r="H84" s="102">
        <f>XM.HN!B53</f>
        <v>0</v>
      </c>
      <c r="I84" s="1657">
        <f>H84*1.3</f>
        <v>0</v>
      </c>
      <c r="J84" s="35">
        <f>($G$84-I84)*8000/1000</f>
        <v>44</v>
      </c>
      <c r="K84" s="43" t="s">
        <v>8</v>
      </c>
      <c r="L84" s="44">
        <f t="shared" ref="L84:L87" si="34">IF(J84&lt;0,0,J84)</f>
        <v>44</v>
      </c>
      <c r="M84" s="45" t="s">
        <v>9</v>
      </c>
      <c r="N84" s="1450">
        <f>XM.HN!C53</f>
        <v>0</v>
      </c>
      <c r="T84" s="1423">
        <f>XM.HN!D53</f>
        <v>0</v>
      </c>
      <c r="U84" s="1657">
        <f>T84*1.3</f>
        <v>0</v>
      </c>
      <c r="V84" s="35">
        <f>($G$84-U84)*8000/1000</f>
        <v>44</v>
      </c>
      <c r="W84" s="43" t="s">
        <v>8</v>
      </c>
      <c r="X84" s="44">
        <f t="shared" ref="X84:X87" si="35">IF(V84&lt;0,0,V84)</f>
        <v>44</v>
      </c>
      <c r="Y84" s="45" t="s">
        <v>9</v>
      </c>
      <c r="Z84" s="1423">
        <f>XM.HN!E53</f>
        <v>0</v>
      </c>
      <c r="AA84" s="1657">
        <f>Z84*1.3</f>
        <v>0</v>
      </c>
      <c r="AB84" s="35">
        <f>($G$84-AA84)*8000/1000</f>
        <v>44</v>
      </c>
      <c r="AC84" s="43" t="s">
        <v>8</v>
      </c>
      <c r="AD84" s="44">
        <f t="shared" ref="AD84:AD87" si="36">IF(AB84&lt;0,0,AB84)</f>
        <v>44</v>
      </c>
      <c r="AE84" s="45" t="s">
        <v>9</v>
      </c>
      <c r="AF84" s="1776"/>
      <c r="AK84" s="292"/>
      <c r="AL84" s="103">
        <f>XM.HN!G53</f>
        <v>0</v>
      </c>
      <c r="AM84" s="1657">
        <f>AL84*1.3</f>
        <v>0</v>
      </c>
      <c r="AN84" s="338">
        <f>($G$84-AM84)*8000/1000</f>
        <v>44</v>
      </c>
      <c r="AO84" s="335" t="s">
        <v>8</v>
      </c>
      <c r="AP84" s="339">
        <f t="shared" ref="AP84:AP87" si="37">IF(AN84&lt;0,0,AN84)</f>
        <v>44</v>
      </c>
      <c r="AQ84" s="304" t="s">
        <v>9</v>
      </c>
      <c r="AS84" s="1657"/>
    </row>
    <row r="85" spans="1:47" ht="33" hidden="1" customHeight="1">
      <c r="A85" s="1499" t="s">
        <v>338</v>
      </c>
      <c r="B85" s="1500" t="s">
        <v>143</v>
      </c>
      <c r="C85" s="236" t="s">
        <v>208</v>
      </c>
      <c r="D85" s="229" t="s">
        <v>4</v>
      </c>
      <c r="E85" s="13" t="str">
        <f>'XM.GUI MAIL'!E85</f>
        <v>1.7~1.9g/L
(1.8 ± 0.1g/L)</v>
      </c>
      <c r="F85" s="13" t="str">
        <f>'XM.GUI MAIL'!F85</f>
        <v>1.7~1.9g/L
(1.8 ± 0.1g/L)</v>
      </c>
      <c r="G85" s="1209">
        <f>'XM.GUI MAIL'!G85</f>
        <v>1.8</v>
      </c>
      <c r="H85" s="102">
        <f>XM.HN!B54</f>
        <v>0</v>
      </c>
      <c r="I85" s="292">
        <f>H85</f>
        <v>0</v>
      </c>
      <c r="J85" s="35">
        <f>($G$85-I85)*8000/1000</f>
        <v>14.4</v>
      </c>
      <c r="K85" s="43" t="s">
        <v>8</v>
      </c>
      <c r="L85" s="44">
        <f t="shared" si="34"/>
        <v>14.4</v>
      </c>
      <c r="M85" s="45" t="s">
        <v>10</v>
      </c>
      <c r="N85" s="1450">
        <f>XM.HN!C54</f>
        <v>0</v>
      </c>
      <c r="T85" s="1423">
        <f>XM.HN!D54</f>
        <v>0</v>
      </c>
      <c r="U85" s="292">
        <f>T85</f>
        <v>0</v>
      </c>
      <c r="V85" s="35">
        <f>($G$85-U85)*8000/1000</f>
        <v>14.4</v>
      </c>
      <c r="W85" s="43" t="s">
        <v>8</v>
      </c>
      <c r="X85" s="44">
        <f t="shared" si="35"/>
        <v>14.4</v>
      </c>
      <c r="Y85" s="45" t="s">
        <v>10</v>
      </c>
      <c r="Z85" s="1423">
        <f>XM.HN!E54</f>
        <v>0</v>
      </c>
      <c r="AA85" s="292">
        <f>Z85</f>
        <v>0</v>
      </c>
      <c r="AB85" s="35">
        <f>($G$85-AA85)*8000/1000</f>
        <v>14.4</v>
      </c>
      <c r="AC85" s="43" t="s">
        <v>8</v>
      </c>
      <c r="AD85" s="44">
        <f t="shared" si="36"/>
        <v>14.4</v>
      </c>
      <c r="AE85" s="45" t="s">
        <v>10</v>
      </c>
      <c r="AF85" s="1776"/>
      <c r="AK85" s="292"/>
      <c r="AL85" s="103">
        <f>XM.HN!G54</f>
        <v>0</v>
      </c>
      <c r="AM85" s="292">
        <f>AL85</f>
        <v>0</v>
      </c>
      <c r="AN85" s="35">
        <f>($G$85-AM85)*8000/1000</f>
        <v>14.4</v>
      </c>
      <c r="AO85" s="43" t="s">
        <v>8</v>
      </c>
      <c r="AP85" s="44">
        <f t="shared" si="37"/>
        <v>14.4</v>
      </c>
      <c r="AQ85" s="45" t="s">
        <v>10</v>
      </c>
    </row>
    <row r="86" spans="1:47" ht="33" customHeight="1">
      <c r="A86" s="1499" t="s">
        <v>339</v>
      </c>
      <c r="B86" s="1500" t="s">
        <v>143</v>
      </c>
      <c r="C86" s="236" t="s">
        <v>209</v>
      </c>
      <c r="D86" s="229" t="s">
        <v>4</v>
      </c>
      <c r="E86" s="13" t="str">
        <f>'XM.GUI MAIL'!E86</f>
        <v>120~130</v>
      </c>
      <c r="F86" s="13" t="str">
        <f>'XM.GUI MAIL'!F86</f>
        <v>(125 ± 5)</v>
      </c>
      <c r="G86" s="1209">
        <f>'XM.GUI MAIL'!G86</f>
        <v>125</v>
      </c>
      <c r="H86" s="102">
        <f>XM.HN!B55</f>
        <v>0</v>
      </c>
      <c r="I86" s="1669">
        <f>H86*8</f>
        <v>0</v>
      </c>
      <c r="J86" s="35">
        <f>($G$86-I86)*8000/1000</f>
        <v>1000</v>
      </c>
      <c r="K86" s="43" t="s">
        <v>8</v>
      </c>
      <c r="L86" s="44">
        <f t="shared" si="34"/>
        <v>1000</v>
      </c>
      <c r="M86" s="45" t="s">
        <v>9</v>
      </c>
      <c r="N86" s="1450">
        <f>XM.HN!C55</f>
        <v>0</v>
      </c>
      <c r="T86" s="1423">
        <f>XM.HN!D55</f>
        <v>0</v>
      </c>
      <c r="U86" s="1732">
        <f>T86*8</f>
        <v>0</v>
      </c>
      <c r="V86" s="35">
        <f>($G$86-U86)*8000/1000</f>
        <v>1000</v>
      </c>
      <c r="W86" s="43" t="s">
        <v>8</v>
      </c>
      <c r="X86" s="44">
        <f t="shared" si="35"/>
        <v>1000</v>
      </c>
      <c r="Y86" s="45" t="s">
        <v>9</v>
      </c>
      <c r="Z86" s="1423">
        <f>XM.HN!E55</f>
        <v>0</v>
      </c>
      <c r="AA86" s="1732">
        <f>Z86*8</f>
        <v>0</v>
      </c>
      <c r="AB86" s="35">
        <f>($G$86-AA86)*8000/1000</f>
        <v>1000</v>
      </c>
      <c r="AC86" s="43" t="s">
        <v>8</v>
      </c>
      <c r="AD86" s="44">
        <f t="shared" si="36"/>
        <v>1000</v>
      </c>
      <c r="AE86" s="45" t="s">
        <v>9</v>
      </c>
      <c r="AF86" s="1776"/>
      <c r="AK86" s="292"/>
      <c r="AL86" s="103">
        <f>XM.HN!G55</f>
        <v>0</v>
      </c>
      <c r="AM86" s="1732">
        <f>AL86*8</f>
        <v>0</v>
      </c>
      <c r="AN86" s="35">
        <f>($G$86-AM86)*8000/1000</f>
        <v>1000</v>
      </c>
      <c r="AO86" s="43" t="s">
        <v>8</v>
      </c>
      <c r="AP86" s="44">
        <f t="shared" si="37"/>
        <v>1000</v>
      </c>
      <c r="AQ86" s="45" t="s">
        <v>9</v>
      </c>
      <c r="AS86" s="1732"/>
    </row>
    <row r="87" spans="1:47" ht="33" hidden="1" customHeight="1">
      <c r="A87" s="1499" t="s">
        <v>340</v>
      </c>
      <c r="B87" s="1500" t="s">
        <v>143</v>
      </c>
      <c r="C87" s="236" t="s">
        <v>211</v>
      </c>
      <c r="D87" s="229" t="s">
        <v>4</v>
      </c>
      <c r="E87" s="13" t="str">
        <f>'XM.GUI MAIL'!E87</f>
        <v>125~135g/L
(130g/L)</v>
      </c>
      <c r="F87" s="13" t="str">
        <f>'XM.GUI MAIL'!F87</f>
        <v>125~135g/L
(130g/L)</v>
      </c>
      <c r="G87" s="1209">
        <f>'XM.GUI MAIL'!G87</f>
        <v>130</v>
      </c>
      <c r="H87" s="1919">
        <f>XM.HN!B56</f>
        <v>0</v>
      </c>
      <c r="I87" s="292">
        <f>(H87-0.5)*8.9</f>
        <v>-4.45</v>
      </c>
      <c r="J87" s="35">
        <f>($G$87-I87)*8000/1000</f>
        <v>1075.5999999999999</v>
      </c>
      <c r="K87" s="43" t="s">
        <v>8</v>
      </c>
      <c r="L87" s="44">
        <f t="shared" si="34"/>
        <v>1075.5999999999999</v>
      </c>
      <c r="M87" s="45" t="s">
        <v>10</v>
      </c>
      <c r="N87" s="1450">
        <f>XM.HN!C56</f>
        <v>0</v>
      </c>
      <c r="T87" s="1423">
        <f>XM.HN!D56</f>
        <v>0</v>
      </c>
      <c r="U87" s="292">
        <f>(T87-0.5)*8.9</f>
        <v>-4.45</v>
      </c>
      <c r="V87" s="35">
        <f>($G$87-U87)*8000/1000</f>
        <v>1075.5999999999999</v>
      </c>
      <c r="W87" s="43" t="s">
        <v>8</v>
      </c>
      <c r="X87" s="44">
        <f t="shared" si="35"/>
        <v>1075.5999999999999</v>
      </c>
      <c r="Y87" s="237" t="s">
        <v>10</v>
      </c>
      <c r="Z87" s="1423">
        <f>XM.HN!E56</f>
        <v>0</v>
      </c>
      <c r="AA87" s="292">
        <f>(Z87-0.5)*8.9</f>
        <v>-4.45</v>
      </c>
      <c r="AB87" s="35">
        <f>($G$87-AA87)*8000/1000</f>
        <v>1075.5999999999999</v>
      </c>
      <c r="AC87" s="43" t="s">
        <v>8</v>
      </c>
      <c r="AD87" s="44">
        <f t="shared" si="36"/>
        <v>1075.5999999999999</v>
      </c>
      <c r="AE87" s="237" t="s">
        <v>10</v>
      </c>
      <c r="AF87" s="1776"/>
      <c r="AK87" s="292"/>
      <c r="AL87" s="103">
        <f>XM.HN!G56</f>
        <v>0</v>
      </c>
      <c r="AM87" s="292">
        <f>(AL87-0.5)*8.9</f>
        <v>-4.45</v>
      </c>
      <c r="AN87" s="35">
        <f>($G$87-AM87)*8000/1000</f>
        <v>1075.5999999999999</v>
      </c>
      <c r="AO87" s="43" t="s">
        <v>8</v>
      </c>
      <c r="AP87" s="44">
        <f t="shared" si="37"/>
        <v>1075.5999999999999</v>
      </c>
      <c r="AQ87" s="237" t="s">
        <v>10</v>
      </c>
    </row>
    <row r="88" spans="1:47" ht="36" customHeight="1">
      <c r="A88" s="1499" t="s">
        <v>341</v>
      </c>
      <c r="B88" s="1500" t="s">
        <v>143</v>
      </c>
      <c r="C88" s="234" t="s">
        <v>212</v>
      </c>
      <c r="D88" s="229" t="s">
        <v>131</v>
      </c>
      <c r="E88" s="13" t="str">
        <f>'XM.GUI MAIL'!E88</f>
        <v>3.0-4.5</v>
      </c>
      <c r="F88" s="13" t="str">
        <f>'XM.GUI MAIL'!F88</f>
        <v>(4.3±0.2)</v>
      </c>
      <c r="G88" s="1209">
        <f>'XM.GUI MAIL'!G88</f>
        <v>0</v>
      </c>
      <c r="H88" s="102"/>
      <c r="I88" s="664">
        <f>XM.HN!B57</f>
        <v>0</v>
      </c>
      <c r="J88" s="1423"/>
      <c r="K88" s="37"/>
      <c r="L88" s="38"/>
      <c r="M88" s="103"/>
      <c r="N88" s="1450"/>
      <c r="Q88" s="48"/>
      <c r="R88" s="48"/>
      <c r="T88" s="1423"/>
      <c r="U88" s="664">
        <f>XM.HN!D57</f>
        <v>0</v>
      </c>
      <c r="V88" s="1777"/>
      <c r="W88" s="1665"/>
      <c r="X88" s="1666"/>
      <c r="Y88" s="1777"/>
      <c r="Z88" s="1777"/>
      <c r="AA88" s="664">
        <f>XM.HN!E57</f>
        <v>0</v>
      </c>
      <c r="AB88" s="1777"/>
      <c r="AC88" s="1665"/>
      <c r="AD88" s="1666"/>
      <c r="AE88" s="1778"/>
      <c r="AF88" s="1778"/>
      <c r="AG88" s="1667"/>
      <c r="AH88" s="1667"/>
      <c r="AI88" s="1668"/>
      <c r="AJ88" s="1668"/>
      <c r="AK88" s="1667"/>
      <c r="AL88" s="1778"/>
      <c r="AM88" s="664">
        <f>XM.HN!G57</f>
        <v>0</v>
      </c>
      <c r="AN88" s="103"/>
      <c r="AO88" s="1665"/>
      <c r="AP88" s="1666"/>
      <c r="AQ88" s="1778"/>
      <c r="AS88" s="664"/>
    </row>
    <row r="89" spans="1:47" s="224" customFormat="1" ht="54" customHeight="1">
      <c r="A89" s="319" t="s">
        <v>76</v>
      </c>
      <c r="B89" s="320"/>
      <c r="C89" s="320"/>
      <c r="D89" s="320"/>
      <c r="E89" s="332"/>
      <c r="F89" s="332"/>
      <c r="G89" s="332"/>
      <c r="H89" s="320"/>
      <c r="I89" s="320"/>
      <c r="J89" s="320"/>
      <c r="K89" s="320"/>
      <c r="L89" s="320"/>
      <c r="M89" s="320"/>
      <c r="N89" s="320"/>
      <c r="O89" s="321"/>
      <c r="P89" s="320"/>
      <c r="Q89" s="1661"/>
      <c r="R89" s="1661"/>
      <c r="S89" s="321"/>
      <c r="T89" s="320"/>
      <c r="U89" s="321"/>
      <c r="V89" s="320"/>
      <c r="W89" s="320"/>
      <c r="X89" s="320"/>
      <c r="Y89" s="320"/>
      <c r="Z89" s="320"/>
      <c r="AA89" s="320"/>
      <c r="AB89" s="320"/>
      <c r="AC89" s="320"/>
      <c r="AD89" s="320"/>
      <c r="AE89" s="320"/>
      <c r="AF89" s="321"/>
      <c r="AG89" s="321"/>
      <c r="AH89" s="321"/>
      <c r="AI89" s="321"/>
      <c r="AJ89" s="321"/>
      <c r="AK89" s="321"/>
      <c r="AL89" s="321"/>
      <c r="AM89" s="321"/>
      <c r="AN89" s="321"/>
      <c r="AO89" s="321"/>
      <c r="AP89" s="321"/>
      <c r="AQ89" s="1130"/>
      <c r="AR89" s="104"/>
      <c r="AS89" s="104"/>
      <c r="AT89" s="104"/>
      <c r="AU89" s="104"/>
    </row>
    <row r="90" spans="1:47" ht="48" customHeight="1">
      <c r="A90" s="1121" t="s">
        <v>267</v>
      </c>
      <c r="B90" s="1114" t="s">
        <v>350</v>
      </c>
      <c r="C90" s="311" t="s">
        <v>64</v>
      </c>
      <c r="D90" s="311" t="s">
        <v>66</v>
      </c>
      <c r="E90" s="1624" t="s">
        <v>1413</v>
      </c>
      <c r="F90" s="1624" t="s">
        <v>1412</v>
      </c>
      <c r="G90" s="1280"/>
      <c r="H90" s="105"/>
      <c r="I90" s="313" t="s">
        <v>48</v>
      </c>
      <c r="J90" s="314"/>
      <c r="K90" s="314"/>
      <c r="L90" s="313" t="s">
        <v>65</v>
      </c>
      <c r="M90" s="330"/>
      <c r="N90" s="311"/>
      <c r="O90" s="313" t="s">
        <v>48</v>
      </c>
      <c r="P90" s="314"/>
      <c r="Q90" s="314"/>
      <c r="R90" s="313" t="s">
        <v>65</v>
      </c>
      <c r="S90" s="330"/>
      <c r="T90" s="106"/>
      <c r="U90" s="313" t="s">
        <v>48</v>
      </c>
      <c r="V90" s="314"/>
      <c r="W90" s="314"/>
      <c r="X90" s="313" t="s">
        <v>65</v>
      </c>
      <c r="Y90" s="330"/>
      <c r="Z90" s="107"/>
      <c r="AA90" s="313" t="s">
        <v>48</v>
      </c>
      <c r="AB90" s="314"/>
      <c r="AC90" s="314"/>
      <c r="AD90" s="313" t="s">
        <v>65</v>
      </c>
      <c r="AE90" s="330"/>
      <c r="AF90" s="107"/>
      <c r="AG90" s="313" t="s">
        <v>48</v>
      </c>
      <c r="AH90" s="314"/>
      <c r="AI90" s="314"/>
      <c r="AJ90" s="313" t="s">
        <v>65</v>
      </c>
      <c r="AK90" s="330"/>
      <c r="AL90" s="107"/>
      <c r="AM90" s="313" t="s">
        <v>48</v>
      </c>
      <c r="AN90" s="314"/>
      <c r="AO90" s="314"/>
      <c r="AP90" s="313" t="s">
        <v>65</v>
      </c>
      <c r="AQ90" s="330"/>
    </row>
    <row r="91" spans="1:47" ht="36.75" customHeight="1">
      <c r="A91" s="1115" t="s">
        <v>328</v>
      </c>
      <c r="B91" s="1115" t="s">
        <v>143</v>
      </c>
      <c r="C91" s="1563" t="s">
        <v>68</v>
      </c>
      <c r="D91" s="110" t="s">
        <v>113</v>
      </c>
      <c r="E91" s="113" t="str">
        <f>'XM.GUI MAIL'!E91</f>
        <v>65~75</v>
      </c>
      <c r="F91" s="111" t="str">
        <f>'XM.GUI MAIL'!F91</f>
        <v>(70±3)</v>
      </c>
      <c r="G91" s="466"/>
      <c r="H91" s="111"/>
      <c r="I91" s="2088"/>
      <c r="J91" s="2089"/>
      <c r="K91" s="2090"/>
      <c r="L91" s="2088"/>
      <c r="M91" s="2089"/>
      <c r="N91" s="1658"/>
      <c r="O91" s="2088"/>
      <c r="P91" s="2089"/>
      <c r="Q91" s="2090"/>
      <c r="R91" s="2088"/>
      <c r="S91" s="2089"/>
      <c r="T91" s="1659"/>
      <c r="U91" s="2088"/>
      <c r="V91" s="2089"/>
      <c r="W91" s="2090"/>
      <c r="X91" s="2088"/>
      <c r="Y91" s="2089"/>
      <c r="Z91" s="1660"/>
      <c r="AA91" s="2088"/>
      <c r="AB91" s="2089"/>
      <c r="AC91" s="2090"/>
      <c r="AD91" s="2088"/>
      <c r="AE91" s="2089"/>
      <c r="AF91" s="1660"/>
      <c r="AG91" s="2088"/>
      <c r="AH91" s="2089"/>
      <c r="AI91" s="2090"/>
      <c r="AJ91" s="2088"/>
      <c r="AK91" s="2089"/>
      <c r="AL91" s="1660"/>
      <c r="AM91" s="2088"/>
      <c r="AN91" s="2089"/>
      <c r="AO91" s="2090"/>
      <c r="AP91" s="2117"/>
      <c r="AQ91" s="2117"/>
    </row>
    <row r="92" spans="1:47" ht="36.75" customHeight="1">
      <c r="A92" s="1115" t="s">
        <v>329</v>
      </c>
      <c r="B92" s="1115" t="s">
        <v>143</v>
      </c>
      <c r="C92" s="1563" t="s">
        <v>69</v>
      </c>
      <c r="D92" s="110" t="s">
        <v>113</v>
      </c>
      <c r="E92" s="113" t="str">
        <f>'XM.GUI MAIL'!E92</f>
        <v>65~75</v>
      </c>
      <c r="F92" s="111" t="str">
        <f>'XM.GUI MAIL'!F92</f>
        <v>(70±3)</v>
      </c>
      <c r="G92" s="466"/>
      <c r="H92" s="111"/>
      <c r="I92" s="2088"/>
      <c r="J92" s="2089"/>
      <c r="K92" s="2090"/>
      <c r="L92" s="2088"/>
      <c r="M92" s="2089"/>
      <c r="N92" s="1658"/>
      <c r="O92" s="2088"/>
      <c r="P92" s="2089"/>
      <c r="Q92" s="2090"/>
      <c r="R92" s="2088"/>
      <c r="S92" s="2089"/>
      <c r="T92" s="1659"/>
      <c r="U92" s="2088"/>
      <c r="V92" s="2089"/>
      <c r="W92" s="2090"/>
      <c r="X92" s="2088"/>
      <c r="Y92" s="2089"/>
      <c r="Z92" s="1660"/>
      <c r="AA92" s="2088"/>
      <c r="AB92" s="2089"/>
      <c r="AC92" s="2090"/>
      <c r="AD92" s="2088"/>
      <c r="AE92" s="2089"/>
      <c r="AF92" s="1660"/>
      <c r="AG92" s="2088"/>
      <c r="AH92" s="2089"/>
      <c r="AI92" s="2090"/>
      <c r="AJ92" s="2088"/>
      <c r="AK92" s="2089"/>
      <c r="AL92" s="1660"/>
      <c r="AM92" s="2088"/>
      <c r="AN92" s="2089"/>
      <c r="AO92" s="2090"/>
      <c r="AP92" s="2117"/>
      <c r="AQ92" s="2117"/>
    </row>
    <row r="93" spans="1:47" ht="36.75" customHeight="1">
      <c r="A93" s="1115" t="s">
        <v>330</v>
      </c>
      <c r="B93" s="1115" t="s">
        <v>143</v>
      </c>
      <c r="C93" s="1563" t="s">
        <v>71</v>
      </c>
      <c r="D93" s="110" t="s">
        <v>113</v>
      </c>
      <c r="E93" s="113" t="str">
        <f>'XM.GUI MAIL'!E93</f>
        <v>60~70</v>
      </c>
      <c r="F93" s="111" t="str">
        <f>'XM.GUI MAIL'!F93</f>
        <v>(65±3)</v>
      </c>
      <c r="G93" s="466"/>
      <c r="H93" s="111"/>
      <c r="I93" s="2088"/>
      <c r="J93" s="2089"/>
      <c r="K93" s="2090"/>
      <c r="L93" s="2088"/>
      <c r="M93" s="2089"/>
      <c r="N93" s="2090"/>
      <c r="O93" s="2088"/>
      <c r="P93" s="2089"/>
      <c r="Q93" s="2090"/>
      <c r="R93" s="2088"/>
      <c r="S93" s="2089"/>
      <c r="T93" s="2090"/>
      <c r="U93" s="2088"/>
      <c r="V93" s="2089"/>
      <c r="W93" s="2090"/>
      <c r="X93" s="2088"/>
      <c r="Y93" s="2089"/>
      <c r="Z93" s="2090"/>
      <c r="AA93" s="2088"/>
      <c r="AB93" s="2089"/>
      <c r="AC93" s="2090"/>
      <c r="AD93" s="2088"/>
      <c r="AE93" s="2089"/>
      <c r="AF93" s="2090"/>
      <c r="AG93" s="2088"/>
      <c r="AH93" s="2089"/>
      <c r="AI93" s="2090"/>
      <c r="AJ93" s="2088"/>
      <c r="AK93" s="2089"/>
      <c r="AL93" s="2090"/>
      <c r="AM93" s="2088"/>
      <c r="AN93" s="2089"/>
      <c r="AO93" s="2090"/>
      <c r="AP93" s="2117"/>
      <c r="AQ93" s="2117"/>
    </row>
    <row r="94" spans="1:47" ht="36.75" customHeight="1">
      <c r="A94" s="1115" t="s">
        <v>331</v>
      </c>
      <c r="B94" s="1115" t="s">
        <v>143</v>
      </c>
      <c r="C94" s="1563" t="s">
        <v>70</v>
      </c>
      <c r="D94" s="110" t="s">
        <v>113</v>
      </c>
      <c r="E94" s="113" t="str">
        <f>'XM.GUI MAIL'!E94</f>
        <v>60~70</v>
      </c>
      <c r="F94" s="111" t="str">
        <f>'XM.GUI MAIL'!F94</f>
        <v>(65±3)</v>
      </c>
      <c r="G94" s="1553"/>
      <c r="H94" s="108"/>
      <c r="I94" s="2088"/>
      <c r="J94" s="2089"/>
      <c r="K94" s="2090"/>
      <c r="L94" s="2088"/>
      <c r="M94" s="2089"/>
      <c r="N94" s="2090"/>
      <c r="O94" s="2088"/>
      <c r="P94" s="2089"/>
      <c r="Q94" s="2090"/>
      <c r="R94" s="2088"/>
      <c r="S94" s="2089"/>
      <c r="T94" s="2090"/>
      <c r="U94" s="2088"/>
      <c r="V94" s="2089"/>
      <c r="W94" s="2090"/>
      <c r="X94" s="2088"/>
      <c r="Y94" s="2089"/>
      <c r="Z94" s="2090"/>
      <c r="AA94" s="2088"/>
      <c r="AB94" s="2089"/>
      <c r="AC94" s="2090"/>
      <c r="AD94" s="2088"/>
      <c r="AE94" s="2089"/>
      <c r="AF94" s="2090"/>
      <c r="AG94" s="2088"/>
      <c r="AH94" s="2089"/>
      <c r="AI94" s="2090"/>
      <c r="AJ94" s="2088"/>
      <c r="AK94" s="2089"/>
      <c r="AL94" s="2090"/>
      <c r="AM94" s="2088"/>
      <c r="AN94" s="2089"/>
      <c r="AO94" s="2090"/>
      <c r="AP94" s="2117"/>
      <c r="AQ94" s="2117"/>
    </row>
    <row r="95" spans="1:47" ht="36.75" customHeight="1">
      <c r="A95" s="1115" t="s">
        <v>345</v>
      </c>
      <c r="B95" s="1115" t="s">
        <v>143</v>
      </c>
      <c r="C95" s="1563" t="s">
        <v>72</v>
      </c>
      <c r="D95" s="110" t="s">
        <v>113</v>
      </c>
      <c r="E95" s="113" t="str">
        <f>'XM.GUI MAIL'!E95</f>
        <v>24~26</v>
      </c>
      <c r="F95" s="111" t="str">
        <f>'XM.GUI MAIL'!F95</f>
        <v>(25)</v>
      </c>
      <c r="G95" s="466"/>
      <c r="H95" s="111"/>
      <c r="I95" s="2119"/>
      <c r="J95" s="2120"/>
      <c r="K95" s="2121"/>
      <c r="L95" s="2119"/>
      <c r="M95" s="2121"/>
      <c r="N95" s="1662"/>
      <c r="O95" s="2119"/>
      <c r="P95" s="2120"/>
      <c r="Q95" s="2121"/>
      <c r="R95" s="2119"/>
      <c r="S95" s="2121"/>
      <c r="T95" s="1663"/>
      <c r="U95" s="2119"/>
      <c r="V95" s="2120"/>
      <c r="W95" s="2121"/>
      <c r="X95" s="2119"/>
      <c r="Y95" s="2120"/>
      <c r="Z95" s="1664"/>
      <c r="AA95" s="2119"/>
      <c r="AB95" s="2120"/>
      <c r="AC95" s="2121"/>
      <c r="AD95" s="2119"/>
      <c r="AE95" s="2120"/>
      <c r="AF95" s="1664"/>
      <c r="AG95" s="2119"/>
      <c r="AH95" s="2120"/>
      <c r="AI95" s="2121"/>
      <c r="AJ95" s="2119"/>
      <c r="AK95" s="2120"/>
      <c r="AL95" s="1664"/>
      <c r="AM95" s="2119"/>
      <c r="AN95" s="2120"/>
      <c r="AO95" s="2121"/>
      <c r="AP95" s="2122"/>
      <c r="AQ95" s="2122"/>
    </row>
    <row r="96" spans="1:47" ht="36.75" customHeight="1">
      <c r="A96" s="308" t="s">
        <v>332</v>
      </c>
      <c r="B96" s="1115" t="s">
        <v>143</v>
      </c>
      <c r="C96" s="1563" t="s">
        <v>1372</v>
      </c>
      <c r="D96" s="110" t="s">
        <v>113</v>
      </c>
      <c r="E96" s="113" t="str">
        <f>'XM.GUI MAIL'!E96</f>
        <v>34~36</v>
      </c>
      <c r="F96" s="111" t="str">
        <f>'XM.GUI MAIL'!F96</f>
        <v>(35±1)</v>
      </c>
      <c r="G96" s="466"/>
      <c r="H96" s="111"/>
      <c r="I96" s="2111"/>
      <c r="J96" s="2112"/>
      <c r="K96" s="2113"/>
      <c r="L96" s="2111"/>
      <c r="M96" s="2113"/>
      <c r="N96" s="1690"/>
      <c r="O96" s="2111"/>
      <c r="P96" s="2112"/>
      <c r="Q96" s="2113"/>
      <c r="R96" s="2111"/>
      <c r="S96" s="2113"/>
      <c r="T96" s="1691"/>
      <c r="U96" s="2111"/>
      <c r="V96" s="2112"/>
      <c r="W96" s="2113"/>
      <c r="X96" s="2111"/>
      <c r="Y96" s="2112"/>
      <c r="Z96" s="1692"/>
      <c r="AA96" s="2111"/>
      <c r="AB96" s="2112"/>
      <c r="AC96" s="2113"/>
      <c r="AD96" s="2111"/>
      <c r="AE96" s="2112"/>
      <c r="AF96" s="1692"/>
      <c r="AG96" s="2111"/>
      <c r="AH96" s="2112"/>
      <c r="AI96" s="2113"/>
      <c r="AJ96" s="2111"/>
      <c r="AK96" s="2112"/>
      <c r="AL96" s="1692"/>
      <c r="AM96" s="2111"/>
      <c r="AN96" s="2112"/>
      <c r="AO96" s="2113"/>
      <c r="AP96" s="2116"/>
      <c r="AQ96" s="2116"/>
    </row>
    <row r="97" spans="1:47" ht="36.75" customHeight="1">
      <c r="A97" s="308" t="s">
        <v>333</v>
      </c>
      <c r="B97" s="1115" t="s">
        <v>143</v>
      </c>
      <c r="C97" s="1563" t="s">
        <v>73</v>
      </c>
      <c r="D97" s="110" t="s">
        <v>113</v>
      </c>
      <c r="E97" s="113" t="str">
        <f>'XM.GUI MAIL'!E97</f>
        <v>55~65</v>
      </c>
      <c r="F97" s="111" t="str">
        <f>'XM.GUI MAIL'!F97</f>
        <v>(60±3)</v>
      </c>
      <c r="G97" s="466"/>
      <c r="H97" s="111"/>
      <c r="I97" s="2088"/>
      <c r="J97" s="2089"/>
      <c r="K97" s="2090"/>
      <c r="L97" s="2088"/>
      <c r="M97" s="2089"/>
      <c r="N97" s="311"/>
      <c r="O97" s="2088"/>
      <c r="P97" s="2089"/>
      <c r="Q97" s="2090"/>
      <c r="R97" s="2088"/>
      <c r="S97" s="2089"/>
      <c r="T97" s="106"/>
      <c r="U97" s="2088"/>
      <c r="V97" s="2089"/>
      <c r="W97" s="2090"/>
      <c r="X97" s="2088"/>
      <c r="Y97" s="2089"/>
      <c r="Z97" s="107"/>
      <c r="AA97" s="2088"/>
      <c r="AB97" s="2089"/>
      <c r="AC97" s="2090"/>
      <c r="AD97" s="2088"/>
      <c r="AE97" s="2089"/>
      <c r="AF97" s="107"/>
      <c r="AG97" s="2088"/>
      <c r="AH97" s="2089"/>
      <c r="AI97" s="2090"/>
      <c r="AJ97" s="2088"/>
      <c r="AK97" s="2089"/>
      <c r="AL97" s="107"/>
      <c r="AM97" s="2088"/>
      <c r="AN97" s="2089"/>
      <c r="AO97" s="2090"/>
      <c r="AP97" s="2117"/>
      <c r="AQ97" s="2117"/>
    </row>
    <row r="98" spans="1:47" ht="36.75" customHeight="1">
      <c r="A98" s="52" t="s">
        <v>334</v>
      </c>
      <c r="B98" s="1115" t="s">
        <v>143</v>
      </c>
      <c r="C98" s="1563" t="s">
        <v>74</v>
      </c>
      <c r="D98" s="110" t="s">
        <v>113</v>
      </c>
      <c r="E98" s="1621" t="str">
        <f>'XM.GUI MAIL'!E98</f>
        <v>65~75</v>
      </c>
      <c r="F98" s="111" t="str">
        <f>'XM.GUI MAIL'!F98</f>
        <v>(70±3)</v>
      </c>
      <c r="G98" s="466"/>
      <c r="H98" s="111"/>
      <c r="I98" s="2108" t="s">
        <v>50</v>
      </c>
      <c r="J98" s="2109"/>
      <c r="K98" s="2110"/>
      <c r="L98" s="2088"/>
      <c r="M98" s="2089"/>
      <c r="N98" s="2090"/>
      <c r="O98" s="2108" t="s">
        <v>50</v>
      </c>
      <c r="P98" s="2109"/>
      <c r="Q98" s="2110"/>
      <c r="R98" s="2088"/>
      <c r="S98" s="2089"/>
      <c r="T98" s="2090"/>
      <c r="U98" s="2108" t="s">
        <v>50</v>
      </c>
      <c r="V98" s="2109"/>
      <c r="W98" s="2110"/>
      <c r="X98" s="2088"/>
      <c r="Y98" s="2089"/>
      <c r="Z98" s="2090"/>
      <c r="AA98" s="2108" t="s">
        <v>50</v>
      </c>
      <c r="AB98" s="2109"/>
      <c r="AC98" s="2110"/>
      <c r="AD98" s="2088"/>
      <c r="AE98" s="2089"/>
      <c r="AF98" s="2090"/>
      <c r="AG98" s="2108" t="s">
        <v>50</v>
      </c>
      <c r="AH98" s="2109"/>
      <c r="AI98" s="2110"/>
      <c r="AJ98" s="2088"/>
      <c r="AK98" s="2089"/>
      <c r="AL98" s="2090"/>
      <c r="AM98" s="2108" t="s">
        <v>50</v>
      </c>
      <c r="AN98" s="2109"/>
      <c r="AO98" s="2110"/>
      <c r="AP98" s="2117"/>
      <c r="AQ98" s="2117"/>
    </row>
    <row r="99" spans="1:47" ht="36.75" hidden="1" customHeight="1">
      <c r="A99" s="308"/>
      <c r="B99" s="1600"/>
      <c r="C99" s="1609" t="s">
        <v>1393</v>
      </c>
      <c r="D99" s="110" t="s">
        <v>113</v>
      </c>
      <c r="E99" s="113" t="str">
        <f>'XM.GUI MAIL'!E99</f>
        <v>40~60</v>
      </c>
      <c r="F99" s="111" t="str">
        <f>'XM.GUI MAIL'!F99</f>
        <v>(50±10)</v>
      </c>
      <c r="G99" s="466"/>
      <c r="H99" s="111"/>
      <c r="I99" s="2091"/>
      <c r="J99" s="2092"/>
      <c r="K99" s="2093"/>
      <c r="L99" s="2091"/>
      <c r="M99" s="2092"/>
      <c r="N99" s="115"/>
      <c r="O99" s="2091"/>
      <c r="P99" s="2092"/>
      <c r="Q99" s="2093"/>
      <c r="R99" s="2091"/>
      <c r="S99" s="2092"/>
      <c r="T99" s="115"/>
      <c r="U99" s="2091"/>
      <c r="V99" s="2092"/>
      <c r="W99" s="2093"/>
      <c r="X99" s="2091"/>
      <c r="Y99" s="2092"/>
      <c r="Z99" s="115"/>
      <c r="AA99" s="2091"/>
      <c r="AB99" s="2092"/>
      <c r="AC99" s="2093"/>
      <c r="AD99" s="2091"/>
      <c r="AE99" s="2092"/>
      <c r="AF99" s="115"/>
      <c r="AG99" s="2091"/>
      <c r="AH99" s="2092"/>
      <c r="AI99" s="2093"/>
      <c r="AJ99" s="2091"/>
      <c r="AK99" s="2092"/>
      <c r="AL99" s="115"/>
      <c r="AM99" s="2091"/>
      <c r="AN99" s="2092"/>
      <c r="AO99" s="2093"/>
      <c r="AP99" s="2094"/>
      <c r="AQ99" s="2094"/>
    </row>
    <row r="100" spans="1:47" ht="36.75" hidden="1" customHeight="1">
      <c r="A100" s="308"/>
      <c r="B100" s="1600"/>
      <c r="C100" s="1610" t="s">
        <v>1398</v>
      </c>
      <c r="D100" s="110" t="s">
        <v>113</v>
      </c>
      <c r="E100" s="113" t="str">
        <f>'XM.GUI MAIL'!E100</f>
        <v>50~70</v>
      </c>
      <c r="F100" s="111" t="str">
        <f>'XM.GUI MAIL'!F100</f>
        <v>(60±5)</v>
      </c>
      <c r="G100" s="466"/>
      <c r="H100" s="111"/>
      <c r="I100" s="2091"/>
      <c r="J100" s="2092"/>
      <c r="K100" s="2093"/>
      <c r="L100" s="2091"/>
      <c r="M100" s="2092"/>
      <c r="N100" s="115"/>
      <c r="O100" s="2091"/>
      <c r="P100" s="2092"/>
      <c r="Q100" s="2093"/>
      <c r="R100" s="2091"/>
      <c r="S100" s="2092"/>
      <c r="T100" s="115"/>
      <c r="U100" s="2091"/>
      <c r="V100" s="2092"/>
      <c r="W100" s="2093"/>
      <c r="X100" s="2091"/>
      <c r="Y100" s="2092"/>
      <c r="Z100" s="115"/>
      <c r="AA100" s="2091"/>
      <c r="AB100" s="2092"/>
      <c r="AC100" s="2093"/>
      <c r="AD100" s="2091"/>
      <c r="AE100" s="2092"/>
      <c r="AF100" s="115"/>
      <c r="AG100" s="2091"/>
      <c r="AH100" s="2092"/>
      <c r="AI100" s="2093"/>
      <c r="AJ100" s="2091"/>
      <c r="AK100" s="2092"/>
      <c r="AL100" s="115"/>
      <c r="AM100" s="2091"/>
      <c r="AN100" s="2092"/>
      <c r="AO100" s="2093"/>
      <c r="AP100" s="2094"/>
      <c r="AQ100" s="2094"/>
    </row>
    <row r="101" spans="1:47" ht="36.75" customHeight="1">
      <c r="A101" s="308"/>
      <c r="B101" s="1115"/>
      <c r="C101" s="1563" t="s">
        <v>1053</v>
      </c>
      <c r="D101" s="21" t="s">
        <v>113</v>
      </c>
      <c r="E101" s="113" t="str">
        <f>'XM.GUI MAIL'!E101</f>
        <v>20~30</v>
      </c>
      <c r="F101" s="111" t="str">
        <f>'XM.GUI MAIL'!F101</f>
        <v>20~30</v>
      </c>
      <c r="G101" s="466"/>
      <c r="H101" s="111"/>
      <c r="I101" s="2118"/>
      <c r="J101" s="2118"/>
      <c r="K101" s="2118"/>
      <c r="L101" s="2118"/>
      <c r="M101" s="2118"/>
      <c r="U101" s="2118"/>
      <c r="V101" s="2118"/>
      <c r="W101" s="2118"/>
      <c r="X101" s="2118"/>
      <c r="Y101" s="2118"/>
      <c r="Z101" s="112"/>
      <c r="AA101" s="2118"/>
      <c r="AB101" s="2118"/>
      <c r="AC101" s="2118"/>
      <c r="AD101" s="2118"/>
      <c r="AE101" s="2118"/>
      <c r="AK101" s="292"/>
      <c r="AM101" s="2118"/>
      <c r="AN101" s="2118"/>
      <c r="AO101" s="2118"/>
      <c r="AP101" s="2118"/>
      <c r="AQ101" s="2118"/>
    </row>
    <row r="102" spans="1:47" ht="36.75" customHeight="1">
      <c r="A102" s="308"/>
      <c r="B102" s="1564"/>
      <c r="C102" s="1567" t="s">
        <v>1373</v>
      </c>
      <c r="D102" s="1607" t="s">
        <v>1392</v>
      </c>
      <c r="E102" s="1622" t="str">
        <f>'XM.GUI MAIL'!E102</f>
        <v>35~45</v>
      </c>
      <c r="F102" s="111" t="str">
        <f>'XM.GUI MAIL'!F102</f>
        <v>(40±3)</v>
      </c>
      <c r="G102" s="466"/>
      <c r="H102" s="111"/>
      <c r="I102" s="2104"/>
      <c r="J102" s="2105"/>
      <c r="K102" s="2106"/>
      <c r="L102" s="2104"/>
      <c r="M102" s="2105"/>
      <c r="N102" s="2106"/>
      <c r="O102" s="2104"/>
      <c r="P102" s="2105"/>
      <c r="Q102" s="2106"/>
      <c r="R102" s="2104"/>
      <c r="S102" s="2105"/>
      <c r="T102" s="2106"/>
      <c r="U102" s="2104"/>
      <c r="V102" s="2105"/>
      <c r="W102" s="2106"/>
      <c r="X102" s="2104"/>
      <c r="Y102" s="2105"/>
      <c r="Z102" s="2106"/>
      <c r="AA102" s="2104"/>
      <c r="AB102" s="2105"/>
      <c r="AC102" s="2106"/>
      <c r="AD102" s="2104"/>
      <c r="AE102" s="2105"/>
      <c r="AF102" s="2106"/>
      <c r="AG102" s="2104"/>
      <c r="AH102" s="2105"/>
      <c r="AI102" s="2106"/>
      <c r="AJ102" s="2104"/>
      <c r="AK102" s="2105"/>
      <c r="AL102" s="2106"/>
      <c r="AM102" s="2104"/>
      <c r="AN102" s="2105"/>
      <c r="AO102" s="2106"/>
      <c r="AP102" s="2107"/>
      <c r="AQ102" s="2107"/>
    </row>
    <row r="103" spans="1:47" ht="36.75" customHeight="1">
      <c r="A103" s="1499" t="s">
        <v>342</v>
      </c>
      <c r="B103" s="1500" t="s">
        <v>143</v>
      </c>
      <c r="C103" s="1142" t="s">
        <v>127</v>
      </c>
      <c r="D103" s="1143" t="s">
        <v>113</v>
      </c>
      <c r="E103" s="1918" t="str">
        <f>'XM.GUI MAIL'!E103</f>
        <v>24~28</v>
      </c>
      <c r="F103" s="111" t="str">
        <f>'XM.GUI MAIL'!F103</f>
        <v>(26±2)</v>
      </c>
      <c r="G103" s="466"/>
      <c r="H103" s="111"/>
      <c r="I103" s="2091"/>
      <c r="J103" s="2092"/>
      <c r="K103" s="2093"/>
      <c r="L103" s="2091"/>
      <c r="M103" s="2092"/>
      <c r="N103" s="115"/>
      <c r="O103" s="106"/>
      <c r="P103" s="107"/>
      <c r="Q103" s="107"/>
      <c r="R103" s="106"/>
      <c r="S103" s="1917"/>
      <c r="T103" s="106"/>
      <c r="U103" s="2091"/>
      <c r="V103" s="2092"/>
      <c r="W103" s="2093"/>
      <c r="X103" s="2091"/>
      <c r="Y103" s="2092"/>
      <c r="Z103" s="107"/>
      <c r="AA103" s="2091"/>
      <c r="AB103" s="2092"/>
      <c r="AC103" s="2093"/>
      <c r="AD103" s="2091"/>
      <c r="AE103" s="2092"/>
      <c r="AF103" s="107"/>
      <c r="AG103" s="106"/>
      <c r="AH103" s="107"/>
      <c r="AI103" s="107"/>
      <c r="AJ103" s="106"/>
      <c r="AK103" s="1917"/>
      <c r="AL103" s="107"/>
      <c r="AM103" s="2091"/>
      <c r="AN103" s="2092"/>
      <c r="AO103" s="2093"/>
      <c r="AP103" s="2094"/>
      <c r="AQ103" s="2094"/>
    </row>
    <row r="104" spans="1:47" ht="36.75" customHeight="1">
      <c r="A104" s="1499" t="s">
        <v>343</v>
      </c>
      <c r="B104" s="1500" t="s">
        <v>143</v>
      </c>
      <c r="C104" s="1142" t="s">
        <v>1398</v>
      </c>
      <c r="D104" s="1143" t="s">
        <v>113</v>
      </c>
      <c r="E104" s="1918" t="str">
        <f>'XM.GUI MAIL'!E104</f>
        <v>40~60</v>
      </c>
      <c r="F104" s="111" t="str">
        <f>'XM.GUI MAIL'!F104</f>
        <v>(50±10)</v>
      </c>
      <c r="G104" s="466"/>
      <c r="H104" s="111"/>
      <c r="I104" s="2091"/>
      <c r="J104" s="2092"/>
      <c r="K104" s="2093"/>
      <c r="L104" s="2091"/>
      <c r="M104" s="2093"/>
      <c r="N104" s="115"/>
      <c r="O104" s="106"/>
      <c r="P104" s="107"/>
      <c r="Q104" s="107"/>
      <c r="R104" s="106"/>
      <c r="S104" s="1917"/>
      <c r="T104" s="106"/>
      <c r="U104" s="2091"/>
      <c r="V104" s="2092"/>
      <c r="W104" s="2093"/>
      <c r="X104" s="2091"/>
      <c r="Y104" s="2092"/>
      <c r="Z104" s="107"/>
      <c r="AA104" s="2091"/>
      <c r="AB104" s="2092"/>
      <c r="AC104" s="2093"/>
      <c r="AD104" s="2091"/>
      <c r="AE104" s="2092"/>
      <c r="AF104" s="107"/>
      <c r="AG104" s="106"/>
      <c r="AH104" s="107"/>
      <c r="AI104" s="107"/>
      <c r="AJ104" s="106"/>
      <c r="AK104" s="1917"/>
      <c r="AL104" s="107"/>
      <c r="AM104" s="2091"/>
      <c r="AN104" s="2092"/>
      <c r="AO104" s="2093"/>
      <c r="AP104" s="2091"/>
      <c r="AQ104" s="2093"/>
    </row>
    <row r="105" spans="1:47" ht="36.75" customHeight="1">
      <c r="A105" s="1499" t="s">
        <v>344</v>
      </c>
      <c r="B105" s="1500" t="s">
        <v>143</v>
      </c>
      <c r="C105" s="1142" t="s">
        <v>132</v>
      </c>
      <c r="D105" s="1143" t="s">
        <v>113</v>
      </c>
      <c r="E105" s="1918" t="str">
        <f>'XM.GUI MAIL'!E105</f>
        <v>20~30</v>
      </c>
      <c r="F105" s="111" t="str">
        <f>'XM.GUI MAIL'!F105</f>
        <v>(25±5)</v>
      </c>
      <c r="G105" s="466"/>
      <c r="H105" s="111"/>
      <c r="I105" s="2091"/>
      <c r="J105" s="2092"/>
      <c r="K105" s="2093"/>
      <c r="L105" s="2094"/>
      <c r="M105" s="2094"/>
      <c r="N105" s="107"/>
      <c r="O105" s="106"/>
      <c r="P105" s="107"/>
      <c r="Q105" s="107"/>
      <c r="R105" s="106"/>
      <c r="S105" s="1917"/>
      <c r="T105" s="107"/>
      <c r="U105" s="2091"/>
      <c r="V105" s="2092"/>
      <c r="W105" s="2093"/>
      <c r="X105" s="2094"/>
      <c r="Y105" s="2094"/>
      <c r="Z105" s="107"/>
      <c r="AA105" s="2091"/>
      <c r="AB105" s="2092"/>
      <c r="AC105" s="2093"/>
      <c r="AD105" s="2094"/>
      <c r="AE105" s="2094"/>
      <c r="AF105" s="107"/>
      <c r="AG105" s="106"/>
      <c r="AH105" s="107"/>
      <c r="AI105" s="107"/>
      <c r="AJ105" s="106"/>
      <c r="AK105" s="1917"/>
      <c r="AL105" s="107"/>
      <c r="AM105" s="2091"/>
      <c r="AN105" s="2092"/>
      <c r="AO105" s="2093"/>
      <c r="AP105" s="2094"/>
      <c r="AQ105" s="2094"/>
    </row>
    <row r="106" spans="1:47" s="224" customFormat="1" ht="50.25" customHeight="1">
      <c r="A106" s="319" t="s">
        <v>78</v>
      </c>
      <c r="B106" s="320"/>
      <c r="C106" s="320"/>
      <c r="D106" s="320"/>
      <c r="E106" s="332"/>
      <c r="F106" s="332"/>
      <c r="G106" s="332"/>
      <c r="H106" s="320"/>
      <c r="I106" s="320"/>
      <c r="J106" s="320"/>
      <c r="K106" s="320"/>
      <c r="L106" s="320"/>
      <c r="M106" s="320"/>
      <c r="N106" s="320"/>
      <c r="O106" s="321"/>
      <c r="P106" s="320"/>
      <c r="Q106" s="320"/>
      <c r="R106" s="320"/>
      <c r="S106" s="321"/>
      <c r="T106" s="320"/>
      <c r="U106" s="321"/>
      <c r="V106" s="320"/>
      <c r="W106" s="320"/>
      <c r="X106" s="320"/>
      <c r="Y106" s="320"/>
      <c r="Z106" s="320"/>
      <c r="AA106" s="320"/>
      <c r="AB106" s="320"/>
      <c r="AC106" s="320"/>
      <c r="AD106" s="320"/>
      <c r="AE106" s="320"/>
      <c r="AF106" s="321"/>
      <c r="AG106" s="321"/>
      <c r="AH106" s="321"/>
      <c r="AI106" s="321"/>
      <c r="AJ106" s="321"/>
      <c r="AK106" s="321"/>
      <c r="AL106" s="321"/>
      <c r="AM106" s="321"/>
      <c r="AN106" s="321"/>
      <c r="AO106" s="321"/>
      <c r="AP106" s="321"/>
      <c r="AQ106" s="1123"/>
      <c r="AR106" s="104"/>
      <c r="AS106" s="104"/>
      <c r="AT106" s="104"/>
      <c r="AU106" s="104"/>
    </row>
    <row r="107" spans="1:47" ht="47.25" customHeight="1">
      <c r="A107" s="308" t="s">
        <v>335</v>
      </c>
      <c r="B107" s="1115" t="s">
        <v>143</v>
      </c>
      <c r="C107" s="119" t="s">
        <v>1191</v>
      </c>
      <c r="D107" s="1121" t="s">
        <v>51</v>
      </c>
      <c r="E107" s="13" t="str">
        <f>'XM.GUI MAIL'!E107</f>
        <v>30~50 
(40)</v>
      </c>
      <c r="F107" s="1631" t="str">
        <f>'XM.GUI MAIL'!F107</f>
        <v>30~50 
(40)</v>
      </c>
      <c r="G107" s="1557"/>
      <c r="H107" s="114"/>
      <c r="I107" s="2091"/>
      <c r="J107" s="2092"/>
      <c r="K107" s="2092"/>
      <c r="L107" s="2092"/>
      <c r="M107" s="2093"/>
      <c r="N107" s="311"/>
      <c r="O107" s="2091"/>
      <c r="P107" s="2092"/>
      <c r="Q107" s="2092"/>
      <c r="R107" s="2092"/>
      <c r="S107" s="2093"/>
      <c r="U107" s="2091"/>
      <c r="V107" s="2092"/>
      <c r="W107" s="2092"/>
      <c r="X107" s="2092"/>
      <c r="Y107" s="2093"/>
      <c r="AA107" s="2091"/>
      <c r="AB107" s="2092"/>
      <c r="AC107" s="2092"/>
      <c r="AD107" s="2092"/>
      <c r="AE107" s="2093"/>
      <c r="AG107" s="2091"/>
      <c r="AH107" s="2092"/>
      <c r="AI107" s="2092"/>
      <c r="AJ107" s="2092"/>
      <c r="AK107" s="2093"/>
      <c r="AM107" s="2091"/>
      <c r="AN107" s="2092"/>
      <c r="AO107" s="2092"/>
      <c r="AP107" s="2092"/>
      <c r="AQ107" s="2093"/>
    </row>
    <row r="108" spans="1:47" ht="47.25" customHeight="1">
      <c r="A108" s="52" t="s">
        <v>336</v>
      </c>
      <c r="B108" s="1115" t="s">
        <v>143</v>
      </c>
      <c r="C108" s="119" t="s">
        <v>1192</v>
      </c>
      <c r="D108" s="1121" t="s">
        <v>51</v>
      </c>
      <c r="E108" s="13" t="str">
        <f>'XM.GUI MAIL'!E108</f>
        <v>160~220
(180)</v>
      </c>
      <c r="F108" s="1631" t="str">
        <f>'XM.GUI MAIL'!F108</f>
        <v>160~220
(180)</v>
      </c>
      <c r="G108" s="1557"/>
      <c r="H108" s="114"/>
      <c r="I108" s="2091"/>
      <c r="J108" s="2092"/>
      <c r="K108" s="2092"/>
      <c r="L108" s="2092"/>
      <c r="M108" s="2093"/>
      <c r="N108" s="1461"/>
      <c r="O108" s="2091"/>
      <c r="P108" s="2092"/>
      <c r="Q108" s="2092"/>
      <c r="R108" s="2092"/>
      <c r="S108" s="2093"/>
      <c r="T108" s="1166"/>
      <c r="U108" s="2091"/>
      <c r="V108" s="2092"/>
      <c r="W108" s="2092"/>
      <c r="X108" s="2092"/>
      <c r="Y108" s="2093"/>
      <c r="Z108" s="1461"/>
      <c r="AA108" s="2091"/>
      <c r="AB108" s="2092"/>
      <c r="AC108" s="2092"/>
      <c r="AD108" s="2092"/>
      <c r="AE108" s="2093"/>
      <c r="AF108" s="1460"/>
      <c r="AG108" s="2091"/>
      <c r="AH108" s="2092"/>
      <c r="AI108" s="2092"/>
      <c r="AJ108" s="2092"/>
      <c r="AK108" s="2093"/>
      <c r="AL108" s="1460"/>
      <c r="AM108" s="2091"/>
      <c r="AN108" s="2092"/>
      <c r="AO108" s="2092"/>
      <c r="AP108" s="2092"/>
      <c r="AQ108" s="2093"/>
    </row>
    <row r="110" spans="1:47" ht="37.5" customHeight="1">
      <c r="C110" s="1582" t="str">
        <f>A2</f>
        <v>2023/03/21</v>
      </c>
    </row>
    <row r="111" spans="1:47" ht="35.25" customHeight="1">
      <c r="C111" s="2095" t="s">
        <v>348</v>
      </c>
      <c r="D111" s="2096" t="s">
        <v>136</v>
      </c>
      <c r="E111" s="2097" t="s">
        <v>1424</v>
      </c>
      <c r="F111" s="2103" t="s">
        <v>1412</v>
      </c>
      <c r="I111" s="298" t="s">
        <v>239</v>
      </c>
      <c r="J111" s="298"/>
      <c r="K111" s="298"/>
      <c r="L111" s="298"/>
      <c r="M111" s="298"/>
      <c r="N111" s="99"/>
      <c r="O111" s="315" t="s">
        <v>241</v>
      </c>
      <c r="P111" s="298"/>
      <c r="Q111" s="298"/>
      <c r="R111" s="298"/>
      <c r="S111" s="299"/>
      <c r="T111" s="298"/>
      <c r="U111" s="298" t="s">
        <v>242</v>
      </c>
      <c r="V111" s="298"/>
      <c r="W111" s="298"/>
      <c r="X111" s="298"/>
      <c r="Y111" s="298"/>
      <c r="Z111" s="99"/>
      <c r="AA111" s="315" t="s">
        <v>244</v>
      </c>
      <c r="AB111" s="298"/>
      <c r="AC111" s="298"/>
      <c r="AD111" s="298"/>
      <c r="AE111" s="299"/>
      <c r="AF111" s="298"/>
      <c r="AL111" s="298"/>
    </row>
    <row r="112" spans="1:47" ht="24" customHeight="1">
      <c r="C112" s="2095"/>
      <c r="D112" s="2096"/>
      <c r="E112" s="2098"/>
      <c r="F112" s="2103"/>
      <c r="I112" s="1194" t="s">
        <v>145</v>
      </c>
      <c r="J112" s="1195" t="s">
        <v>1</v>
      </c>
      <c r="K112" s="1196" t="s">
        <v>1</v>
      </c>
      <c r="L112" s="1196"/>
      <c r="M112" s="1197"/>
      <c r="N112" s="1198"/>
      <c r="O112" s="1194" t="s">
        <v>145</v>
      </c>
      <c r="P112" s="1195" t="s">
        <v>1</v>
      </c>
      <c r="Q112" s="1196" t="s">
        <v>1</v>
      </c>
      <c r="R112" s="1196"/>
      <c r="S112" s="1197"/>
      <c r="T112" s="1105"/>
      <c r="U112" s="1194" t="s">
        <v>145</v>
      </c>
      <c r="V112" s="1195" t="s">
        <v>1</v>
      </c>
      <c r="W112" s="1196" t="s">
        <v>1</v>
      </c>
      <c r="X112" s="1196"/>
      <c r="Y112" s="1197"/>
      <c r="Z112" s="1198"/>
      <c r="AA112" s="1194" t="s">
        <v>145</v>
      </c>
      <c r="AB112" s="34" t="s">
        <v>1</v>
      </c>
      <c r="AC112" s="316" t="s">
        <v>1</v>
      </c>
      <c r="AD112" s="316"/>
      <c r="AE112" s="317"/>
      <c r="AF112" s="1198"/>
      <c r="AL112" s="1198"/>
    </row>
    <row r="113" spans="3:32" ht="37.5" customHeight="1">
      <c r="C113" s="1579" t="s">
        <v>210</v>
      </c>
      <c r="D113" s="229" t="s">
        <v>4</v>
      </c>
      <c r="E113" s="1553" t="str">
        <f>E84</f>
        <v>5~6</v>
      </c>
      <c r="F113" s="13" t="str">
        <f>F84</f>
        <v>(5.5± 0.5L)</v>
      </c>
      <c r="I113" s="1657">
        <f>H84*1.3</f>
        <v>0</v>
      </c>
      <c r="J113" s="231">
        <f>($G$84-I113)*8000/1000</f>
        <v>44</v>
      </c>
      <c r="K113" s="1581" t="s">
        <v>8</v>
      </c>
      <c r="L113" s="339">
        <f>L84</f>
        <v>44</v>
      </c>
      <c r="M113" s="346" t="s">
        <v>9</v>
      </c>
      <c r="O113" s="1657">
        <f>T84*1.3</f>
        <v>0</v>
      </c>
      <c r="P113" s="231">
        <f>($G$84-O113)*8000/1000</f>
        <v>44</v>
      </c>
      <c r="Q113" s="1581" t="s">
        <v>8</v>
      </c>
      <c r="R113" s="339">
        <f>X84</f>
        <v>44</v>
      </c>
      <c r="S113" s="346" t="s">
        <v>9</v>
      </c>
      <c r="T113" s="292" t="e">
        <f>XM.HN!#REF!</f>
        <v>#REF!</v>
      </c>
      <c r="U113" s="1657">
        <f>Z84*1.3</f>
        <v>0</v>
      </c>
      <c r="V113" s="231">
        <f>($G$84-U113)*8000/1000</f>
        <v>44</v>
      </c>
      <c r="W113" s="1581" t="s">
        <v>8</v>
      </c>
      <c r="X113" s="339">
        <f>AD84</f>
        <v>44</v>
      </c>
      <c r="Y113" s="346" t="s">
        <v>9</v>
      </c>
      <c r="AA113" s="1657">
        <f>AL84*1.3</f>
        <v>0</v>
      </c>
      <c r="AB113" s="231"/>
      <c r="AC113" s="1581"/>
      <c r="AD113" s="339">
        <f>AP84</f>
        <v>44</v>
      </c>
      <c r="AE113" s="304" t="s">
        <v>9</v>
      </c>
    </row>
    <row r="114" spans="3:32" ht="37.5" hidden="1" customHeight="1">
      <c r="C114" s="1579"/>
      <c r="D114" s="229"/>
      <c r="E114" s="1553"/>
      <c r="F114" s="13" t="str">
        <f t="shared" ref="F114:F117" si="38">F85</f>
        <v>1.7~1.9g/L
(1.8 ± 0.1g/L)</v>
      </c>
      <c r="J114" s="231"/>
      <c r="K114" s="1581"/>
      <c r="L114" s="339"/>
      <c r="M114" s="346"/>
      <c r="P114" s="231"/>
      <c r="Q114" s="1581"/>
      <c r="R114" s="339"/>
      <c r="S114" s="346"/>
      <c r="V114" s="231"/>
      <c r="W114" s="1581"/>
      <c r="X114" s="339"/>
      <c r="Y114" s="346"/>
      <c r="AB114" s="231"/>
      <c r="AC114" s="1581"/>
      <c r="AD114" s="339"/>
      <c r="AE114" s="304"/>
    </row>
    <row r="115" spans="3:32" ht="37.5" customHeight="1">
      <c r="C115" s="229" t="s">
        <v>209</v>
      </c>
      <c r="D115" s="229" t="s">
        <v>4</v>
      </c>
      <c r="E115" s="55" t="str">
        <f>E86</f>
        <v>120~130</v>
      </c>
      <c r="F115" s="13" t="str">
        <f t="shared" si="38"/>
        <v>(125 ± 5)</v>
      </c>
      <c r="I115" s="1732">
        <f>H86*8</f>
        <v>0</v>
      </c>
      <c r="J115" s="231">
        <f>($G$85-I115)*8000/1000</f>
        <v>14.4</v>
      </c>
      <c r="K115" s="43" t="s">
        <v>8</v>
      </c>
      <c r="L115" s="44">
        <f>L86</f>
        <v>1000</v>
      </c>
      <c r="M115" s="237" t="s">
        <v>9</v>
      </c>
      <c r="O115" s="1732">
        <f>T86*8</f>
        <v>0</v>
      </c>
      <c r="P115" s="231"/>
      <c r="Q115" s="43"/>
      <c r="R115" s="44">
        <f>X86</f>
        <v>1000</v>
      </c>
      <c r="S115" s="237" t="s">
        <v>9</v>
      </c>
      <c r="U115" s="1732">
        <f>Z86*8</f>
        <v>0</v>
      </c>
      <c r="V115" s="231"/>
      <c r="W115" s="43"/>
      <c r="X115" s="44">
        <f>AD86</f>
        <v>1000</v>
      </c>
      <c r="Y115" s="237" t="s">
        <v>9</v>
      </c>
      <c r="AA115" s="1732">
        <f>AL86*8</f>
        <v>0</v>
      </c>
      <c r="AB115" s="231"/>
      <c r="AC115" s="43"/>
      <c r="AD115" s="44">
        <f>AP86</f>
        <v>1000</v>
      </c>
      <c r="AE115" s="45" t="s">
        <v>9</v>
      </c>
    </row>
    <row r="116" spans="3:32" ht="37.5" hidden="1" customHeight="1">
      <c r="C116" s="229"/>
      <c r="D116" s="229"/>
      <c r="E116" s="55"/>
      <c r="F116" s="13" t="str">
        <f t="shared" si="38"/>
        <v>125~135g/L
(130g/L)</v>
      </c>
      <c r="J116" s="1580"/>
      <c r="K116" s="43"/>
      <c r="L116" s="44"/>
      <c r="M116" s="237"/>
      <c r="P116" s="1580"/>
      <c r="Q116" s="43"/>
      <c r="R116" s="44"/>
      <c r="S116" s="237"/>
      <c r="V116" s="1580"/>
      <c r="W116" s="43"/>
      <c r="X116" s="44"/>
      <c r="Y116" s="237"/>
      <c r="AB116" s="1580"/>
      <c r="AC116" s="43"/>
      <c r="AD116" s="44"/>
      <c r="AE116" s="45"/>
    </row>
    <row r="117" spans="3:32" ht="37.5" customHeight="1">
      <c r="C117" s="229" t="s">
        <v>212</v>
      </c>
      <c r="D117" s="229" t="s">
        <v>131</v>
      </c>
      <c r="E117" s="1209" t="str">
        <f>E88</f>
        <v>3.0-4.5</v>
      </c>
      <c r="F117" s="13" t="str">
        <f t="shared" si="38"/>
        <v>(4.3±0.2)</v>
      </c>
      <c r="I117" s="664">
        <f>XM.HN!B57</f>
        <v>0</v>
      </c>
      <c r="J117" s="232">
        <f>($G$86-I117)*8000/1000</f>
        <v>1000</v>
      </c>
      <c r="K117" s="37"/>
      <c r="L117" s="38"/>
      <c r="M117" s="40"/>
      <c r="O117" s="664">
        <f>XM.HN!D57</f>
        <v>0</v>
      </c>
      <c r="P117" s="232"/>
      <c r="Q117" s="37"/>
      <c r="R117" s="38"/>
      <c r="S117" s="40"/>
      <c r="U117" s="664">
        <f>XM.HN!E57</f>
        <v>0</v>
      </c>
      <c r="V117" s="232"/>
      <c r="W117" s="37"/>
      <c r="X117" s="38"/>
      <c r="Y117" s="40"/>
      <c r="AA117" s="664">
        <f>XM.HN!G57</f>
        <v>0</v>
      </c>
      <c r="AB117" s="232"/>
      <c r="AC117" s="37"/>
      <c r="AD117" s="38"/>
      <c r="AE117" s="1124"/>
    </row>
    <row r="118" spans="3:32" ht="12.75" customHeight="1"/>
    <row r="119" spans="3:32" ht="57" customHeight="1">
      <c r="C119" s="1573" t="s">
        <v>64</v>
      </c>
      <c r="D119" s="1573" t="s">
        <v>66</v>
      </c>
      <c r="E119" s="1615" t="s">
        <v>1413</v>
      </c>
      <c r="F119" s="1615" t="s">
        <v>1412</v>
      </c>
      <c r="I119" s="313" t="s">
        <v>48</v>
      </c>
      <c r="J119" s="314"/>
      <c r="K119" s="314"/>
      <c r="L119" s="313" t="s">
        <v>65</v>
      </c>
      <c r="M119" s="330"/>
      <c r="N119" s="311"/>
      <c r="O119" s="313" t="s">
        <v>48</v>
      </c>
      <c r="P119" s="314"/>
      <c r="Q119" s="314"/>
      <c r="R119" s="313" t="s">
        <v>65</v>
      </c>
      <c r="S119" s="330"/>
      <c r="T119" s="106"/>
      <c r="U119" s="313" t="s">
        <v>48</v>
      </c>
      <c r="V119" s="314"/>
      <c r="W119" s="314"/>
      <c r="X119" s="313" t="s">
        <v>65</v>
      </c>
      <c r="Y119" s="330"/>
      <c r="Z119" s="107"/>
      <c r="AA119" s="313" t="s">
        <v>48</v>
      </c>
      <c r="AB119" s="314"/>
      <c r="AC119" s="314"/>
      <c r="AD119" s="313" t="s">
        <v>65</v>
      </c>
      <c r="AE119" s="330"/>
      <c r="AF119" s="107"/>
    </row>
    <row r="120" spans="3:32" ht="39.75" customHeight="1">
      <c r="C120" s="1142" t="s">
        <v>127</v>
      </c>
      <c r="D120" s="1143" t="s">
        <v>113</v>
      </c>
      <c r="E120" s="113" t="str">
        <f>E103</f>
        <v>24~28</v>
      </c>
      <c r="F120" s="49" t="str">
        <f>F103</f>
        <v>(26±2)</v>
      </c>
      <c r="I120" s="2099">
        <f>I103</f>
        <v>0</v>
      </c>
      <c r="J120" s="2100"/>
      <c r="K120" s="2101"/>
      <c r="L120" s="2099">
        <f>L103</f>
        <v>0</v>
      </c>
      <c r="M120" s="2100"/>
      <c r="N120" s="1693"/>
      <c r="O120" s="2099">
        <f>U103</f>
        <v>0</v>
      </c>
      <c r="P120" s="2100"/>
      <c r="Q120" s="2101"/>
      <c r="R120" s="2099">
        <f>X103</f>
        <v>0</v>
      </c>
      <c r="S120" s="2100"/>
      <c r="T120" s="1693"/>
      <c r="U120" s="2099">
        <f>AA103</f>
        <v>0</v>
      </c>
      <c r="V120" s="2100"/>
      <c r="W120" s="2101"/>
      <c r="X120" s="2099">
        <f>AD103</f>
        <v>0</v>
      </c>
      <c r="Y120" s="2100"/>
      <c r="Z120" s="1693"/>
      <c r="AA120" s="2099">
        <f>AM103</f>
        <v>0</v>
      </c>
      <c r="AB120" s="2100"/>
      <c r="AC120" s="2101"/>
      <c r="AD120" s="2102">
        <f>AP103</f>
        <v>0</v>
      </c>
      <c r="AE120" s="2102"/>
    </row>
    <row r="121" spans="3:32" ht="39.75" customHeight="1">
      <c r="C121" s="1142" t="s">
        <v>125</v>
      </c>
      <c r="D121" s="1143" t="s">
        <v>113</v>
      </c>
      <c r="E121" s="113" t="str">
        <f>E104</f>
        <v>40~60</v>
      </c>
      <c r="F121" s="49" t="str">
        <f t="shared" ref="F121:F122" si="39">F104</f>
        <v>(50±10)</v>
      </c>
      <c r="I121" s="2099">
        <f>I104</f>
        <v>0</v>
      </c>
      <c r="J121" s="2100"/>
      <c r="K121" s="2101"/>
      <c r="L121" s="2099">
        <f>L104</f>
        <v>0</v>
      </c>
      <c r="M121" s="2100"/>
      <c r="N121" s="1693"/>
      <c r="O121" s="2099">
        <f>U104</f>
        <v>0</v>
      </c>
      <c r="P121" s="2100"/>
      <c r="Q121" s="2101"/>
      <c r="R121" s="2099">
        <f>X104</f>
        <v>0</v>
      </c>
      <c r="S121" s="2100"/>
      <c r="T121" s="1693"/>
      <c r="U121" s="2099">
        <f>AA104</f>
        <v>0</v>
      </c>
      <c r="V121" s="2100"/>
      <c r="W121" s="2101"/>
      <c r="X121" s="2099">
        <f>AD104</f>
        <v>0</v>
      </c>
      <c r="Y121" s="2100"/>
      <c r="Z121" s="1693"/>
      <c r="AA121" s="2099">
        <f>AM104</f>
        <v>0</v>
      </c>
      <c r="AB121" s="2100"/>
      <c r="AC121" s="2101"/>
      <c r="AD121" s="2099">
        <f>AP104</f>
        <v>0</v>
      </c>
      <c r="AE121" s="2101"/>
    </row>
    <row r="122" spans="3:32" ht="39.75" customHeight="1">
      <c r="C122" s="1142" t="s">
        <v>132</v>
      </c>
      <c r="D122" s="1143" t="s">
        <v>113</v>
      </c>
      <c r="E122" s="113" t="str">
        <f>E105</f>
        <v>20~30</v>
      </c>
      <c r="F122" s="49" t="str">
        <f t="shared" si="39"/>
        <v>(25±5)</v>
      </c>
      <c r="I122" s="2099">
        <f t="shared" ref="I122" si="40">I105</f>
        <v>0</v>
      </c>
      <c r="J122" s="2100"/>
      <c r="K122" s="2101"/>
      <c r="L122" s="2102">
        <f t="shared" ref="L122" si="41">L105</f>
        <v>0</v>
      </c>
      <c r="M122" s="2102"/>
      <c r="N122" s="1693"/>
      <c r="O122" s="2099">
        <f t="shared" ref="O122" si="42">U105</f>
        <v>0</v>
      </c>
      <c r="P122" s="2100"/>
      <c r="Q122" s="2101"/>
      <c r="R122" s="2102">
        <f t="shared" ref="R122" si="43">X105</f>
        <v>0</v>
      </c>
      <c r="S122" s="2102"/>
      <c r="T122" s="1693"/>
      <c r="U122" s="2099">
        <f t="shared" ref="U122" si="44">AA105</f>
        <v>0</v>
      </c>
      <c r="V122" s="2100"/>
      <c r="W122" s="2101"/>
      <c r="X122" s="2102">
        <f t="shared" ref="X122" si="45">AD105</f>
        <v>0</v>
      </c>
      <c r="Y122" s="2102"/>
      <c r="Z122" s="1693"/>
      <c r="AA122" s="2099">
        <f t="shared" ref="AA122" si="46">AM105</f>
        <v>0</v>
      </c>
      <c r="AB122" s="2100"/>
      <c r="AC122" s="2101"/>
      <c r="AD122" s="2102">
        <f t="shared" ref="AD122" si="47">AP105</f>
        <v>0</v>
      </c>
      <c r="AE122" s="2102"/>
    </row>
  </sheetData>
  <sheetProtection formatCells="0" formatColumns="0" formatRows="0" insertColumns="0" insertRows="0" insertHyperlinks="0" deleteColumns="0" deleteRows="0" selectLockedCells="1" sort="0" autoFilter="0" pivotTables="0"/>
  <mergeCells count="423">
    <mergeCell ref="R55:T55"/>
    <mergeCell ref="X55:Z55"/>
    <mergeCell ref="AD55:AF55"/>
    <mergeCell ref="AJ55:AL55"/>
    <mergeCell ref="L56:N56"/>
    <mergeCell ref="R56:T56"/>
    <mergeCell ref="X56:Z56"/>
    <mergeCell ref="AD56:AF56"/>
    <mergeCell ref="AJ56:AL56"/>
    <mergeCell ref="AG56:AI56"/>
    <mergeCell ref="AG55:AI55"/>
    <mergeCell ref="U55:W55"/>
    <mergeCell ref="AA55:AC55"/>
    <mergeCell ref="U56:W56"/>
    <mergeCell ref="R53:T53"/>
    <mergeCell ref="X53:Z53"/>
    <mergeCell ref="AD53:AF53"/>
    <mergeCell ref="AJ53:AL53"/>
    <mergeCell ref="L54:N54"/>
    <mergeCell ref="R54:T54"/>
    <mergeCell ref="X54:Z54"/>
    <mergeCell ref="AD54:AF54"/>
    <mergeCell ref="AJ54:AL54"/>
    <mergeCell ref="AG54:AI54"/>
    <mergeCell ref="AA54:AC54"/>
    <mergeCell ref="U54:W54"/>
    <mergeCell ref="O53:Q53"/>
    <mergeCell ref="G66:G67"/>
    <mergeCell ref="I60:K60"/>
    <mergeCell ref="L60:N60"/>
    <mergeCell ref="O60:Q60"/>
    <mergeCell ref="R60:T60"/>
    <mergeCell ref="U60:W60"/>
    <mergeCell ref="I57:K57"/>
    <mergeCell ref="I58:K58"/>
    <mergeCell ref="O58:Q58"/>
    <mergeCell ref="L57:N57"/>
    <mergeCell ref="R57:T57"/>
    <mergeCell ref="L58:N58"/>
    <mergeCell ref="O57:Q57"/>
    <mergeCell ref="U57:W57"/>
    <mergeCell ref="R58:T58"/>
    <mergeCell ref="R59:T59"/>
    <mergeCell ref="U63:Y63"/>
    <mergeCell ref="U59:W59"/>
    <mergeCell ref="AJ98:AL98"/>
    <mergeCell ref="AA96:AC96"/>
    <mergeCell ref="AD96:AE96"/>
    <mergeCell ref="AG96:AI96"/>
    <mergeCell ref="AJ91:AK91"/>
    <mergeCell ref="AA56:AC56"/>
    <mergeCell ref="AG57:AI57"/>
    <mergeCell ref="AD58:AF58"/>
    <mergeCell ref="AJ58:AL58"/>
    <mergeCell ref="AD59:AF59"/>
    <mergeCell ref="AG94:AI94"/>
    <mergeCell ref="AJ59:AL59"/>
    <mergeCell ref="AG59:AI59"/>
    <mergeCell ref="AD57:AF57"/>
    <mergeCell ref="AJ57:AL57"/>
    <mergeCell ref="AA57:AC57"/>
    <mergeCell ref="I95:K95"/>
    <mergeCell ref="O59:Q59"/>
    <mergeCell ref="I59:K59"/>
    <mergeCell ref="AJ97:AK97"/>
    <mergeCell ref="X57:Z57"/>
    <mergeCell ref="X58:Z58"/>
    <mergeCell ref="X59:Z59"/>
    <mergeCell ref="AA101:AC101"/>
    <mergeCell ref="AA91:AC91"/>
    <mergeCell ref="U91:W91"/>
    <mergeCell ref="U58:W58"/>
    <mergeCell ref="U94:W94"/>
    <mergeCell ref="R91:S91"/>
    <mergeCell ref="R95:S95"/>
    <mergeCell ref="L59:N59"/>
    <mergeCell ref="O91:Q91"/>
    <mergeCell ref="AD101:AE101"/>
    <mergeCell ref="X95:Y95"/>
    <mergeCell ref="AA95:AC95"/>
    <mergeCell ref="AD95:AE95"/>
    <mergeCell ref="AG95:AI95"/>
    <mergeCell ref="AJ95:AK95"/>
    <mergeCell ref="X91:Y91"/>
    <mergeCell ref="AD98:AF98"/>
    <mergeCell ref="O96:Q96"/>
    <mergeCell ref="U96:W96"/>
    <mergeCell ref="X96:Y96"/>
    <mergeCell ref="R98:T98"/>
    <mergeCell ref="X98:Z98"/>
    <mergeCell ref="L98:N98"/>
    <mergeCell ref="I108:M108"/>
    <mergeCell ref="O108:S108"/>
    <mergeCell ref="I105:K105"/>
    <mergeCell ref="L105:M105"/>
    <mergeCell ref="I101:K101"/>
    <mergeCell ref="L101:M101"/>
    <mergeCell ref="U101:W101"/>
    <mergeCell ref="X101:Y101"/>
    <mergeCell ref="AM101:AO101"/>
    <mergeCell ref="AP101:AQ101"/>
    <mergeCell ref="O97:Q97"/>
    <mergeCell ref="O95:Q95"/>
    <mergeCell ref="L96:M96"/>
    <mergeCell ref="R97:S97"/>
    <mergeCell ref="R96:S96"/>
    <mergeCell ref="AP97:AQ97"/>
    <mergeCell ref="O98:Q98"/>
    <mergeCell ref="U98:W98"/>
    <mergeCell ref="AA98:AC98"/>
    <mergeCell ref="AG98:AI98"/>
    <mergeCell ref="AM97:AO97"/>
    <mergeCell ref="L95:M95"/>
    <mergeCell ref="U95:W95"/>
    <mergeCell ref="AM95:AO95"/>
    <mergeCell ref="AM98:AO98"/>
    <mergeCell ref="AP98:AQ98"/>
    <mergeCell ref="X97:Y97"/>
    <mergeCell ref="AA97:AC97"/>
    <mergeCell ref="AD97:AE97"/>
    <mergeCell ref="AG97:AI97"/>
    <mergeCell ref="U97:W97"/>
    <mergeCell ref="AP95:AQ95"/>
    <mergeCell ref="AP96:AQ96"/>
    <mergeCell ref="AP94:AQ94"/>
    <mergeCell ref="AP93:AQ93"/>
    <mergeCell ref="AM93:AO93"/>
    <mergeCell ref="AD91:AE91"/>
    <mergeCell ref="AA59:AC59"/>
    <mergeCell ref="AA58:AC58"/>
    <mergeCell ref="AP92:AQ92"/>
    <mergeCell ref="AP60:AQ60"/>
    <mergeCell ref="AJ96:AK96"/>
    <mergeCell ref="AM60:AO60"/>
    <mergeCell ref="AM94:AO94"/>
    <mergeCell ref="AA60:AC60"/>
    <mergeCell ref="AD60:AF60"/>
    <mergeCell ref="AG60:AI60"/>
    <mergeCell ref="AJ60:AL60"/>
    <mergeCell ref="AD92:AE92"/>
    <mergeCell ref="AG92:AI92"/>
    <mergeCell ref="AJ92:AK92"/>
    <mergeCell ref="AM92:AO92"/>
    <mergeCell ref="AM96:AO96"/>
    <mergeCell ref="AP91:AQ91"/>
    <mergeCell ref="AA93:AC93"/>
    <mergeCell ref="AM58:AO58"/>
    <mergeCell ref="AM91:AO91"/>
    <mergeCell ref="AA62:AE62"/>
    <mergeCell ref="AG62:AK62"/>
    <mergeCell ref="AM62:AQ62"/>
    <mergeCell ref="AG93:AI93"/>
    <mergeCell ref="X60:Z60"/>
    <mergeCell ref="AP58:AQ58"/>
    <mergeCell ref="AM59:AO59"/>
    <mergeCell ref="AM29:AO29"/>
    <mergeCell ref="AP29:AQ29"/>
    <mergeCell ref="X28:Y28"/>
    <mergeCell ref="AA28:AC28"/>
    <mergeCell ref="AD28:AE28"/>
    <mergeCell ref="AG28:AI28"/>
    <mergeCell ref="AJ28:AK28"/>
    <mergeCell ref="U28:W28"/>
    <mergeCell ref="AG29:AI29"/>
    <mergeCell ref="AP28:AQ28"/>
    <mergeCell ref="U29:W29"/>
    <mergeCell ref="AA29:AC29"/>
    <mergeCell ref="AM28:AO28"/>
    <mergeCell ref="AD29:AE29"/>
    <mergeCell ref="AJ29:AK29"/>
    <mergeCell ref="R28:S28"/>
    <mergeCell ref="U53:W53"/>
    <mergeCell ref="AA53:AC53"/>
    <mergeCell ref="R29:S29"/>
    <mergeCell ref="X29:Y29"/>
    <mergeCell ref="AM26:AO26"/>
    <mergeCell ref="AP26:AQ26"/>
    <mergeCell ref="I27:K27"/>
    <mergeCell ref="L27:M27"/>
    <mergeCell ref="O27:Q27"/>
    <mergeCell ref="R27:S27"/>
    <mergeCell ref="U27:W27"/>
    <mergeCell ref="X27:Y27"/>
    <mergeCell ref="AA27:AC27"/>
    <mergeCell ref="AD27:AE27"/>
    <mergeCell ref="AG27:AI27"/>
    <mergeCell ref="AJ27:AK27"/>
    <mergeCell ref="AM27:AO27"/>
    <mergeCell ref="AP27:AQ27"/>
    <mergeCell ref="X26:Y26"/>
    <mergeCell ref="AA26:AC26"/>
    <mergeCell ref="AD26:AE26"/>
    <mergeCell ref="AG26:AI26"/>
    <mergeCell ref="AJ26:AK26"/>
    <mergeCell ref="I26:K26"/>
    <mergeCell ref="L26:M26"/>
    <mergeCell ref="O26:Q26"/>
    <mergeCell ref="R26:S26"/>
    <mergeCell ref="U26:W26"/>
    <mergeCell ref="AM24:AO24"/>
    <mergeCell ref="AP24:AQ24"/>
    <mergeCell ref="I25:K25"/>
    <mergeCell ref="O25:Q25"/>
    <mergeCell ref="U25:W25"/>
    <mergeCell ref="AA25:AC25"/>
    <mergeCell ref="AG25:AI25"/>
    <mergeCell ref="AM25:AO25"/>
    <mergeCell ref="AP25:AQ25"/>
    <mergeCell ref="X24:Y24"/>
    <mergeCell ref="AA24:AC24"/>
    <mergeCell ref="AD24:AE24"/>
    <mergeCell ref="AG24:AI24"/>
    <mergeCell ref="AJ24:AK24"/>
    <mergeCell ref="I24:K24"/>
    <mergeCell ref="L24:M24"/>
    <mergeCell ref="O24:Q24"/>
    <mergeCell ref="R24:S24"/>
    <mergeCell ref="U24:W24"/>
    <mergeCell ref="L25:M25"/>
    <mergeCell ref="R25:S25"/>
    <mergeCell ref="X25:Y25"/>
    <mergeCell ref="AD25:AE25"/>
    <mergeCell ref="AJ25:AK25"/>
    <mergeCell ref="AP22:AQ22"/>
    <mergeCell ref="I23:K23"/>
    <mergeCell ref="AM23:AO23"/>
    <mergeCell ref="AP23:AQ23"/>
    <mergeCell ref="X22:Y22"/>
    <mergeCell ref="AA22:AC22"/>
    <mergeCell ref="AD22:AE22"/>
    <mergeCell ref="AG22:AI22"/>
    <mergeCell ref="AJ22:AK22"/>
    <mergeCell ref="I22:K22"/>
    <mergeCell ref="L22:M22"/>
    <mergeCell ref="O22:Q22"/>
    <mergeCell ref="R22:S22"/>
    <mergeCell ref="U22:W22"/>
    <mergeCell ref="L23:M23"/>
    <mergeCell ref="O23:Q23"/>
    <mergeCell ref="R23:S23"/>
    <mergeCell ref="U23:W23"/>
    <mergeCell ref="X23:Y23"/>
    <mergeCell ref="AA23:AC23"/>
    <mergeCell ref="AD23:AE23"/>
    <mergeCell ref="AG23:AI23"/>
    <mergeCell ref="AJ23:AK23"/>
    <mergeCell ref="G4:G5"/>
    <mergeCell ref="AM63:AQ63"/>
    <mergeCell ref="G35:G36"/>
    <mergeCell ref="I31:M31"/>
    <mergeCell ref="O31:S31"/>
    <mergeCell ref="U31:Y31"/>
    <mergeCell ref="AA31:AE31"/>
    <mergeCell ref="I63:M63"/>
    <mergeCell ref="O63:S63"/>
    <mergeCell ref="AA63:AE63"/>
    <mergeCell ref="AG63:AK63"/>
    <mergeCell ref="O62:S62"/>
    <mergeCell ref="U62:Y62"/>
    <mergeCell ref="I32:M32"/>
    <mergeCell ref="O32:S32"/>
    <mergeCell ref="U32:Y32"/>
    <mergeCell ref="AA32:AE32"/>
    <mergeCell ref="AG32:AK32"/>
    <mergeCell ref="I62:M62"/>
    <mergeCell ref="AM22:AO22"/>
    <mergeCell ref="I28:K28"/>
    <mergeCell ref="L28:M28"/>
    <mergeCell ref="O28:Q28"/>
    <mergeCell ref="AM108:AQ108"/>
    <mergeCell ref="AG31:AK31"/>
    <mergeCell ref="AM31:AQ31"/>
    <mergeCell ref="AM32:AQ32"/>
    <mergeCell ref="AM107:AQ107"/>
    <mergeCell ref="AG108:AK108"/>
    <mergeCell ref="AG107:AK107"/>
    <mergeCell ref="AM53:AO53"/>
    <mergeCell ref="AP53:AQ53"/>
    <mergeCell ref="AM54:AO54"/>
    <mergeCell ref="AP54:AQ54"/>
    <mergeCell ref="AM55:AO55"/>
    <mergeCell ref="AP55:AQ55"/>
    <mergeCell ref="AM56:AO56"/>
    <mergeCell ref="AG53:AI53"/>
    <mergeCell ref="AP56:AQ56"/>
    <mergeCell ref="AM57:AO57"/>
    <mergeCell ref="AP57:AQ57"/>
    <mergeCell ref="AG58:AI58"/>
    <mergeCell ref="AP59:AQ59"/>
    <mergeCell ref="AG91:AI91"/>
    <mergeCell ref="AA108:AE108"/>
    <mergeCell ref="I107:M107"/>
    <mergeCell ref="O107:S107"/>
    <mergeCell ref="U107:Y107"/>
    <mergeCell ref="AA107:AE107"/>
    <mergeCell ref="I92:K92"/>
    <mergeCell ref="L92:M92"/>
    <mergeCell ref="O92:Q92"/>
    <mergeCell ref="R92:S92"/>
    <mergeCell ref="U92:W92"/>
    <mergeCell ref="X92:Y92"/>
    <mergeCell ref="AA92:AC92"/>
    <mergeCell ref="I93:K93"/>
    <mergeCell ref="O93:Q93"/>
    <mergeCell ref="U93:W93"/>
    <mergeCell ref="AA94:AC94"/>
    <mergeCell ref="I98:K98"/>
    <mergeCell ref="I97:K97"/>
    <mergeCell ref="I94:K94"/>
    <mergeCell ref="U105:W105"/>
    <mergeCell ref="U108:Y108"/>
    <mergeCell ref="X105:Y105"/>
    <mergeCell ref="L97:M97"/>
    <mergeCell ref="I96:K96"/>
    <mergeCell ref="I54:K54"/>
    <mergeCell ref="O54:Q54"/>
    <mergeCell ref="I56:K56"/>
    <mergeCell ref="O56:Q56"/>
    <mergeCell ref="O94:Q94"/>
    <mergeCell ref="I55:K55"/>
    <mergeCell ref="I91:K91"/>
    <mergeCell ref="L91:M91"/>
    <mergeCell ref="I53:K53"/>
    <mergeCell ref="L53:N53"/>
    <mergeCell ref="L55:N55"/>
    <mergeCell ref="L93:N93"/>
    <mergeCell ref="I29:K29"/>
    <mergeCell ref="O29:Q29"/>
    <mergeCell ref="O55:Q55"/>
    <mergeCell ref="L29:M29"/>
    <mergeCell ref="AA105:AC105"/>
    <mergeCell ref="AD105:AE105"/>
    <mergeCell ref="AM105:AO105"/>
    <mergeCell ref="AP105:AQ105"/>
    <mergeCell ref="I103:K103"/>
    <mergeCell ref="L103:M103"/>
    <mergeCell ref="U103:W103"/>
    <mergeCell ref="X103:Y103"/>
    <mergeCell ref="AA103:AC103"/>
    <mergeCell ref="AD103:AE103"/>
    <mergeCell ref="AM103:AO103"/>
    <mergeCell ref="AP103:AQ103"/>
    <mergeCell ref="I104:K104"/>
    <mergeCell ref="L104:M104"/>
    <mergeCell ref="U104:W104"/>
    <mergeCell ref="X104:Y104"/>
    <mergeCell ref="AA104:AC104"/>
    <mergeCell ref="AD104:AE104"/>
    <mergeCell ref="AM104:AO104"/>
    <mergeCell ref="AP104:AQ104"/>
    <mergeCell ref="AJ102:AL102"/>
    <mergeCell ref="AM102:AO102"/>
    <mergeCell ref="AP102:AQ102"/>
    <mergeCell ref="I102:K102"/>
    <mergeCell ref="L102:N102"/>
    <mergeCell ref="O102:Q102"/>
    <mergeCell ref="R102:T102"/>
    <mergeCell ref="U102:W102"/>
    <mergeCell ref="X102:Z102"/>
    <mergeCell ref="AA102:AC102"/>
    <mergeCell ref="AD102:AF102"/>
    <mergeCell ref="AG102:AI102"/>
    <mergeCell ref="AA120:AC120"/>
    <mergeCell ref="AD120:AE120"/>
    <mergeCell ref="AA121:AC121"/>
    <mergeCell ref="AD121:AE121"/>
    <mergeCell ref="AA122:AC122"/>
    <mergeCell ref="AD122:AE122"/>
    <mergeCell ref="I120:K120"/>
    <mergeCell ref="L120:M120"/>
    <mergeCell ref="I121:K121"/>
    <mergeCell ref="L121:M121"/>
    <mergeCell ref="I122:K122"/>
    <mergeCell ref="L122:M122"/>
    <mergeCell ref="O120:Q120"/>
    <mergeCell ref="R120:S120"/>
    <mergeCell ref="O121:Q121"/>
    <mergeCell ref="R121:S121"/>
    <mergeCell ref="O122:Q122"/>
    <mergeCell ref="R122:S122"/>
    <mergeCell ref="C111:C112"/>
    <mergeCell ref="D111:D112"/>
    <mergeCell ref="E111:E112"/>
    <mergeCell ref="U120:W120"/>
    <mergeCell ref="X120:Y120"/>
    <mergeCell ref="U121:W121"/>
    <mergeCell ref="X121:Y121"/>
    <mergeCell ref="U122:W122"/>
    <mergeCell ref="X122:Y122"/>
    <mergeCell ref="F111:F112"/>
    <mergeCell ref="AJ99:AK99"/>
    <mergeCell ref="AM99:AO99"/>
    <mergeCell ref="AP99:AQ99"/>
    <mergeCell ref="I100:K100"/>
    <mergeCell ref="L100:M100"/>
    <mergeCell ref="O100:Q100"/>
    <mergeCell ref="R100:S100"/>
    <mergeCell ref="U100:W100"/>
    <mergeCell ref="X100:Y100"/>
    <mergeCell ref="AA100:AC100"/>
    <mergeCell ref="AD100:AE100"/>
    <mergeCell ref="AG100:AI100"/>
    <mergeCell ref="AJ100:AK100"/>
    <mergeCell ref="AM100:AO100"/>
    <mergeCell ref="AP100:AQ100"/>
    <mergeCell ref="I99:K99"/>
    <mergeCell ref="L99:M99"/>
    <mergeCell ref="O99:Q99"/>
    <mergeCell ref="R99:S99"/>
    <mergeCell ref="U99:W99"/>
    <mergeCell ref="X99:Y99"/>
    <mergeCell ref="AA99:AC99"/>
    <mergeCell ref="AD99:AE99"/>
    <mergeCell ref="AG99:AI99"/>
    <mergeCell ref="R93:T93"/>
    <mergeCell ref="X93:Z93"/>
    <mergeCell ref="AD93:AF93"/>
    <mergeCell ref="AJ93:AL93"/>
    <mergeCell ref="L94:N94"/>
    <mergeCell ref="R94:T94"/>
    <mergeCell ref="X94:Z94"/>
    <mergeCell ref="AD94:AF94"/>
    <mergeCell ref="AJ94:AL94"/>
  </mergeCells>
  <phoneticPr fontId="6" type="noConversion"/>
  <conditionalFormatting sqref="X105:Y105 U105 AD105:AE105 AA105 L105:M105 I105 AP105:AQ105 AM105">
    <cfRule type="expression" dxfId="7038" priority="5836">
      <formula>I105&lt;20</formula>
    </cfRule>
    <cfRule type="expression" dxfId="7037" priority="5837">
      <formula>I105&gt;30</formula>
    </cfRule>
  </conditionalFormatting>
  <conditionalFormatting sqref="AM31 AG31 AA31 U31 I31 O31">
    <cfRule type="expression" dxfId="7036" priority="5684">
      <formula>I31&lt;300</formula>
    </cfRule>
    <cfRule type="expression" dxfId="7035" priority="5685">
      <formula>I31&gt;360</formula>
    </cfRule>
  </conditionalFormatting>
  <conditionalFormatting sqref="I107 AA107 U107 O107 AG107 AM107 AM32 AG32 AA32 U32 I32 O32">
    <cfRule type="expression" dxfId="7034" priority="5682">
      <formula>I32&lt;30</formula>
    </cfRule>
    <cfRule type="expression" dxfId="7033" priority="5683">
      <formula>I32&gt;50</formula>
    </cfRule>
  </conditionalFormatting>
  <conditionalFormatting sqref="I62 O62 T62:U62 AM62 AA62 AG62">
    <cfRule type="expression" dxfId="7032" priority="4776">
      <formula>I62&lt;100</formula>
    </cfRule>
    <cfRule type="expression" dxfId="7031" priority="4777">
      <formula>I62&gt;200</formula>
    </cfRule>
  </conditionalFormatting>
  <conditionalFormatting sqref="I63 O63 AA63 AG63 AM63 T63:U63">
    <cfRule type="expression" dxfId="7030" priority="9844">
      <formula>I63&lt;20</formula>
    </cfRule>
    <cfRule type="expression" dxfId="7029" priority="9844">
      <formula>I63&gt;50</formula>
    </cfRule>
  </conditionalFormatting>
  <conditionalFormatting sqref="I103 L103 U103 X103 AA103 AD103 AM103 AP103">
    <cfRule type="expression" dxfId="7028" priority="4288">
      <formula>I103&lt;24</formula>
    </cfRule>
    <cfRule type="expression" dxfId="7027" priority="4289">
      <formula>I103&gt;28</formula>
    </cfRule>
  </conditionalFormatting>
  <conditionalFormatting sqref="I104 L104 U104 X104 AA104 AD104 AM104 AP104">
    <cfRule type="expression" dxfId="7026" priority="4270">
      <formula>I104&lt;40</formula>
    </cfRule>
    <cfRule type="expression" dxfId="7025" priority="4271">
      <formula>I104&gt;60</formula>
    </cfRule>
  </conditionalFormatting>
  <conditionalFormatting sqref="I108 AA108 U108 O108 AG108 AM108">
    <cfRule type="expression" dxfId="7024" priority="3782">
      <formula>I108&lt;160</formula>
    </cfRule>
    <cfRule type="expression" dxfId="7023" priority="3783">
      <formula>I108&gt;220</formula>
    </cfRule>
  </conditionalFormatting>
  <conditionalFormatting sqref="L122:M122 I122">
    <cfRule type="expression" dxfId="7022" priority="3584">
      <formula>I122&lt;20</formula>
    </cfRule>
    <cfRule type="expression" dxfId="7021" priority="3585">
      <formula>I122&gt;30</formula>
    </cfRule>
  </conditionalFormatting>
  <conditionalFormatting sqref="I120 L120">
    <cfRule type="expression" dxfId="7020" priority="3582">
      <formula>I120&lt;24</formula>
    </cfRule>
    <cfRule type="expression" dxfId="7019" priority="3583">
      <formula>I120&gt;28</formula>
    </cfRule>
  </conditionalFormatting>
  <conditionalFormatting sqref="I121 L121">
    <cfRule type="expression" dxfId="7018" priority="3580">
      <formula>I121&lt;40</formula>
    </cfRule>
    <cfRule type="expression" dxfId="7017" priority="3581">
      <formula>I121&gt;60</formula>
    </cfRule>
  </conditionalFormatting>
  <conditionalFormatting sqref="R122:S122 O122">
    <cfRule type="expression" dxfId="7016" priority="3578">
      <formula>O122&lt;20</formula>
    </cfRule>
    <cfRule type="expression" dxfId="7015" priority="3579">
      <formula>O122&gt;30</formula>
    </cfRule>
  </conditionalFormatting>
  <conditionalFormatting sqref="O120 R120">
    <cfRule type="expression" dxfId="7014" priority="3576">
      <formula>O120&lt;24</formula>
    </cfRule>
    <cfRule type="expression" dxfId="7013" priority="3577">
      <formula>O120&gt;28</formula>
    </cfRule>
  </conditionalFormatting>
  <conditionalFormatting sqref="O121 R121">
    <cfRule type="expression" dxfId="7012" priority="3574">
      <formula>O121&lt;40</formula>
    </cfRule>
    <cfRule type="expression" dxfId="7011" priority="3575">
      <formula>O121&gt;60</formula>
    </cfRule>
  </conditionalFormatting>
  <conditionalFormatting sqref="X122:Y122 U122">
    <cfRule type="expression" dxfId="7010" priority="3572">
      <formula>U122&lt;20</formula>
    </cfRule>
    <cfRule type="expression" dxfId="7009" priority="3573">
      <formula>U122&gt;30</formula>
    </cfRule>
  </conditionalFormatting>
  <conditionalFormatting sqref="U120 X120">
    <cfRule type="expression" dxfId="7008" priority="3570">
      <formula>U120&lt;24</formula>
    </cfRule>
    <cfRule type="expression" dxfId="7007" priority="3571">
      <formula>U120&gt;28</formula>
    </cfRule>
  </conditionalFormatting>
  <conditionalFormatting sqref="U121 X121">
    <cfRule type="expression" dxfId="7006" priority="3568">
      <formula>U121&lt;40</formula>
    </cfRule>
    <cfRule type="expression" dxfId="7005" priority="3569">
      <formula>U121&gt;60</formula>
    </cfRule>
  </conditionalFormatting>
  <conditionalFormatting sqref="AD122:AE122 AA122">
    <cfRule type="expression" dxfId="7004" priority="3566">
      <formula>AA122&lt;20</formula>
    </cfRule>
    <cfRule type="expression" dxfId="7003" priority="3567">
      <formula>AA122&gt;30</formula>
    </cfRule>
  </conditionalFormatting>
  <conditionalFormatting sqref="AA120 AD120">
    <cfRule type="expression" dxfId="7002" priority="3564">
      <formula>AA120&lt;24</formula>
    </cfRule>
    <cfRule type="expression" dxfId="7001" priority="3565">
      <formula>AA120&gt;28</formula>
    </cfRule>
  </conditionalFormatting>
  <conditionalFormatting sqref="AA121 AD121">
    <cfRule type="expression" dxfId="7000" priority="3562">
      <formula>AA121&lt;40</formula>
    </cfRule>
    <cfRule type="expression" dxfId="6999" priority="3563">
      <formula>AA121&gt;60</formula>
    </cfRule>
  </conditionalFormatting>
  <conditionalFormatting sqref="I99">
    <cfRule type="expression" dxfId="6998" priority="3560">
      <formula>I99&lt;40</formula>
    </cfRule>
    <cfRule type="expression" dxfId="6997" priority="3561">
      <formula>I99&gt;60</formula>
    </cfRule>
  </conditionalFormatting>
  <conditionalFormatting sqref="I100">
    <cfRule type="expression" dxfId="6996" priority="3558">
      <formula>I100&lt;50</formula>
    </cfRule>
    <cfRule type="expression" dxfId="6995" priority="3559">
      <formula>I100&gt;70</formula>
    </cfRule>
  </conditionalFormatting>
  <conditionalFormatting sqref="L99">
    <cfRule type="expression" dxfId="6994" priority="3556">
      <formula>L99&lt;40</formula>
    </cfRule>
    <cfRule type="expression" dxfId="6993" priority="3557">
      <formula>L99&gt;60</formula>
    </cfRule>
  </conditionalFormatting>
  <conditionalFormatting sqref="L100">
    <cfRule type="expression" dxfId="6992" priority="3554">
      <formula>L100&lt;50</formula>
    </cfRule>
    <cfRule type="expression" dxfId="6991" priority="3555">
      <formula>L100&gt;70</formula>
    </cfRule>
  </conditionalFormatting>
  <conditionalFormatting sqref="O99">
    <cfRule type="expression" dxfId="6990" priority="3552">
      <formula>O99&lt;40</formula>
    </cfRule>
    <cfRule type="expression" dxfId="6989" priority="3553">
      <formula>O99&gt;60</formula>
    </cfRule>
  </conditionalFormatting>
  <conditionalFormatting sqref="O100">
    <cfRule type="expression" dxfId="6988" priority="3550">
      <formula>O100&lt;50</formula>
    </cfRule>
    <cfRule type="expression" dxfId="6987" priority="3551">
      <formula>O100&gt;70</formula>
    </cfRule>
  </conditionalFormatting>
  <conditionalFormatting sqref="R99">
    <cfRule type="expression" dxfId="6986" priority="3548">
      <formula>R99&lt;40</formula>
    </cfRule>
    <cfRule type="expression" dxfId="6985" priority="3549">
      <formula>R99&gt;60</formula>
    </cfRule>
  </conditionalFormatting>
  <conditionalFormatting sqref="R100">
    <cfRule type="expression" dxfId="6984" priority="3546">
      <formula>R100&lt;50</formula>
    </cfRule>
    <cfRule type="expression" dxfId="6983" priority="3547">
      <formula>R100&gt;70</formula>
    </cfRule>
  </conditionalFormatting>
  <conditionalFormatting sqref="U99">
    <cfRule type="expression" dxfId="6982" priority="3544">
      <formula>U99&lt;40</formula>
    </cfRule>
    <cfRule type="expression" dxfId="6981" priority="3545">
      <formula>U99&gt;60</formula>
    </cfRule>
  </conditionalFormatting>
  <conditionalFormatting sqref="U100">
    <cfRule type="expression" dxfId="6980" priority="3542">
      <formula>U100&lt;50</formula>
    </cfRule>
    <cfRule type="expression" dxfId="6979" priority="3543">
      <formula>U100&gt;70</formula>
    </cfRule>
  </conditionalFormatting>
  <conditionalFormatting sqref="X99">
    <cfRule type="expression" dxfId="6978" priority="3540">
      <formula>X99&lt;40</formula>
    </cfRule>
    <cfRule type="expression" dxfId="6977" priority="3541">
      <formula>X99&gt;60</formula>
    </cfRule>
  </conditionalFormatting>
  <conditionalFormatting sqref="X100">
    <cfRule type="expression" dxfId="6976" priority="3538">
      <formula>X100&lt;50</formula>
    </cfRule>
    <cfRule type="expression" dxfId="6975" priority="3539">
      <formula>X100&gt;70</formula>
    </cfRule>
  </conditionalFormatting>
  <conditionalFormatting sqref="AA99">
    <cfRule type="expression" dxfId="6974" priority="3536">
      <formula>AA99&lt;40</formula>
    </cfRule>
    <cfRule type="expression" dxfId="6973" priority="3537">
      <formula>AA99&gt;60</formula>
    </cfRule>
  </conditionalFormatting>
  <conditionalFormatting sqref="AA100">
    <cfRule type="expression" dxfId="6972" priority="3534">
      <formula>AA100&lt;50</formula>
    </cfRule>
    <cfRule type="expression" dxfId="6971" priority="3535">
      <formula>AA100&gt;70</formula>
    </cfRule>
  </conditionalFormatting>
  <conditionalFormatting sqref="AD99">
    <cfRule type="expression" dxfId="6970" priority="3532">
      <formula>AD99&lt;40</formula>
    </cfRule>
    <cfRule type="expression" dxfId="6969" priority="3533">
      <formula>AD99&gt;60</formula>
    </cfRule>
  </conditionalFormatting>
  <conditionalFormatting sqref="AD100">
    <cfRule type="expression" dxfId="6968" priority="3530">
      <formula>AD100&lt;50</formula>
    </cfRule>
    <cfRule type="expression" dxfId="6967" priority="3531">
      <formula>AD100&gt;70</formula>
    </cfRule>
  </conditionalFormatting>
  <conditionalFormatting sqref="AG99">
    <cfRule type="expression" dxfId="6966" priority="3528">
      <formula>AG99&lt;40</formula>
    </cfRule>
    <cfRule type="expression" dxfId="6965" priority="3529">
      <formula>AG99&gt;60</formula>
    </cfRule>
  </conditionalFormatting>
  <conditionalFormatting sqref="AG100">
    <cfRule type="expression" dxfId="6964" priority="3526">
      <formula>AG100&lt;50</formula>
    </cfRule>
    <cfRule type="expression" dxfId="6963" priority="3527">
      <formula>AG100&gt;70</formula>
    </cfRule>
  </conditionalFormatting>
  <conditionalFormatting sqref="AJ99">
    <cfRule type="expression" dxfId="6962" priority="3524">
      <formula>AJ99&lt;40</formula>
    </cfRule>
    <cfRule type="expression" dxfId="6961" priority="3525">
      <formula>AJ99&gt;60</formula>
    </cfRule>
  </conditionalFormatting>
  <conditionalFormatting sqref="AJ100">
    <cfRule type="expression" dxfId="6960" priority="3522">
      <formula>AJ100&lt;50</formula>
    </cfRule>
    <cfRule type="expression" dxfId="6959" priority="3523">
      <formula>AJ100&gt;70</formula>
    </cfRule>
  </conditionalFormatting>
  <conditionalFormatting sqref="AM99">
    <cfRule type="expression" dxfId="6958" priority="3520">
      <formula>AM99&lt;40</formula>
    </cfRule>
    <cfRule type="expression" dxfId="6957" priority="3521">
      <formula>AM99&gt;60</formula>
    </cfRule>
  </conditionalFormatting>
  <conditionalFormatting sqref="AM100">
    <cfRule type="expression" dxfId="6956" priority="3518">
      <formula>AM100&lt;50</formula>
    </cfRule>
    <cfRule type="expression" dxfId="6955" priority="3519">
      <formula>AM100&gt;70</formula>
    </cfRule>
  </conditionalFormatting>
  <conditionalFormatting sqref="AP99">
    <cfRule type="expression" dxfId="6954" priority="3516">
      <formula>AP99&lt;40</formula>
    </cfRule>
    <cfRule type="expression" dxfId="6953" priority="3517">
      <formula>AP99&gt;60</formula>
    </cfRule>
  </conditionalFormatting>
  <conditionalFormatting sqref="AP100">
    <cfRule type="expression" dxfId="6952" priority="3514">
      <formula>AP100&lt;50</formula>
    </cfRule>
    <cfRule type="expression" dxfId="6951" priority="3515">
      <formula>AP100&gt;70</formula>
    </cfRule>
  </conditionalFormatting>
  <conditionalFormatting sqref="I37">
    <cfRule type="cellIs" dxfId="6950" priority="2904" operator="between">
      <formula>60</formula>
      <formula>64.99</formula>
    </cfRule>
    <cfRule type="cellIs" dxfId="6949" priority="2905" operator="between">
      <formula>75.1</formula>
      <formula>80</formula>
    </cfRule>
    <cfRule type="expression" dxfId="6948" priority="2906">
      <formula>I37&lt;60</formula>
    </cfRule>
    <cfRule type="expression" dxfId="6947" priority="2907">
      <formula>I37&gt;80</formula>
    </cfRule>
  </conditionalFormatting>
  <conditionalFormatting sqref="I38">
    <cfRule type="cellIs" dxfId="6946" priority="2900" operator="between">
      <formula>60</formula>
      <formula>64.99</formula>
    </cfRule>
    <cfRule type="cellIs" dxfId="6945" priority="2901" operator="between">
      <formula>75.1</formula>
      <formula>80</formula>
    </cfRule>
    <cfRule type="expression" dxfId="6944" priority="2902">
      <formula>I38&lt;60</formula>
    </cfRule>
    <cfRule type="expression" dxfId="6943" priority="2903">
      <formula>I38&gt;80</formula>
    </cfRule>
  </conditionalFormatting>
  <conditionalFormatting sqref="I39">
    <cfRule type="cellIs" dxfId="6942" priority="2896" operator="between">
      <formula>50</formula>
      <formula>54.99</formula>
    </cfRule>
    <cfRule type="cellIs" dxfId="6941" priority="2897" operator="between">
      <formula>65.01</formula>
      <formula>70</formula>
    </cfRule>
    <cfRule type="expression" dxfId="6940" priority="2898">
      <formula>I39&lt;50</formula>
    </cfRule>
    <cfRule type="expression" dxfId="6939" priority="2899">
      <formula>I39&gt;70</formula>
    </cfRule>
  </conditionalFormatting>
  <conditionalFormatting sqref="I40">
    <cfRule type="cellIs" dxfId="6938" priority="2892" operator="between">
      <formula>50</formula>
      <formula>54.99</formula>
    </cfRule>
    <cfRule type="cellIs" dxfId="6937" priority="2893" operator="between">
      <formula>65.01</formula>
      <formula>70</formula>
    </cfRule>
    <cfRule type="expression" dxfId="6936" priority="2894">
      <formula>I40&lt;50</formula>
    </cfRule>
    <cfRule type="expression" dxfId="6935" priority="2895">
      <formula>I40&gt;70</formula>
    </cfRule>
  </conditionalFormatting>
  <conditionalFormatting sqref="I41">
    <cfRule type="expression" dxfId="6934" priority="2891" stopIfTrue="1">
      <formula>I41&lt;130</formula>
    </cfRule>
  </conditionalFormatting>
  <conditionalFormatting sqref="I41">
    <cfRule type="expression" dxfId="6933" priority="2890" stopIfTrue="1">
      <formula>I41&gt;150</formula>
    </cfRule>
  </conditionalFormatting>
  <conditionalFormatting sqref="I42">
    <cfRule type="cellIs" dxfId="6932" priority="2886" operator="between">
      <formula>8</formula>
      <formula>8.99</formula>
    </cfRule>
    <cfRule type="cellIs" dxfId="6931" priority="2887" operator="between">
      <formula>11.01</formula>
      <formula>12</formula>
    </cfRule>
    <cfRule type="expression" dxfId="6930" priority="2888">
      <formula>I42&lt;8</formula>
    </cfRule>
    <cfRule type="expression" dxfId="6929" priority="2889">
      <formula>I42&gt;12</formula>
    </cfRule>
  </conditionalFormatting>
  <conditionalFormatting sqref="I43">
    <cfRule type="cellIs" dxfId="6928" priority="2882" operator="between">
      <formula>6</formula>
      <formula>7.499</formula>
    </cfRule>
    <cfRule type="cellIs" dxfId="6927" priority="2883" operator="between">
      <formula>8.51</formula>
      <formula>10</formula>
    </cfRule>
    <cfRule type="expression" dxfId="6926" priority="2884">
      <formula>I43&lt;6</formula>
    </cfRule>
    <cfRule type="expression" dxfId="6925" priority="2885">
      <formula>I43&gt;10</formula>
    </cfRule>
  </conditionalFormatting>
  <conditionalFormatting sqref="I44">
    <cfRule type="cellIs" dxfId="6924" priority="2878" operator="between">
      <formula>2</formula>
      <formula>2.199</formula>
    </cfRule>
    <cfRule type="cellIs" dxfId="6923" priority="2879" operator="between">
      <formula>2.41</formula>
      <formula>2.5</formula>
    </cfRule>
    <cfRule type="expression" dxfId="6922" priority="2880">
      <formula>I44&lt;2</formula>
    </cfRule>
    <cfRule type="expression" dxfId="6921" priority="2881">
      <formula>I44&gt;2.5</formula>
    </cfRule>
  </conditionalFormatting>
  <conditionalFormatting sqref="I45">
    <cfRule type="cellIs" dxfId="6920" priority="2874" operator="between">
      <formula>30%</formula>
      <formula>39.99%</formula>
    </cfRule>
    <cfRule type="cellIs" dxfId="6919" priority="2875" operator="between">
      <formula>50.01%</formula>
      <formula>60%</formula>
    </cfRule>
    <cfRule type="expression" dxfId="6918" priority="2876">
      <formula>I45&lt;30%</formula>
    </cfRule>
    <cfRule type="expression" dxfId="6917" priority="2877">
      <formula>I45&gt;60%</formula>
    </cfRule>
  </conditionalFormatting>
  <conditionalFormatting sqref="I46">
    <cfRule type="cellIs" dxfId="6916" priority="2870" operator="between">
      <formula>15%</formula>
      <formula>16.99%</formula>
    </cfRule>
    <cfRule type="cellIs" dxfId="6915" priority="2871" operator="between">
      <formula>27.01%</formula>
      <formula>30%</formula>
    </cfRule>
    <cfRule type="expression" dxfId="6914" priority="2872">
      <formula>I46&lt;15%</formula>
    </cfRule>
    <cfRule type="expression" dxfId="6913" priority="2873">
      <formula>I46&gt;30%</formula>
    </cfRule>
  </conditionalFormatting>
  <conditionalFormatting sqref="O37">
    <cfRule type="cellIs" dxfId="6912" priority="2858" operator="between">
      <formula>60</formula>
      <formula>64.99</formula>
    </cfRule>
    <cfRule type="cellIs" dxfId="6911" priority="2859" operator="between">
      <formula>75.1</formula>
      <formula>80</formula>
    </cfRule>
    <cfRule type="expression" dxfId="6910" priority="2860">
      <formula>O37&lt;60</formula>
    </cfRule>
    <cfRule type="expression" dxfId="6909" priority="2861">
      <formula>O37&gt;80</formula>
    </cfRule>
  </conditionalFormatting>
  <conditionalFormatting sqref="O38">
    <cfRule type="cellIs" dxfId="6908" priority="2854" operator="between">
      <formula>60</formula>
      <formula>64.99</formula>
    </cfRule>
    <cfRule type="cellIs" dxfId="6907" priority="2855" operator="between">
      <formula>75.1</formula>
      <formula>80</formula>
    </cfRule>
    <cfRule type="expression" dxfId="6906" priority="2856">
      <formula>O38&lt;60</formula>
    </cfRule>
    <cfRule type="expression" dxfId="6905" priority="2857">
      <formula>O38&gt;80</formula>
    </cfRule>
  </conditionalFormatting>
  <conditionalFormatting sqref="O39">
    <cfRule type="cellIs" dxfId="6904" priority="2850" operator="between">
      <formula>50</formula>
      <formula>54.99</formula>
    </cfRule>
    <cfRule type="cellIs" dxfId="6903" priority="2851" operator="between">
      <formula>65.01</formula>
      <formula>70</formula>
    </cfRule>
    <cfRule type="expression" dxfId="6902" priority="2852">
      <formula>O39&lt;50</formula>
    </cfRule>
    <cfRule type="expression" dxfId="6901" priority="2853">
      <formula>O39&gt;70</formula>
    </cfRule>
  </conditionalFormatting>
  <conditionalFormatting sqref="O40">
    <cfRule type="cellIs" dxfId="6900" priority="2846" operator="between">
      <formula>50</formula>
      <formula>54.99</formula>
    </cfRule>
    <cfRule type="cellIs" dxfId="6899" priority="2847" operator="between">
      <formula>65.01</formula>
      <formula>70</formula>
    </cfRule>
    <cfRule type="expression" dxfId="6898" priority="2848">
      <formula>O40&lt;50</formula>
    </cfRule>
    <cfRule type="expression" dxfId="6897" priority="2849">
      <formula>O40&gt;70</formula>
    </cfRule>
  </conditionalFormatting>
  <conditionalFormatting sqref="O41">
    <cfRule type="expression" dxfId="6896" priority="2845" stopIfTrue="1">
      <formula>O41&lt;130</formula>
    </cfRule>
  </conditionalFormatting>
  <conditionalFormatting sqref="O41">
    <cfRule type="expression" dxfId="6895" priority="2844" stopIfTrue="1">
      <formula>O41&gt;150</formula>
    </cfRule>
  </conditionalFormatting>
  <conditionalFormatting sqref="O42">
    <cfRule type="cellIs" dxfId="6894" priority="2840" operator="between">
      <formula>8</formula>
      <formula>8.99</formula>
    </cfRule>
    <cfRule type="cellIs" dxfId="6893" priority="2841" operator="between">
      <formula>11.01</formula>
      <formula>12</formula>
    </cfRule>
    <cfRule type="expression" dxfId="6892" priority="2842">
      <formula>O42&lt;8</formula>
    </cfRule>
    <cfRule type="expression" dxfId="6891" priority="2843">
      <formula>O42&gt;12</formula>
    </cfRule>
  </conditionalFormatting>
  <conditionalFormatting sqref="O43">
    <cfRule type="cellIs" dxfId="6890" priority="2836" operator="between">
      <formula>6</formula>
      <formula>7.499</formula>
    </cfRule>
    <cfRule type="cellIs" dxfId="6889" priority="2837" operator="between">
      <formula>8.51</formula>
      <formula>10</formula>
    </cfRule>
    <cfRule type="expression" dxfId="6888" priority="2838">
      <formula>O43&lt;6</formula>
    </cfRule>
    <cfRule type="expression" dxfId="6887" priority="2839">
      <formula>O43&gt;10</formula>
    </cfRule>
  </conditionalFormatting>
  <conditionalFormatting sqref="O44">
    <cfRule type="cellIs" dxfId="6886" priority="2832" operator="between">
      <formula>2</formula>
      <formula>2.199</formula>
    </cfRule>
    <cfRule type="cellIs" dxfId="6885" priority="2833" operator="between">
      <formula>2.41</formula>
      <formula>2.5</formula>
    </cfRule>
    <cfRule type="expression" dxfId="6884" priority="2834">
      <formula>O44&lt;2</formula>
    </cfRule>
    <cfRule type="expression" dxfId="6883" priority="2835">
      <formula>O44&gt;2.5</formula>
    </cfRule>
  </conditionalFormatting>
  <conditionalFormatting sqref="O45">
    <cfRule type="cellIs" dxfId="6882" priority="2828" operator="between">
      <formula>30%</formula>
      <formula>39.99%</formula>
    </cfRule>
    <cfRule type="cellIs" dxfId="6881" priority="2829" operator="between">
      <formula>50.01%</formula>
      <formula>60%</formula>
    </cfRule>
    <cfRule type="expression" dxfId="6880" priority="2830">
      <formula>O45&lt;30%</formula>
    </cfRule>
    <cfRule type="expression" dxfId="6879" priority="2831">
      <formula>O45&gt;60%</formula>
    </cfRule>
  </conditionalFormatting>
  <conditionalFormatting sqref="O46">
    <cfRule type="cellIs" dxfId="6878" priority="2824" operator="between">
      <formula>15%</formula>
      <formula>16.99%</formula>
    </cfRule>
    <cfRule type="cellIs" dxfId="6877" priority="2825" operator="between">
      <formula>27.01%</formula>
      <formula>30%</formula>
    </cfRule>
    <cfRule type="expression" dxfId="6876" priority="2826">
      <formula>O46&lt;15%</formula>
    </cfRule>
    <cfRule type="expression" dxfId="6875" priority="2827">
      <formula>O46&gt;30%</formula>
    </cfRule>
  </conditionalFormatting>
  <conditionalFormatting sqref="U37">
    <cfRule type="cellIs" dxfId="6874" priority="2816" operator="between">
      <formula>60</formula>
      <formula>64.99</formula>
    </cfRule>
    <cfRule type="cellIs" dxfId="6873" priority="2817" operator="between">
      <formula>75.1</formula>
      <formula>80</formula>
    </cfRule>
    <cfRule type="expression" dxfId="6872" priority="2818">
      <formula>U37&lt;60</formula>
    </cfRule>
    <cfRule type="expression" dxfId="6871" priority="2819">
      <formula>U37&gt;80</formula>
    </cfRule>
  </conditionalFormatting>
  <conditionalFormatting sqref="U38">
    <cfRule type="cellIs" dxfId="6870" priority="2812" operator="between">
      <formula>60</formula>
      <formula>64.99</formula>
    </cfRule>
    <cfRule type="cellIs" dxfId="6869" priority="2813" operator="between">
      <formula>75.1</formula>
      <formula>80</formula>
    </cfRule>
    <cfRule type="expression" dxfId="6868" priority="2814">
      <formula>U38&lt;60</formula>
    </cfRule>
    <cfRule type="expression" dxfId="6867" priority="2815">
      <formula>U38&gt;80</formula>
    </cfRule>
  </conditionalFormatting>
  <conditionalFormatting sqref="U39">
    <cfRule type="cellIs" dxfId="6866" priority="2808" operator="between">
      <formula>50</formula>
      <formula>54.99</formula>
    </cfRule>
    <cfRule type="cellIs" dxfId="6865" priority="2809" operator="between">
      <formula>65.01</formula>
      <formula>70</formula>
    </cfRule>
    <cfRule type="expression" dxfId="6864" priority="2810">
      <formula>U39&lt;50</formula>
    </cfRule>
    <cfRule type="expression" dxfId="6863" priority="2811">
      <formula>U39&gt;70</formula>
    </cfRule>
  </conditionalFormatting>
  <conditionalFormatting sqref="U40">
    <cfRule type="cellIs" dxfId="6862" priority="2804" operator="between">
      <formula>50</formula>
      <formula>54.99</formula>
    </cfRule>
    <cfRule type="cellIs" dxfId="6861" priority="2805" operator="between">
      <formula>65.01</formula>
      <formula>70</formula>
    </cfRule>
    <cfRule type="expression" dxfId="6860" priority="2806">
      <formula>U40&lt;50</formula>
    </cfRule>
    <cfRule type="expression" dxfId="6859" priority="2807">
      <formula>U40&gt;70</formula>
    </cfRule>
  </conditionalFormatting>
  <conditionalFormatting sqref="U41">
    <cfRule type="expression" dxfId="6858" priority="2803" stopIfTrue="1">
      <formula>U41&lt;130</formula>
    </cfRule>
  </conditionalFormatting>
  <conditionalFormatting sqref="U41">
    <cfRule type="expression" dxfId="6857" priority="2802" stopIfTrue="1">
      <formula>U41&gt;150</formula>
    </cfRule>
  </conditionalFormatting>
  <conditionalFormatting sqref="U42">
    <cfRule type="cellIs" dxfId="6856" priority="2798" operator="between">
      <formula>8</formula>
      <formula>8.99</formula>
    </cfRule>
    <cfRule type="cellIs" dxfId="6855" priority="2799" operator="between">
      <formula>11.01</formula>
      <formula>12</formula>
    </cfRule>
    <cfRule type="expression" dxfId="6854" priority="2800">
      <formula>U42&lt;8</formula>
    </cfRule>
    <cfRule type="expression" dxfId="6853" priority="2801">
      <formula>U42&gt;12</formula>
    </cfRule>
  </conditionalFormatting>
  <conditionalFormatting sqref="U43">
    <cfRule type="cellIs" dxfId="6852" priority="2794" operator="between">
      <formula>6</formula>
      <formula>7.499</formula>
    </cfRule>
    <cfRule type="cellIs" dxfId="6851" priority="2795" operator="between">
      <formula>8.51</formula>
      <formula>10</formula>
    </cfRule>
    <cfRule type="expression" dxfId="6850" priority="2796">
      <formula>U43&lt;6</formula>
    </cfRule>
    <cfRule type="expression" dxfId="6849" priority="2797">
      <formula>U43&gt;10</formula>
    </cfRule>
  </conditionalFormatting>
  <conditionalFormatting sqref="U44">
    <cfRule type="cellIs" dxfId="6848" priority="2790" operator="between">
      <formula>2</formula>
      <formula>2.199</formula>
    </cfRule>
    <cfRule type="cellIs" dxfId="6847" priority="2791" operator="between">
      <formula>2.41</formula>
      <formula>2.5</formula>
    </cfRule>
    <cfRule type="expression" dxfId="6846" priority="2792">
      <formula>U44&lt;2</formula>
    </cfRule>
    <cfRule type="expression" dxfId="6845" priority="2793">
      <formula>U44&gt;2.5</formula>
    </cfRule>
  </conditionalFormatting>
  <conditionalFormatting sqref="U45">
    <cfRule type="cellIs" dxfId="6844" priority="2786" operator="between">
      <formula>30%</formula>
      <formula>39.99%</formula>
    </cfRule>
    <cfRule type="cellIs" dxfId="6843" priority="2787" operator="between">
      <formula>50.01%</formula>
      <formula>60%</formula>
    </cfRule>
    <cfRule type="expression" dxfId="6842" priority="2788">
      <formula>U45&lt;30%</formula>
    </cfRule>
    <cfRule type="expression" dxfId="6841" priority="2789">
      <formula>U45&gt;60%</formula>
    </cfRule>
  </conditionalFormatting>
  <conditionalFormatting sqref="U46">
    <cfRule type="cellIs" dxfId="6840" priority="2782" operator="between">
      <formula>15%</formula>
      <formula>16.99%</formula>
    </cfRule>
    <cfRule type="cellIs" dxfId="6839" priority="2783" operator="between">
      <formula>27.01%</formula>
      <formula>30%</formula>
    </cfRule>
    <cfRule type="expression" dxfId="6838" priority="2784">
      <formula>U46&lt;15%</formula>
    </cfRule>
    <cfRule type="expression" dxfId="6837" priority="2785">
      <formula>U46&gt;30%</formula>
    </cfRule>
  </conditionalFormatting>
  <conditionalFormatting sqref="AA37">
    <cfRule type="cellIs" dxfId="6836" priority="2774" operator="between">
      <formula>60</formula>
      <formula>64.99</formula>
    </cfRule>
    <cfRule type="cellIs" dxfId="6835" priority="2775" operator="between">
      <formula>75.1</formula>
      <formula>80</formula>
    </cfRule>
    <cfRule type="expression" dxfId="6834" priority="2776">
      <formula>AA37&lt;60</formula>
    </cfRule>
    <cfRule type="expression" dxfId="6833" priority="2777">
      <formula>AA37&gt;80</formula>
    </cfRule>
  </conditionalFormatting>
  <conditionalFormatting sqref="AA38">
    <cfRule type="cellIs" dxfId="6832" priority="2770" operator="between">
      <formula>60</formula>
      <formula>64.99</formula>
    </cfRule>
    <cfRule type="cellIs" dxfId="6831" priority="2771" operator="between">
      <formula>75.1</formula>
      <formula>80</formula>
    </cfRule>
    <cfRule type="expression" dxfId="6830" priority="2772">
      <formula>AA38&lt;60</formula>
    </cfRule>
    <cfRule type="expression" dxfId="6829" priority="2773">
      <formula>AA38&gt;80</formula>
    </cfRule>
  </conditionalFormatting>
  <conditionalFormatting sqref="AA39">
    <cfRule type="cellIs" dxfId="6828" priority="2766" operator="between">
      <formula>50</formula>
      <formula>54.99</formula>
    </cfRule>
    <cfRule type="cellIs" dxfId="6827" priority="2767" operator="between">
      <formula>65.01</formula>
      <formula>70</formula>
    </cfRule>
    <cfRule type="expression" dxfId="6826" priority="2768">
      <formula>AA39&lt;50</formula>
    </cfRule>
    <cfRule type="expression" dxfId="6825" priority="2769">
      <formula>AA39&gt;70</formula>
    </cfRule>
  </conditionalFormatting>
  <conditionalFormatting sqref="AA40">
    <cfRule type="cellIs" dxfId="6824" priority="2762" operator="between">
      <formula>50</formula>
      <formula>54.99</formula>
    </cfRule>
    <cfRule type="cellIs" dxfId="6823" priority="2763" operator="between">
      <formula>65.01</formula>
      <formula>70</formula>
    </cfRule>
    <cfRule type="expression" dxfId="6822" priority="2764">
      <formula>AA40&lt;50</formula>
    </cfRule>
    <cfRule type="expression" dxfId="6821" priority="2765">
      <formula>AA40&gt;70</formula>
    </cfRule>
  </conditionalFormatting>
  <conditionalFormatting sqref="AA41">
    <cfRule type="expression" dxfId="6820" priority="2761" stopIfTrue="1">
      <formula>AA41&lt;130</formula>
    </cfRule>
  </conditionalFormatting>
  <conditionalFormatting sqref="AA41">
    <cfRule type="expression" dxfId="6819" priority="2760" stopIfTrue="1">
      <formula>AA41&gt;150</formula>
    </cfRule>
  </conditionalFormatting>
  <conditionalFormatting sqref="AA42">
    <cfRule type="cellIs" dxfId="6818" priority="2756" operator="between">
      <formula>8</formula>
      <formula>8.99</formula>
    </cfRule>
    <cfRule type="cellIs" dxfId="6817" priority="2757" operator="between">
      <formula>11.01</formula>
      <formula>12</formula>
    </cfRule>
    <cfRule type="expression" dxfId="6816" priority="2758">
      <formula>AA42&lt;8</formula>
    </cfRule>
    <cfRule type="expression" dxfId="6815" priority="2759">
      <formula>AA42&gt;12</formula>
    </cfRule>
  </conditionalFormatting>
  <conditionalFormatting sqref="AA43">
    <cfRule type="cellIs" dxfId="6814" priority="2752" operator="between">
      <formula>6</formula>
      <formula>7.499</formula>
    </cfRule>
    <cfRule type="cellIs" dxfId="6813" priority="2753" operator="between">
      <formula>8.51</formula>
      <formula>10</formula>
    </cfRule>
    <cfRule type="expression" dxfId="6812" priority="2754">
      <formula>AA43&lt;6</formula>
    </cfRule>
    <cfRule type="expression" dxfId="6811" priority="2755">
      <formula>AA43&gt;10</formula>
    </cfRule>
  </conditionalFormatting>
  <conditionalFormatting sqref="AA44">
    <cfRule type="cellIs" dxfId="6810" priority="2748" operator="between">
      <formula>2</formula>
      <formula>2.199</formula>
    </cfRule>
    <cfRule type="cellIs" dxfId="6809" priority="2749" operator="between">
      <formula>2.41</formula>
      <formula>2.5</formula>
    </cfRule>
    <cfRule type="expression" dxfId="6808" priority="2750">
      <formula>AA44&lt;2</formula>
    </cfRule>
    <cfRule type="expression" dxfId="6807" priority="2751">
      <formula>AA44&gt;2.5</formula>
    </cfRule>
  </conditionalFormatting>
  <conditionalFormatting sqref="AA45">
    <cfRule type="cellIs" dxfId="6806" priority="2744" operator="between">
      <formula>30%</formula>
      <formula>39.99%</formula>
    </cfRule>
    <cfRule type="cellIs" dxfId="6805" priority="2745" operator="between">
      <formula>50.01%</formula>
      <formula>60%</formula>
    </cfRule>
    <cfRule type="expression" dxfId="6804" priority="2746">
      <formula>AA45&lt;30%</formula>
    </cfRule>
    <cfRule type="expression" dxfId="6803" priority="2747">
      <formula>AA45&gt;60%</formula>
    </cfRule>
  </conditionalFormatting>
  <conditionalFormatting sqref="AA46">
    <cfRule type="cellIs" dxfId="6802" priority="2740" operator="between">
      <formula>15%</formula>
      <formula>16.99%</formula>
    </cfRule>
    <cfRule type="cellIs" dxfId="6801" priority="2741" operator="between">
      <formula>27.01%</formula>
      <formula>30%</formula>
    </cfRule>
    <cfRule type="expression" dxfId="6800" priority="2742">
      <formula>AA46&lt;15%</formula>
    </cfRule>
    <cfRule type="expression" dxfId="6799" priority="2743">
      <formula>AA46&gt;30%</formula>
    </cfRule>
  </conditionalFormatting>
  <conditionalFormatting sqref="AG37">
    <cfRule type="cellIs" dxfId="6798" priority="2732" operator="between">
      <formula>60</formula>
      <formula>64.99</formula>
    </cfRule>
    <cfRule type="cellIs" dxfId="6797" priority="2733" operator="between">
      <formula>75.1</formula>
      <formula>80</formula>
    </cfRule>
    <cfRule type="expression" dxfId="6796" priority="2734">
      <formula>AG37&lt;60</formula>
    </cfRule>
    <cfRule type="expression" dxfId="6795" priority="2735">
      <formula>AG37&gt;80</formula>
    </cfRule>
  </conditionalFormatting>
  <conditionalFormatting sqref="AG38">
    <cfRule type="cellIs" dxfId="6794" priority="2728" operator="between">
      <formula>60</formula>
      <formula>64.99</formula>
    </cfRule>
    <cfRule type="cellIs" dxfId="6793" priority="2729" operator="between">
      <formula>75.1</formula>
      <formula>80</formula>
    </cfRule>
    <cfRule type="expression" dxfId="6792" priority="2730">
      <formula>AG38&lt;60</formula>
    </cfRule>
    <cfRule type="expression" dxfId="6791" priority="2731">
      <formula>AG38&gt;80</formula>
    </cfRule>
  </conditionalFormatting>
  <conditionalFormatting sqref="AG39">
    <cfRule type="cellIs" dxfId="6790" priority="2724" operator="between">
      <formula>50</formula>
      <formula>54.99</formula>
    </cfRule>
    <cfRule type="cellIs" dxfId="6789" priority="2725" operator="between">
      <formula>65.01</formula>
      <formula>70</formula>
    </cfRule>
    <cfRule type="expression" dxfId="6788" priority="2726">
      <formula>AG39&lt;50</formula>
    </cfRule>
    <cfRule type="expression" dxfId="6787" priority="2727">
      <formula>AG39&gt;70</formula>
    </cfRule>
  </conditionalFormatting>
  <conditionalFormatting sqref="AG40">
    <cfRule type="cellIs" dxfId="6786" priority="2720" operator="between">
      <formula>50</formula>
      <formula>54.99</formula>
    </cfRule>
    <cfRule type="cellIs" dxfId="6785" priority="2721" operator="between">
      <formula>65.01</formula>
      <formula>70</formula>
    </cfRule>
    <cfRule type="expression" dxfId="6784" priority="2722">
      <formula>AG40&lt;50</formula>
    </cfRule>
    <cfRule type="expression" dxfId="6783" priority="2723">
      <formula>AG40&gt;70</formula>
    </cfRule>
  </conditionalFormatting>
  <conditionalFormatting sqref="AG41">
    <cfRule type="expression" dxfId="6782" priority="2719" stopIfTrue="1">
      <formula>AG41&lt;130</formula>
    </cfRule>
  </conditionalFormatting>
  <conditionalFormatting sqref="AG41">
    <cfRule type="expression" dxfId="6781" priority="2718" stopIfTrue="1">
      <formula>AG41&gt;150</formula>
    </cfRule>
  </conditionalFormatting>
  <conditionalFormatting sqref="AG42">
    <cfRule type="cellIs" dxfId="6780" priority="2714" operator="between">
      <formula>8</formula>
      <formula>8.99</formula>
    </cfRule>
    <cfRule type="cellIs" dxfId="6779" priority="2715" operator="between">
      <formula>11.01</formula>
      <formula>12</formula>
    </cfRule>
    <cfRule type="expression" dxfId="6778" priority="2716">
      <formula>AG42&lt;8</formula>
    </cfRule>
    <cfRule type="expression" dxfId="6777" priority="2717">
      <formula>AG42&gt;12</formula>
    </cfRule>
  </conditionalFormatting>
  <conditionalFormatting sqref="AG43">
    <cfRule type="cellIs" dxfId="6776" priority="2710" operator="between">
      <formula>6</formula>
      <formula>7.499</formula>
    </cfRule>
    <cfRule type="cellIs" dxfId="6775" priority="2711" operator="between">
      <formula>8.51</formula>
      <formula>10</formula>
    </cfRule>
    <cfRule type="expression" dxfId="6774" priority="2712">
      <formula>AG43&lt;6</formula>
    </cfRule>
    <cfRule type="expression" dxfId="6773" priority="2713">
      <formula>AG43&gt;10</formula>
    </cfRule>
  </conditionalFormatting>
  <conditionalFormatting sqref="AG44">
    <cfRule type="cellIs" dxfId="6772" priority="2706" operator="between">
      <formula>2</formula>
      <formula>2.199</formula>
    </cfRule>
    <cfRule type="cellIs" dxfId="6771" priority="2707" operator="between">
      <formula>2.41</formula>
      <formula>2.5</formula>
    </cfRule>
    <cfRule type="expression" dxfId="6770" priority="2708">
      <formula>AG44&lt;2</formula>
    </cfRule>
    <cfRule type="expression" dxfId="6769" priority="2709">
      <formula>AG44&gt;2.5</formula>
    </cfRule>
  </conditionalFormatting>
  <conditionalFormatting sqref="AG45">
    <cfRule type="cellIs" dxfId="6768" priority="2702" operator="between">
      <formula>30%</formula>
      <formula>39.99%</formula>
    </cfRule>
    <cfRule type="cellIs" dxfId="6767" priority="2703" operator="between">
      <formula>50.01%</formula>
      <formula>60%</formula>
    </cfRule>
    <cfRule type="expression" dxfId="6766" priority="2704">
      <formula>AG45&lt;30%</formula>
    </cfRule>
    <cfRule type="expression" dxfId="6765" priority="2705">
      <formula>AG45&gt;60%</formula>
    </cfRule>
  </conditionalFormatting>
  <conditionalFormatting sqref="AG46">
    <cfRule type="cellIs" dxfId="6764" priority="2698" operator="between">
      <formula>15%</formula>
      <formula>16.99%</formula>
    </cfRule>
    <cfRule type="cellIs" dxfId="6763" priority="2699" operator="between">
      <formula>27.01%</formula>
      <formula>30%</formula>
    </cfRule>
    <cfRule type="expression" dxfId="6762" priority="2700">
      <formula>AG46&lt;15%</formula>
    </cfRule>
    <cfRule type="expression" dxfId="6761" priority="2701">
      <formula>AG46&gt;30%</formula>
    </cfRule>
  </conditionalFormatting>
  <conditionalFormatting sqref="AM37">
    <cfRule type="cellIs" dxfId="6760" priority="2690" operator="between">
      <formula>60</formula>
      <formula>64.99</formula>
    </cfRule>
    <cfRule type="cellIs" dxfId="6759" priority="2691" operator="between">
      <formula>75.1</formula>
      <formula>80</formula>
    </cfRule>
    <cfRule type="expression" dxfId="6758" priority="2692">
      <formula>AM37&lt;60</formula>
    </cfRule>
    <cfRule type="expression" dxfId="6757" priority="2693">
      <formula>AM37&gt;80</formula>
    </cfRule>
  </conditionalFormatting>
  <conditionalFormatting sqref="AM38">
    <cfRule type="cellIs" dxfId="6756" priority="2686" operator="between">
      <formula>60</formula>
      <formula>64.99</formula>
    </cfRule>
    <cfRule type="cellIs" dxfId="6755" priority="2687" operator="between">
      <formula>75.1</formula>
      <formula>80</formula>
    </cfRule>
    <cfRule type="expression" dxfId="6754" priority="2688">
      <formula>AM38&lt;60</formula>
    </cfRule>
    <cfRule type="expression" dxfId="6753" priority="2689">
      <formula>AM38&gt;80</formula>
    </cfRule>
  </conditionalFormatting>
  <conditionalFormatting sqref="AM39">
    <cfRule type="cellIs" dxfId="6752" priority="2682" operator="between">
      <formula>50</formula>
      <formula>54.99</formula>
    </cfRule>
    <cfRule type="cellIs" dxfId="6751" priority="2683" operator="between">
      <formula>65.01</formula>
      <formula>70</formula>
    </cfRule>
    <cfRule type="expression" dxfId="6750" priority="2684">
      <formula>AM39&lt;50</formula>
    </cfRule>
    <cfRule type="expression" dxfId="6749" priority="2685">
      <formula>AM39&gt;70</formula>
    </cfRule>
  </conditionalFormatting>
  <conditionalFormatting sqref="AM40">
    <cfRule type="cellIs" dxfId="6748" priority="2678" operator="between">
      <formula>50</formula>
      <formula>54.99</formula>
    </cfRule>
    <cfRule type="cellIs" dxfId="6747" priority="2679" operator="between">
      <formula>65.01</formula>
      <formula>70</formula>
    </cfRule>
    <cfRule type="expression" dxfId="6746" priority="2680">
      <formula>AM40&lt;50</formula>
    </cfRule>
    <cfRule type="expression" dxfId="6745" priority="2681">
      <formula>AM40&gt;70</formula>
    </cfRule>
  </conditionalFormatting>
  <conditionalFormatting sqref="AM41">
    <cfRule type="expression" dxfId="6744" priority="2677" stopIfTrue="1">
      <formula>AM41&lt;130</formula>
    </cfRule>
  </conditionalFormatting>
  <conditionalFormatting sqref="AM41">
    <cfRule type="expression" dxfId="6743" priority="2676" stopIfTrue="1">
      <formula>AM41&gt;150</formula>
    </cfRule>
  </conditionalFormatting>
  <conditionalFormatting sqref="AM42">
    <cfRule type="cellIs" dxfId="6742" priority="2672" operator="between">
      <formula>8</formula>
      <formula>8.99</formula>
    </cfRule>
    <cfRule type="cellIs" dxfId="6741" priority="2673" operator="between">
      <formula>11.01</formula>
      <formula>12</formula>
    </cfRule>
    <cfRule type="expression" dxfId="6740" priority="2674">
      <formula>AM42&lt;8</formula>
    </cfRule>
    <cfRule type="expression" dxfId="6739" priority="2675">
      <formula>AM42&gt;12</formula>
    </cfRule>
  </conditionalFormatting>
  <conditionalFormatting sqref="AM43">
    <cfRule type="cellIs" dxfId="6738" priority="2668" operator="between">
      <formula>6</formula>
      <formula>7.499</formula>
    </cfRule>
    <cfRule type="cellIs" dxfId="6737" priority="2669" operator="between">
      <formula>8.51</formula>
      <formula>10</formula>
    </cfRule>
    <cfRule type="expression" dxfId="6736" priority="2670">
      <formula>AM43&lt;6</formula>
    </cfRule>
    <cfRule type="expression" dxfId="6735" priority="2671">
      <formula>AM43&gt;10</formula>
    </cfRule>
  </conditionalFormatting>
  <conditionalFormatting sqref="AM44">
    <cfRule type="cellIs" dxfId="6734" priority="2664" operator="between">
      <formula>2</formula>
      <formula>2.199</formula>
    </cfRule>
    <cfRule type="cellIs" dxfId="6733" priority="2665" operator="between">
      <formula>2.41</formula>
      <formula>2.5</formula>
    </cfRule>
    <cfRule type="expression" dxfId="6732" priority="2666">
      <formula>AM44&lt;2</formula>
    </cfRule>
    <cfRule type="expression" dxfId="6731" priority="2667">
      <formula>AM44&gt;2.5</formula>
    </cfRule>
  </conditionalFormatting>
  <conditionalFormatting sqref="AM45">
    <cfRule type="cellIs" dxfId="6730" priority="2660" operator="between">
      <formula>30%</formula>
      <formula>39.99%</formula>
    </cfRule>
    <cfRule type="cellIs" dxfId="6729" priority="2661" operator="between">
      <formula>50.01%</formula>
      <formula>60%</formula>
    </cfRule>
    <cfRule type="expression" dxfId="6728" priority="2662">
      <formula>AM45&lt;30%</formula>
    </cfRule>
    <cfRule type="expression" dxfId="6727" priority="2663">
      <formula>AM45&gt;60%</formula>
    </cfRule>
  </conditionalFormatting>
  <conditionalFormatting sqref="AM46">
    <cfRule type="cellIs" dxfId="6726" priority="2656" operator="between">
      <formula>15%</formula>
      <formula>16.99%</formula>
    </cfRule>
    <cfRule type="cellIs" dxfId="6725" priority="2657" operator="between">
      <formula>27.01%</formula>
      <formula>30%</formula>
    </cfRule>
    <cfRule type="expression" dxfId="6724" priority="2658">
      <formula>AM46&lt;15%</formula>
    </cfRule>
    <cfRule type="expression" dxfId="6723" priority="2659">
      <formula>AM46&gt;30%</formula>
    </cfRule>
  </conditionalFormatting>
  <conditionalFormatting sqref="I86">
    <cfRule type="expression" dxfId="6722" priority="2092" stopIfTrue="1">
      <formula>I86&gt;130</formula>
    </cfRule>
    <cfRule type="expression" dxfId="6721" priority="2093" stopIfTrue="1">
      <formula>I86&lt;120</formula>
    </cfRule>
  </conditionalFormatting>
  <conditionalFormatting sqref="I88">
    <cfRule type="cellIs" dxfId="6720" priority="2089" operator="between">
      <formula>3</formula>
      <formula>4.099</formula>
    </cfRule>
    <cfRule type="expression" dxfId="6719" priority="2090">
      <formula>I88&lt;3</formula>
    </cfRule>
    <cfRule type="expression" dxfId="6718" priority="2091">
      <formula>I88&gt;4.5</formula>
    </cfRule>
  </conditionalFormatting>
  <conditionalFormatting sqref="U86">
    <cfRule type="expression" dxfId="6717" priority="2083" stopIfTrue="1">
      <formula>U86&gt;130</formula>
    </cfRule>
    <cfRule type="expression" dxfId="6716" priority="2084" stopIfTrue="1">
      <formula>U86&lt;120</formula>
    </cfRule>
  </conditionalFormatting>
  <conditionalFormatting sqref="U88">
    <cfRule type="cellIs" dxfId="6715" priority="2080" operator="between">
      <formula>3</formula>
      <formula>4.099</formula>
    </cfRule>
    <cfRule type="expression" dxfId="6714" priority="2081">
      <formula>U88&lt;3</formula>
    </cfRule>
    <cfRule type="expression" dxfId="6713" priority="2082">
      <formula>U88&gt;4.5</formula>
    </cfRule>
  </conditionalFormatting>
  <conditionalFormatting sqref="AM86">
    <cfRule type="expression" dxfId="6712" priority="2074" stopIfTrue="1">
      <formula>AM86&gt;130</formula>
    </cfRule>
    <cfRule type="expression" dxfId="6711" priority="2075" stopIfTrue="1">
      <formula>AM86&lt;120</formula>
    </cfRule>
  </conditionalFormatting>
  <conditionalFormatting sqref="AM88">
    <cfRule type="cellIs" dxfId="6710" priority="2071" operator="between">
      <formula>3</formula>
      <formula>4.099</formula>
    </cfRule>
    <cfRule type="expression" dxfId="6709" priority="2072">
      <formula>AM88&lt;3</formula>
    </cfRule>
    <cfRule type="expression" dxfId="6708" priority="2073">
      <formula>AM88&gt;4.5</formula>
    </cfRule>
  </conditionalFormatting>
  <conditionalFormatting sqref="AA88">
    <cfRule type="cellIs" dxfId="6707" priority="2062" operator="between">
      <formula>3</formula>
      <formula>4.099</formula>
    </cfRule>
    <cfRule type="expression" dxfId="6706" priority="2063">
      <formula>AA88&lt;3</formula>
    </cfRule>
    <cfRule type="expression" dxfId="6705" priority="2064">
      <formula>AA88&gt;4.5</formula>
    </cfRule>
  </conditionalFormatting>
  <conditionalFormatting sqref="I91">
    <cfRule type="cellIs" dxfId="6704" priority="2058" operator="between">
      <formula>65</formula>
      <formula>66.9</formula>
    </cfRule>
    <cfRule type="cellIs" dxfId="6703" priority="2059" operator="between">
      <formula>73.1</formula>
      <formula>75</formula>
    </cfRule>
    <cfRule type="expression" dxfId="6702" priority="2060">
      <formula>I91&lt;65</formula>
    </cfRule>
    <cfRule type="expression" dxfId="6701" priority="2061">
      <formula>I91&gt;75</formula>
    </cfRule>
  </conditionalFormatting>
  <conditionalFormatting sqref="I92">
    <cfRule type="cellIs" dxfId="6700" priority="2054" operator="between">
      <formula>65</formula>
      <formula>66.9</formula>
    </cfRule>
    <cfRule type="cellIs" dxfId="6699" priority="2055" operator="between">
      <formula>73.1</formula>
      <formula>75</formula>
    </cfRule>
    <cfRule type="expression" dxfId="6698" priority="2056">
      <formula>I92&lt;65</formula>
    </cfRule>
    <cfRule type="expression" dxfId="6697" priority="2057">
      <formula>I92&gt;75</formula>
    </cfRule>
  </conditionalFormatting>
  <conditionalFormatting sqref="L91">
    <cfRule type="cellIs" dxfId="6696" priority="2050" operator="between">
      <formula>65</formula>
      <formula>66.9</formula>
    </cfRule>
    <cfRule type="cellIs" dxfId="6695" priority="2051" operator="between">
      <formula>73.1</formula>
      <formula>75</formula>
    </cfRule>
    <cfRule type="expression" dxfId="6694" priority="2052">
      <formula>L91&lt;65</formula>
    </cfRule>
    <cfRule type="expression" dxfId="6693" priority="2053">
      <formula>L91&gt;75</formula>
    </cfRule>
  </conditionalFormatting>
  <conditionalFormatting sqref="L92">
    <cfRule type="cellIs" dxfId="6692" priority="2046" operator="between">
      <formula>65</formula>
      <formula>66.9</formula>
    </cfRule>
    <cfRule type="cellIs" dxfId="6691" priority="2047" operator="between">
      <formula>73.1</formula>
      <formula>75</formula>
    </cfRule>
    <cfRule type="expression" dxfId="6690" priority="2048">
      <formula>L92&lt;65</formula>
    </cfRule>
    <cfRule type="expression" dxfId="6689" priority="2049">
      <formula>L92&gt;75</formula>
    </cfRule>
  </conditionalFormatting>
  <conditionalFormatting sqref="O91">
    <cfRule type="cellIs" dxfId="6688" priority="2042" operator="between">
      <formula>65</formula>
      <formula>66.9</formula>
    </cfRule>
    <cfRule type="cellIs" dxfId="6687" priority="2043" operator="between">
      <formula>73.1</formula>
      <formula>75</formula>
    </cfRule>
    <cfRule type="expression" dxfId="6686" priority="2044">
      <formula>O91&lt;65</formula>
    </cfRule>
    <cfRule type="expression" dxfId="6685" priority="2045">
      <formula>O91&gt;75</formula>
    </cfRule>
  </conditionalFormatting>
  <conditionalFormatting sqref="O92">
    <cfRule type="cellIs" dxfId="6684" priority="2038" operator="between">
      <formula>65</formula>
      <formula>66.9</formula>
    </cfRule>
    <cfRule type="cellIs" dxfId="6683" priority="2039" operator="between">
      <formula>73.1</formula>
      <formula>75</formula>
    </cfRule>
    <cfRule type="expression" dxfId="6682" priority="2040">
      <formula>O92&lt;65</formula>
    </cfRule>
    <cfRule type="expression" dxfId="6681" priority="2041">
      <formula>O92&gt;75</formula>
    </cfRule>
  </conditionalFormatting>
  <conditionalFormatting sqref="R91">
    <cfRule type="cellIs" dxfId="6680" priority="2034" operator="between">
      <formula>65</formula>
      <formula>66.9</formula>
    </cfRule>
    <cfRule type="cellIs" dxfId="6679" priority="2035" operator="between">
      <formula>73.1</formula>
      <formula>75</formula>
    </cfRule>
    <cfRule type="expression" dxfId="6678" priority="2036">
      <formula>R91&lt;65</formula>
    </cfRule>
    <cfRule type="expression" dxfId="6677" priority="2037">
      <formula>R91&gt;75</formula>
    </cfRule>
  </conditionalFormatting>
  <conditionalFormatting sqref="R92">
    <cfRule type="cellIs" dxfId="6676" priority="2030" operator="between">
      <formula>65</formula>
      <formula>66.9</formula>
    </cfRule>
    <cfRule type="cellIs" dxfId="6675" priority="2031" operator="between">
      <formula>73.1</formula>
      <formula>75</formula>
    </cfRule>
    <cfRule type="expression" dxfId="6674" priority="2032">
      <formula>R92&lt;65</formula>
    </cfRule>
    <cfRule type="expression" dxfId="6673" priority="2033">
      <formula>R92&gt;75</formula>
    </cfRule>
  </conditionalFormatting>
  <conditionalFormatting sqref="U91">
    <cfRule type="cellIs" dxfId="6672" priority="2026" operator="between">
      <formula>65</formula>
      <formula>66.9</formula>
    </cfRule>
    <cfRule type="cellIs" dxfId="6671" priority="2027" operator="between">
      <formula>73.1</formula>
      <formula>75</formula>
    </cfRule>
    <cfRule type="expression" dxfId="6670" priority="2028">
      <formula>U91&lt;65</formula>
    </cfRule>
    <cfRule type="expression" dxfId="6669" priority="2029">
      <formula>U91&gt;75</formula>
    </cfRule>
  </conditionalFormatting>
  <conditionalFormatting sqref="U92">
    <cfRule type="cellIs" dxfId="6668" priority="2022" operator="between">
      <formula>65</formula>
      <formula>66.9</formula>
    </cfRule>
    <cfRule type="cellIs" dxfId="6667" priority="2023" operator="between">
      <formula>73.1</formula>
      <formula>75</formula>
    </cfRule>
    <cfRule type="expression" dxfId="6666" priority="2024">
      <formula>U92&lt;65</formula>
    </cfRule>
    <cfRule type="expression" dxfId="6665" priority="2025">
      <formula>U92&gt;75</formula>
    </cfRule>
  </conditionalFormatting>
  <conditionalFormatting sqref="X91">
    <cfRule type="cellIs" dxfId="6664" priority="2018" operator="between">
      <formula>65</formula>
      <formula>66.9</formula>
    </cfRule>
    <cfRule type="cellIs" dxfId="6663" priority="2019" operator="between">
      <formula>73.1</formula>
      <formula>75</formula>
    </cfRule>
    <cfRule type="expression" dxfId="6662" priority="2020">
      <formula>X91&lt;65</formula>
    </cfRule>
    <cfRule type="expression" dxfId="6661" priority="2021">
      <formula>X91&gt;75</formula>
    </cfRule>
  </conditionalFormatting>
  <conditionalFormatting sqref="X92">
    <cfRule type="cellIs" dxfId="6660" priority="2014" operator="between">
      <formula>65</formula>
      <formula>66.9</formula>
    </cfRule>
    <cfRule type="cellIs" dxfId="6659" priority="2015" operator="between">
      <formula>73.1</formula>
      <formula>75</formula>
    </cfRule>
    <cfRule type="expression" dxfId="6658" priority="2016">
      <formula>X92&lt;65</formula>
    </cfRule>
    <cfRule type="expression" dxfId="6657" priority="2017">
      <formula>X92&gt;75</formula>
    </cfRule>
  </conditionalFormatting>
  <conditionalFormatting sqref="AA91">
    <cfRule type="cellIs" dxfId="6656" priority="2010" operator="between">
      <formula>65</formula>
      <formula>66.9</formula>
    </cfRule>
    <cfRule type="cellIs" dxfId="6655" priority="2011" operator="between">
      <formula>73.1</formula>
      <formula>75</formula>
    </cfRule>
    <cfRule type="expression" dxfId="6654" priority="2012">
      <formula>AA91&lt;65</formula>
    </cfRule>
    <cfRule type="expression" dxfId="6653" priority="2013">
      <formula>AA91&gt;75</formula>
    </cfRule>
  </conditionalFormatting>
  <conditionalFormatting sqref="AA92">
    <cfRule type="cellIs" dxfId="6652" priority="2006" operator="between">
      <formula>65</formula>
      <formula>66.9</formula>
    </cfRule>
    <cfRule type="cellIs" dxfId="6651" priority="2007" operator="between">
      <formula>73.1</formula>
      <formula>75</formula>
    </cfRule>
    <cfRule type="expression" dxfId="6650" priority="2008">
      <formula>AA92&lt;65</formula>
    </cfRule>
    <cfRule type="expression" dxfId="6649" priority="2009">
      <formula>AA92&gt;75</formula>
    </cfRule>
  </conditionalFormatting>
  <conditionalFormatting sqref="AD91">
    <cfRule type="cellIs" dxfId="6648" priority="2002" operator="between">
      <formula>65</formula>
      <formula>66.9</formula>
    </cfRule>
    <cfRule type="cellIs" dxfId="6647" priority="2003" operator="between">
      <formula>73.1</formula>
      <formula>75</formula>
    </cfRule>
    <cfRule type="expression" dxfId="6646" priority="2004">
      <formula>AD91&lt;65</formula>
    </cfRule>
    <cfRule type="expression" dxfId="6645" priority="2005">
      <formula>AD91&gt;75</formula>
    </cfRule>
  </conditionalFormatting>
  <conditionalFormatting sqref="AD92">
    <cfRule type="cellIs" dxfId="6644" priority="1998" operator="between">
      <formula>65</formula>
      <formula>66.9</formula>
    </cfRule>
    <cfRule type="cellIs" dxfId="6643" priority="1999" operator="between">
      <formula>73.1</formula>
      <formula>75</formula>
    </cfRule>
    <cfRule type="expression" dxfId="6642" priority="2000">
      <formula>AD92&lt;65</formula>
    </cfRule>
    <cfRule type="expression" dxfId="6641" priority="2001">
      <formula>AD92&gt;75</formula>
    </cfRule>
  </conditionalFormatting>
  <conditionalFormatting sqref="AG91">
    <cfRule type="cellIs" dxfId="6640" priority="1994" operator="between">
      <formula>65</formula>
      <formula>66.9</formula>
    </cfRule>
    <cfRule type="cellIs" dxfId="6639" priority="1995" operator="between">
      <formula>73.1</formula>
      <formula>75</formula>
    </cfRule>
    <cfRule type="expression" dxfId="6638" priority="1996">
      <formula>AG91&lt;65</formula>
    </cfRule>
    <cfRule type="expression" dxfId="6637" priority="1997">
      <formula>AG91&gt;75</formula>
    </cfRule>
  </conditionalFormatting>
  <conditionalFormatting sqref="AG92">
    <cfRule type="cellIs" dxfId="6636" priority="1990" operator="between">
      <formula>65</formula>
      <formula>66.9</formula>
    </cfRule>
    <cfRule type="cellIs" dxfId="6635" priority="1991" operator="between">
      <formula>73.1</formula>
      <formula>75</formula>
    </cfRule>
    <cfRule type="expression" dxfId="6634" priority="1992">
      <formula>AG92&lt;65</formula>
    </cfRule>
    <cfRule type="expression" dxfId="6633" priority="1993">
      <formula>AG92&gt;75</formula>
    </cfRule>
  </conditionalFormatting>
  <conditionalFormatting sqref="AJ91">
    <cfRule type="cellIs" dxfId="6632" priority="1986" operator="between">
      <formula>65</formula>
      <formula>66.9</formula>
    </cfRule>
    <cfRule type="cellIs" dxfId="6631" priority="1987" operator="between">
      <formula>73.1</formula>
      <formula>75</formula>
    </cfRule>
    <cfRule type="expression" dxfId="6630" priority="1988">
      <formula>AJ91&lt;65</formula>
    </cfRule>
    <cfRule type="expression" dxfId="6629" priority="1989">
      <formula>AJ91&gt;75</formula>
    </cfRule>
  </conditionalFormatting>
  <conditionalFormatting sqref="AJ92">
    <cfRule type="cellIs" dxfId="6628" priority="1982" operator="between">
      <formula>65</formula>
      <formula>66.9</formula>
    </cfRule>
    <cfRule type="cellIs" dxfId="6627" priority="1983" operator="between">
      <formula>73.1</formula>
      <formula>75</formula>
    </cfRule>
    <cfRule type="expression" dxfId="6626" priority="1984">
      <formula>AJ92&lt;65</formula>
    </cfRule>
    <cfRule type="expression" dxfId="6625" priority="1985">
      <formula>AJ92&gt;75</formula>
    </cfRule>
  </conditionalFormatting>
  <conditionalFormatting sqref="AM91">
    <cfRule type="cellIs" dxfId="6624" priority="1978" operator="between">
      <formula>65</formula>
      <formula>66.9</formula>
    </cfRule>
    <cfRule type="cellIs" dxfId="6623" priority="1979" operator="between">
      <formula>73.1</formula>
      <formula>75</formula>
    </cfRule>
    <cfRule type="expression" dxfId="6622" priority="1980">
      <formula>AM91&lt;65</formula>
    </cfRule>
    <cfRule type="expression" dxfId="6621" priority="1981">
      <formula>AM91&gt;75</formula>
    </cfRule>
  </conditionalFormatting>
  <conditionalFormatting sqref="AM92">
    <cfRule type="cellIs" dxfId="6620" priority="1974" operator="between">
      <formula>65</formula>
      <formula>66.9</formula>
    </cfRule>
    <cfRule type="cellIs" dxfId="6619" priority="1975" operator="between">
      <formula>73.1</formula>
      <formula>75</formula>
    </cfRule>
    <cfRule type="expression" dxfId="6618" priority="1976">
      <formula>AM92&lt;65</formula>
    </cfRule>
    <cfRule type="expression" dxfId="6617" priority="1977">
      <formula>AM92&gt;75</formula>
    </cfRule>
  </conditionalFormatting>
  <conditionalFormatting sqref="AP91">
    <cfRule type="cellIs" dxfId="6616" priority="1970" operator="between">
      <formula>65</formula>
      <formula>66.9</formula>
    </cfRule>
    <cfRule type="cellIs" dxfId="6615" priority="1971" operator="between">
      <formula>73.1</formula>
      <formula>75</formula>
    </cfRule>
    <cfRule type="expression" dxfId="6614" priority="1972">
      <formula>AP91&lt;65</formula>
    </cfRule>
    <cfRule type="expression" dxfId="6613" priority="1973">
      <formula>AP91&gt;75</formula>
    </cfRule>
  </conditionalFormatting>
  <conditionalFormatting sqref="AP92">
    <cfRule type="cellIs" dxfId="6612" priority="1966" operator="between">
      <formula>65</formula>
      <formula>66.9</formula>
    </cfRule>
    <cfRule type="cellIs" dxfId="6611" priority="1967" operator="between">
      <formula>73.1</formula>
      <formula>75</formula>
    </cfRule>
    <cfRule type="expression" dxfId="6610" priority="1968">
      <formula>AP92&lt;65</formula>
    </cfRule>
    <cfRule type="expression" dxfId="6609" priority="1969">
      <formula>AP92&gt;75</formula>
    </cfRule>
  </conditionalFormatting>
  <conditionalFormatting sqref="L98">
    <cfRule type="cellIs" dxfId="6608" priority="1962" operator="between">
      <formula>65</formula>
      <formula>66.9</formula>
    </cfRule>
    <cfRule type="cellIs" dxfId="6607" priority="1963" operator="between">
      <formula>73.1</formula>
      <formula>75</formula>
    </cfRule>
    <cfRule type="expression" dxfId="6606" priority="1964">
      <formula>L98&lt;65</formula>
    </cfRule>
    <cfRule type="expression" dxfId="6605" priority="1965">
      <formula>L98&gt;75</formula>
    </cfRule>
  </conditionalFormatting>
  <conditionalFormatting sqref="R98">
    <cfRule type="cellIs" dxfId="6604" priority="1958" operator="between">
      <formula>65</formula>
      <formula>66.9</formula>
    </cfRule>
    <cfRule type="cellIs" dxfId="6603" priority="1959" operator="between">
      <formula>73.1</formula>
      <formula>75</formula>
    </cfRule>
    <cfRule type="expression" dxfId="6602" priority="1960">
      <formula>R98&lt;65</formula>
    </cfRule>
    <cfRule type="expression" dxfId="6601" priority="1961">
      <formula>R98&gt;75</formula>
    </cfRule>
  </conditionalFormatting>
  <conditionalFormatting sqref="X98">
    <cfRule type="cellIs" dxfId="6600" priority="1954" operator="between">
      <formula>65</formula>
      <formula>66.9</formula>
    </cfRule>
    <cfRule type="cellIs" dxfId="6599" priority="1955" operator="between">
      <formula>73.1</formula>
      <formula>75</formula>
    </cfRule>
    <cfRule type="expression" dxfId="6598" priority="1956">
      <formula>X98&lt;65</formula>
    </cfRule>
    <cfRule type="expression" dxfId="6597" priority="1957">
      <formula>X98&gt;75</formula>
    </cfRule>
  </conditionalFormatting>
  <conditionalFormatting sqref="AD98">
    <cfRule type="cellIs" dxfId="6596" priority="1950" operator="between">
      <formula>65</formula>
      <formula>66.9</formula>
    </cfRule>
    <cfRule type="cellIs" dxfId="6595" priority="1951" operator="between">
      <formula>73.1</formula>
      <formula>75</formula>
    </cfRule>
    <cfRule type="expression" dxfId="6594" priority="1952">
      <formula>AD98&lt;65</formula>
    </cfRule>
    <cfRule type="expression" dxfId="6593" priority="1953">
      <formula>AD98&gt;75</formula>
    </cfRule>
  </conditionalFormatting>
  <conditionalFormatting sqref="AJ98">
    <cfRule type="cellIs" dxfId="6592" priority="1946" operator="between">
      <formula>65</formula>
      <formula>66.9</formula>
    </cfRule>
    <cfRule type="cellIs" dxfId="6591" priority="1947" operator="between">
      <formula>73.1</formula>
      <formula>75</formula>
    </cfRule>
    <cfRule type="expression" dxfId="6590" priority="1948">
      <formula>AJ98&lt;65</formula>
    </cfRule>
    <cfRule type="expression" dxfId="6589" priority="1949">
      <formula>AJ98&gt;75</formula>
    </cfRule>
  </conditionalFormatting>
  <conditionalFormatting sqref="AP98">
    <cfRule type="cellIs" dxfId="6588" priority="1942" operator="between">
      <formula>65</formula>
      <formula>66.9</formula>
    </cfRule>
    <cfRule type="cellIs" dxfId="6587" priority="1943" operator="between">
      <formula>73.1</formula>
      <formula>75</formula>
    </cfRule>
    <cfRule type="expression" dxfId="6586" priority="1944">
      <formula>AP98&lt;65</formula>
    </cfRule>
    <cfRule type="expression" dxfId="6585" priority="1945">
      <formula>AP98&gt;75</formula>
    </cfRule>
  </conditionalFormatting>
  <conditionalFormatting sqref="I97">
    <cfRule type="cellIs" dxfId="6584" priority="1938" operator="between">
      <formula>55</formula>
      <formula>56.9</formula>
    </cfRule>
    <cfRule type="cellIs" dxfId="6583" priority="1939" operator="between">
      <formula>63.1</formula>
      <formula>65</formula>
    </cfRule>
    <cfRule type="expression" dxfId="6582" priority="1940">
      <formula>I97&lt;55</formula>
    </cfRule>
    <cfRule type="expression" dxfId="6581" priority="1941">
      <formula>I97&gt;65</formula>
    </cfRule>
  </conditionalFormatting>
  <conditionalFormatting sqref="L97">
    <cfRule type="cellIs" dxfId="6580" priority="1934" operator="between">
      <formula>55</formula>
      <formula>56.9</formula>
    </cfRule>
    <cfRule type="cellIs" dxfId="6579" priority="1935" operator="between">
      <formula>63.1</formula>
      <formula>65</formula>
    </cfRule>
    <cfRule type="expression" dxfId="6578" priority="1936">
      <formula>L97&lt;55</formula>
    </cfRule>
    <cfRule type="expression" dxfId="6577" priority="1937">
      <formula>L97&gt;65</formula>
    </cfRule>
  </conditionalFormatting>
  <conditionalFormatting sqref="O97">
    <cfRule type="cellIs" dxfId="6576" priority="1930" operator="between">
      <formula>55</formula>
      <formula>56.9</formula>
    </cfRule>
    <cfRule type="cellIs" dxfId="6575" priority="1931" operator="between">
      <formula>63.1</formula>
      <formula>65</formula>
    </cfRule>
    <cfRule type="expression" dxfId="6574" priority="1932">
      <formula>O97&lt;55</formula>
    </cfRule>
    <cfRule type="expression" dxfId="6573" priority="1933">
      <formula>O97&gt;65</formula>
    </cfRule>
  </conditionalFormatting>
  <conditionalFormatting sqref="R97">
    <cfRule type="cellIs" dxfId="6572" priority="1926" operator="between">
      <formula>55</formula>
      <formula>56.9</formula>
    </cfRule>
    <cfRule type="cellIs" dxfId="6571" priority="1927" operator="between">
      <formula>63.1</formula>
      <formula>65</formula>
    </cfRule>
    <cfRule type="expression" dxfId="6570" priority="1928">
      <formula>R97&lt;55</formula>
    </cfRule>
    <cfRule type="expression" dxfId="6569" priority="1929">
      <formula>R97&gt;65</formula>
    </cfRule>
  </conditionalFormatting>
  <conditionalFormatting sqref="U97">
    <cfRule type="cellIs" dxfId="6568" priority="1922" operator="between">
      <formula>55</formula>
      <formula>56.9</formula>
    </cfRule>
    <cfRule type="cellIs" dxfId="6567" priority="1923" operator="between">
      <formula>63.1</formula>
      <formula>65</formula>
    </cfRule>
    <cfRule type="expression" dxfId="6566" priority="1924">
      <formula>U97&lt;55</formula>
    </cfRule>
    <cfRule type="expression" dxfId="6565" priority="1925">
      <formula>U97&gt;65</formula>
    </cfRule>
  </conditionalFormatting>
  <conditionalFormatting sqref="X97">
    <cfRule type="cellIs" dxfId="6564" priority="1918" operator="between">
      <formula>55</formula>
      <formula>56.9</formula>
    </cfRule>
    <cfRule type="cellIs" dxfId="6563" priority="1919" operator="between">
      <formula>63.1</formula>
      <formula>65</formula>
    </cfRule>
    <cfRule type="expression" dxfId="6562" priority="1920">
      <formula>X97&lt;55</formula>
    </cfRule>
    <cfRule type="expression" dxfId="6561" priority="1921">
      <formula>X97&gt;65</formula>
    </cfRule>
  </conditionalFormatting>
  <conditionalFormatting sqref="AA97">
    <cfRule type="cellIs" dxfId="6560" priority="1914" operator="between">
      <formula>55</formula>
      <formula>56.9</formula>
    </cfRule>
    <cfRule type="cellIs" dxfId="6559" priority="1915" operator="between">
      <formula>63.1</formula>
      <formula>65</formula>
    </cfRule>
    <cfRule type="expression" dxfId="6558" priority="1916">
      <formula>AA97&lt;55</formula>
    </cfRule>
    <cfRule type="expression" dxfId="6557" priority="1917">
      <formula>AA97&gt;65</formula>
    </cfRule>
  </conditionalFormatting>
  <conditionalFormatting sqref="AD97">
    <cfRule type="cellIs" dxfId="6556" priority="1910" operator="between">
      <formula>55</formula>
      <formula>56.9</formula>
    </cfRule>
    <cfRule type="cellIs" dxfId="6555" priority="1911" operator="between">
      <formula>63.1</formula>
      <formula>65</formula>
    </cfRule>
    <cfRule type="expression" dxfId="6554" priority="1912">
      <formula>AD97&lt;55</formula>
    </cfRule>
    <cfRule type="expression" dxfId="6553" priority="1913">
      <formula>AD97&gt;65</formula>
    </cfRule>
  </conditionalFormatting>
  <conditionalFormatting sqref="AG97">
    <cfRule type="cellIs" dxfId="6552" priority="1906" operator="between">
      <formula>55</formula>
      <formula>56.9</formula>
    </cfRule>
    <cfRule type="cellIs" dxfId="6551" priority="1907" operator="between">
      <formula>63.1</formula>
      <formula>65</formula>
    </cfRule>
    <cfRule type="expression" dxfId="6550" priority="1908">
      <formula>AG97&lt;55</formula>
    </cfRule>
    <cfRule type="expression" dxfId="6549" priority="1909">
      <formula>AG97&gt;65</formula>
    </cfRule>
  </conditionalFormatting>
  <conditionalFormatting sqref="AJ97">
    <cfRule type="cellIs" dxfId="6548" priority="1902" operator="between">
      <formula>55</formula>
      <formula>56.9</formula>
    </cfRule>
    <cfRule type="cellIs" dxfId="6547" priority="1903" operator="between">
      <formula>63.1</formula>
      <formula>65</formula>
    </cfRule>
    <cfRule type="expression" dxfId="6546" priority="1904">
      <formula>AJ97&lt;55</formula>
    </cfRule>
    <cfRule type="expression" dxfId="6545" priority="1905">
      <formula>AJ97&gt;65</formula>
    </cfRule>
  </conditionalFormatting>
  <conditionalFormatting sqref="AM97">
    <cfRule type="cellIs" dxfId="6544" priority="1898" operator="between">
      <formula>55</formula>
      <formula>56.9</formula>
    </cfRule>
    <cfRule type="cellIs" dxfId="6543" priority="1899" operator="between">
      <formula>63.1</formula>
      <formula>65</formula>
    </cfRule>
    <cfRule type="expression" dxfId="6542" priority="1900">
      <formula>AM97&lt;55</formula>
    </cfRule>
    <cfRule type="expression" dxfId="6541" priority="1901">
      <formula>AM97&gt;65</formula>
    </cfRule>
  </conditionalFormatting>
  <conditionalFormatting sqref="AP97">
    <cfRule type="cellIs" dxfId="6540" priority="1894" operator="between">
      <formula>55</formula>
      <formula>56.9</formula>
    </cfRule>
    <cfRule type="cellIs" dxfId="6539" priority="1895" operator="between">
      <formula>63.1</formula>
      <formula>65</formula>
    </cfRule>
    <cfRule type="expression" dxfId="6538" priority="1896">
      <formula>AP97&lt;55</formula>
    </cfRule>
    <cfRule type="expression" dxfId="6537" priority="1897">
      <formula>AP97&gt;65</formula>
    </cfRule>
  </conditionalFormatting>
  <conditionalFormatting sqref="I95 L95 O95 R95 U95 X95 AA95 AD95 AG95 AJ95 AM95 AP95">
    <cfRule type="expression" dxfId="6536" priority="1892">
      <formula>I95&lt;24</formula>
    </cfRule>
    <cfRule type="expression" dxfId="6535" priority="1893">
      <formula>I95&gt;26</formula>
    </cfRule>
  </conditionalFormatting>
  <conditionalFormatting sqref="I96 L96 O96 R96 U96 X96 AA96 AD96 AG96 AJ96 AM96 AP96">
    <cfRule type="expression" dxfId="6534" priority="1882">
      <formula>I96&lt;34</formula>
    </cfRule>
    <cfRule type="expression" dxfId="6533" priority="1883">
      <formula>I96&gt;36</formula>
    </cfRule>
  </conditionalFormatting>
  <conditionalFormatting sqref="I102">
    <cfRule type="expression" dxfId="6532" priority="1792">
      <formula>I102&lt;35</formula>
    </cfRule>
    <cfRule type="expression" dxfId="6531" priority="1793">
      <formula>I102&gt;45</formula>
    </cfRule>
  </conditionalFormatting>
  <conditionalFormatting sqref="I102:K102">
    <cfRule type="cellIs" dxfId="6530" priority="1790" operator="between">
      <formula>43.1</formula>
      <formula>45</formula>
    </cfRule>
    <cfRule type="cellIs" dxfId="6529" priority="1791" operator="between">
      <formula>35</formula>
      <formula>36.9</formula>
    </cfRule>
  </conditionalFormatting>
  <conditionalFormatting sqref="L102 O102 R102 U102 X102 AA102 AD102 AG102 AJ102 AM102 AP102">
    <cfRule type="expression" dxfId="6528" priority="1788">
      <formula>L102&lt;35</formula>
    </cfRule>
    <cfRule type="expression" dxfId="6527" priority="1789">
      <formula>L102&gt;45</formula>
    </cfRule>
  </conditionalFormatting>
  <conditionalFormatting sqref="L102:AQ102">
    <cfRule type="cellIs" dxfId="6526" priority="1786" operator="between">
      <formula>43.1</formula>
      <formula>45</formula>
    </cfRule>
    <cfRule type="cellIs" dxfId="6525" priority="1787" operator="between">
      <formula>35</formula>
      <formula>36.9</formula>
    </cfRule>
  </conditionalFormatting>
  <conditionalFormatting sqref="I115">
    <cfRule type="expression" dxfId="6524" priority="1780" stopIfTrue="1">
      <formula>I115&gt;130</formula>
    </cfRule>
    <cfRule type="expression" dxfId="6523" priority="1781" stopIfTrue="1">
      <formula>I115&lt;120</formula>
    </cfRule>
  </conditionalFormatting>
  <conditionalFormatting sqref="I117">
    <cfRule type="cellIs" dxfId="6522" priority="1777" operator="between">
      <formula>3</formula>
      <formula>4.099</formula>
    </cfRule>
    <cfRule type="expression" dxfId="6521" priority="1778">
      <formula>I117&lt;3</formula>
    </cfRule>
    <cfRule type="expression" dxfId="6520" priority="1779">
      <formula>I117&gt;4.5</formula>
    </cfRule>
  </conditionalFormatting>
  <conditionalFormatting sqref="AA115">
    <cfRule type="expression" dxfId="6519" priority="1771" stopIfTrue="1">
      <formula>AA115&gt;130</formula>
    </cfRule>
    <cfRule type="expression" dxfId="6518" priority="1772" stopIfTrue="1">
      <formula>AA115&lt;120</formula>
    </cfRule>
  </conditionalFormatting>
  <conditionalFormatting sqref="AA117">
    <cfRule type="cellIs" dxfId="6517" priority="1768" operator="between">
      <formula>3</formula>
      <formula>4.099</formula>
    </cfRule>
    <cfRule type="expression" dxfId="6516" priority="1769">
      <formula>AA117&lt;3</formula>
    </cfRule>
    <cfRule type="expression" dxfId="6515" priority="1770">
      <formula>AA117&gt;4.5</formula>
    </cfRule>
  </conditionalFormatting>
  <conditionalFormatting sqref="U115">
    <cfRule type="expression" dxfId="6514" priority="1762" stopIfTrue="1">
      <formula>U115&gt;130</formula>
    </cfRule>
    <cfRule type="expression" dxfId="6513" priority="1763" stopIfTrue="1">
      <formula>U115&lt;120</formula>
    </cfRule>
  </conditionalFormatting>
  <conditionalFormatting sqref="U117">
    <cfRule type="cellIs" dxfId="6512" priority="1759" operator="between">
      <formula>3</formula>
      <formula>4.099</formula>
    </cfRule>
    <cfRule type="expression" dxfId="6511" priority="1760">
      <formula>U117&lt;3</formula>
    </cfRule>
    <cfRule type="expression" dxfId="6510" priority="1761">
      <formula>U117&gt;4.5</formula>
    </cfRule>
  </conditionalFormatting>
  <conditionalFormatting sqref="O115">
    <cfRule type="expression" dxfId="6509" priority="1753" stopIfTrue="1">
      <formula>O115&gt;130</formula>
    </cfRule>
    <cfRule type="expression" dxfId="6508" priority="1754" stopIfTrue="1">
      <formula>O115&lt;120</formula>
    </cfRule>
  </conditionalFormatting>
  <conditionalFormatting sqref="O117">
    <cfRule type="cellIs" dxfId="6507" priority="1750" operator="between">
      <formula>3</formula>
      <formula>4.099</formula>
    </cfRule>
    <cfRule type="expression" dxfId="6506" priority="1751">
      <formula>O117&lt;3</formula>
    </cfRule>
    <cfRule type="expression" dxfId="6505" priority="1752">
      <formula>O117&gt;4.5</formula>
    </cfRule>
  </conditionalFormatting>
  <conditionalFormatting sqref="I113">
    <cfRule type="expression" dxfId="6504" priority="1722">
      <formula>I113&lt;5</formula>
    </cfRule>
    <cfRule type="expression" dxfId="6503" priority="1723">
      <formula>I113&gt;6</formula>
    </cfRule>
  </conditionalFormatting>
  <conditionalFormatting sqref="O113">
    <cfRule type="expression" dxfId="6502" priority="1720">
      <formula>O113&lt;5</formula>
    </cfRule>
    <cfRule type="expression" dxfId="6501" priority="1721">
      <formula>O113&gt;6</formula>
    </cfRule>
  </conditionalFormatting>
  <conditionalFormatting sqref="U113">
    <cfRule type="expression" dxfId="6500" priority="1718">
      <formula>U113&lt;5</formula>
    </cfRule>
    <cfRule type="expression" dxfId="6499" priority="1719">
      <formula>U113&gt;6</formula>
    </cfRule>
  </conditionalFormatting>
  <conditionalFormatting sqref="AA113">
    <cfRule type="expression" dxfId="6498" priority="1716">
      <formula>AA113&lt;5</formula>
    </cfRule>
    <cfRule type="expression" dxfId="6497" priority="1717">
      <formula>AA113&gt;6</formula>
    </cfRule>
  </conditionalFormatting>
  <conditionalFormatting sqref="I84">
    <cfRule type="expression" dxfId="6496" priority="1714">
      <formula>I84&lt;5</formula>
    </cfRule>
    <cfRule type="expression" dxfId="6495" priority="1715">
      <formula>I84&gt;6</formula>
    </cfRule>
  </conditionalFormatting>
  <conditionalFormatting sqref="U84">
    <cfRule type="expression" dxfId="6494" priority="1712">
      <formula>U84&lt;5</formula>
    </cfRule>
    <cfRule type="expression" dxfId="6493" priority="1713">
      <formula>U84&gt;6</formula>
    </cfRule>
  </conditionalFormatting>
  <conditionalFormatting sqref="AA84">
    <cfRule type="expression" dxfId="6492" priority="1710">
      <formula>AA84&lt;5</formula>
    </cfRule>
    <cfRule type="expression" dxfId="6491" priority="1711">
      <formula>AA84&gt;6</formula>
    </cfRule>
  </conditionalFormatting>
  <conditionalFormatting sqref="AM84">
    <cfRule type="expression" dxfId="6490" priority="1708">
      <formula>AM84&lt;5</formula>
    </cfRule>
    <cfRule type="expression" dxfId="6489" priority="1709">
      <formula>AM84&gt;6</formula>
    </cfRule>
  </conditionalFormatting>
  <conditionalFormatting sqref="AA86">
    <cfRule type="expression" dxfId="6488" priority="1682" stopIfTrue="1">
      <formula>AA86&gt;130</formula>
    </cfRule>
    <cfRule type="expression" dxfId="6487" priority="1683" stopIfTrue="1">
      <formula>AA86&lt;120</formula>
    </cfRule>
  </conditionalFormatting>
  <conditionalFormatting sqref="I48">
    <cfRule type="cellIs" dxfId="6486" priority="1678" operator="between">
      <formula>0.5%</formula>
      <formula>0.799%</formula>
    </cfRule>
    <cfRule type="cellIs" dxfId="6485" priority="1679" operator="between">
      <formula>1.21%</formula>
      <formula>1.5%</formula>
    </cfRule>
    <cfRule type="expression" dxfId="6484" priority="1680">
      <formula>I48&lt;0.5%</formula>
    </cfRule>
    <cfRule type="expression" dxfId="6483" priority="1681">
      <formula>I48&gt;1.5%</formula>
    </cfRule>
  </conditionalFormatting>
  <conditionalFormatting sqref="O48">
    <cfRule type="cellIs" dxfId="6482" priority="1674" operator="between">
      <formula>0.5%</formula>
      <formula>0.799%</formula>
    </cfRule>
    <cfRule type="cellIs" dxfId="6481" priority="1675" operator="between">
      <formula>1.21%</formula>
      <formula>1.5%</formula>
    </cfRule>
    <cfRule type="expression" dxfId="6480" priority="1676">
      <formula>O48&lt;0.5%</formula>
    </cfRule>
    <cfRule type="expression" dxfId="6479" priority="1677">
      <formula>O48&gt;1.5%</formula>
    </cfRule>
  </conditionalFormatting>
  <conditionalFormatting sqref="U48">
    <cfRule type="cellIs" dxfId="6478" priority="1670" operator="between">
      <formula>0.5%</formula>
      <formula>0.799%</formula>
    </cfRule>
    <cfRule type="cellIs" dxfId="6477" priority="1671" operator="between">
      <formula>1.21%</formula>
      <formula>1.5%</formula>
    </cfRule>
    <cfRule type="expression" dxfId="6476" priority="1672">
      <formula>U48&lt;0.5%</formula>
    </cfRule>
    <cfRule type="expression" dxfId="6475" priority="1673">
      <formula>U48&gt;1.5%</formula>
    </cfRule>
  </conditionalFormatting>
  <conditionalFormatting sqref="AA48">
    <cfRule type="cellIs" dxfId="6474" priority="1666" operator="between">
      <formula>0.5%</formula>
      <formula>0.799%</formula>
    </cfRule>
    <cfRule type="cellIs" dxfId="6473" priority="1667" operator="between">
      <formula>1.21%</formula>
      <formula>1.5%</formula>
    </cfRule>
    <cfRule type="expression" dxfId="6472" priority="1668">
      <formula>AA48&lt;0.5%</formula>
    </cfRule>
    <cfRule type="expression" dxfId="6471" priority="1669">
      <formula>AA48&gt;1.5%</formula>
    </cfRule>
  </conditionalFormatting>
  <conditionalFormatting sqref="AG48">
    <cfRule type="cellIs" dxfId="6470" priority="1662" operator="between">
      <formula>0.5%</formula>
      <formula>0.799%</formula>
    </cfRule>
    <cfRule type="cellIs" dxfId="6469" priority="1663" operator="between">
      <formula>1.21%</formula>
      <formula>1.5%</formula>
    </cfRule>
    <cfRule type="expression" dxfId="6468" priority="1664">
      <formula>AG48&lt;0.5%</formula>
    </cfRule>
    <cfRule type="expression" dxfId="6467" priority="1665">
      <formula>AG48&gt;1.5%</formula>
    </cfRule>
  </conditionalFormatting>
  <conditionalFormatting sqref="AM48">
    <cfRule type="cellIs" dxfId="6466" priority="1658" operator="between">
      <formula>0.5%</formula>
      <formula>0.799%</formula>
    </cfRule>
    <cfRule type="cellIs" dxfId="6465" priority="1659" operator="between">
      <formula>1.21%</formula>
      <formula>1.5%</formula>
    </cfRule>
    <cfRule type="expression" dxfId="6464" priority="1660">
      <formula>AM48&lt;0.5%</formula>
    </cfRule>
    <cfRule type="expression" dxfId="6463" priority="1661">
      <formula>AM48&gt;1.5%</formula>
    </cfRule>
  </conditionalFormatting>
  <conditionalFormatting sqref="I6">
    <cfRule type="cellIs" dxfId="6462" priority="1634" operator="between">
      <formula>25</formula>
      <formula>27.99</formula>
    </cfRule>
    <cfRule type="cellIs" dxfId="6461" priority="1635" operator="between">
      <formula>32.1</formula>
      <formula>35</formula>
    </cfRule>
    <cfRule type="expression" dxfId="6460" priority="1636">
      <formula>I6&lt;25</formula>
    </cfRule>
    <cfRule type="expression" dxfId="6459" priority="1637">
      <formula>I6&gt;35</formula>
    </cfRule>
  </conditionalFormatting>
  <conditionalFormatting sqref="I8:I9">
    <cfRule type="expression" dxfId="6458" priority="1632" stopIfTrue="1">
      <formula>I8&gt;80</formula>
    </cfRule>
    <cfRule type="expression" dxfId="6457" priority="1633" stopIfTrue="1">
      <formula>I8&lt;60</formula>
    </cfRule>
  </conditionalFormatting>
  <conditionalFormatting sqref="I10">
    <cfRule type="cellIs" dxfId="6456" priority="1628" operator="between">
      <formula>130</formula>
      <formula>134.99</formula>
    </cfRule>
    <cfRule type="cellIs" dxfId="6455" priority="1629" operator="between">
      <formula>145.1</formula>
      <formula>150</formula>
    </cfRule>
    <cfRule type="expression" dxfId="6454" priority="1630">
      <formula>I10&lt;130</formula>
    </cfRule>
    <cfRule type="expression" dxfId="6453" priority="1631">
      <formula>I10&gt;150</formula>
    </cfRule>
  </conditionalFormatting>
  <conditionalFormatting sqref="I11">
    <cfRule type="cellIs" dxfId="6452" priority="1624" operator="between">
      <formula>7</formula>
      <formula>7.99</formula>
    </cfRule>
    <cfRule type="cellIs" dxfId="6451" priority="1625" operator="between">
      <formula>10.1</formula>
      <formula>12</formula>
    </cfRule>
    <cfRule type="expression" dxfId="6450" priority="1626">
      <formula>I11&lt;7</formula>
    </cfRule>
    <cfRule type="expression" dxfId="6449" priority="1627">
      <formula>I11&gt;12</formula>
    </cfRule>
  </conditionalFormatting>
  <conditionalFormatting sqref="I12">
    <cfRule type="cellIs" dxfId="6448" priority="1621" operator="between">
      <formula>16.1</formula>
      <formula>18</formula>
    </cfRule>
    <cfRule type="expression" dxfId="6447" priority="1622">
      <formula>I12&lt;12</formula>
    </cfRule>
    <cfRule type="expression" dxfId="6446" priority="1623">
      <formula>I12&gt;18</formula>
    </cfRule>
  </conditionalFormatting>
  <conditionalFormatting sqref="I13">
    <cfRule type="cellIs" dxfId="6445" priority="1617" operator="between">
      <formula>1.6</formula>
      <formula>1.699</formula>
    </cfRule>
    <cfRule type="cellIs" dxfId="6444" priority="1618" operator="between">
      <formula>1.91</formula>
      <formula>2.2</formula>
    </cfRule>
    <cfRule type="expression" dxfId="6443" priority="1619">
      <formula>I13&lt;1.6</formula>
    </cfRule>
    <cfRule type="expression" dxfId="6442" priority="1620">
      <formula>I13&gt;2.2</formula>
    </cfRule>
  </conditionalFormatting>
  <conditionalFormatting sqref="I14">
    <cfRule type="cellIs" dxfId="6441" priority="1613" operator="between">
      <formula>30%</formula>
      <formula>39.99%</formula>
    </cfRule>
    <cfRule type="cellIs" dxfId="6440" priority="1614" operator="between">
      <formula>50.01%</formula>
      <formula>60%</formula>
    </cfRule>
    <cfRule type="expression" dxfId="6439" priority="1615">
      <formula>I14&lt;30%</formula>
    </cfRule>
    <cfRule type="expression" dxfId="6438" priority="1616">
      <formula>I14&gt;60%</formula>
    </cfRule>
  </conditionalFormatting>
  <conditionalFormatting sqref="I15">
    <cfRule type="cellIs" dxfId="6437" priority="1609" operator="between">
      <formula>15%</formula>
      <formula>16.99%</formula>
    </cfRule>
    <cfRule type="cellIs" dxfId="6436" priority="1610" operator="between">
      <formula>27.01%</formula>
      <formula>30%</formula>
    </cfRule>
    <cfRule type="expression" dxfId="6435" priority="1611">
      <formula>I15&lt;15%</formula>
    </cfRule>
    <cfRule type="expression" dxfId="6434" priority="1612">
      <formula>I15&gt;30%</formula>
    </cfRule>
  </conditionalFormatting>
  <conditionalFormatting sqref="I16">
    <cfRule type="cellIs" dxfId="6433" priority="1605" operator="between">
      <formula>5%</formula>
      <formula>6.99%</formula>
    </cfRule>
    <cfRule type="cellIs" dxfId="6432" priority="1606" operator="between">
      <formula>12.99%</formula>
      <formula>15%</formula>
    </cfRule>
    <cfRule type="expression" dxfId="6431" priority="1607">
      <formula>I16&lt;5%</formula>
    </cfRule>
    <cfRule type="expression" dxfId="6430" priority="1608">
      <formula>I16&gt;15%</formula>
    </cfRule>
  </conditionalFormatting>
  <conditionalFormatting sqref="I17">
    <cfRule type="cellIs" dxfId="6429" priority="1601" operator="between">
      <formula>0.5%</formula>
      <formula>0.599%</formula>
    </cfRule>
    <cfRule type="cellIs" dxfId="6428" priority="1602" operator="between">
      <formula>1.41%</formula>
      <formula>1.5%</formula>
    </cfRule>
    <cfRule type="expression" dxfId="6427" priority="1603">
      <formula>I17&lt;0.5%</formula>
    </cfRule>
    <cfRule type="expression" dxfId="6426" priority="1604">
      <formula>I17&gt;1.5%</formula>
    </cfRule>
  </conditionalFormatting>
  <conditionalFormatting sqref="I7">
    <cfRule type="cellIs" dxfId="6425" priority="1597" operator="between">
      <formula>25</formula>
      <formula>27.99</formula>
    </cfRule>
    <cfRule type="cellIs" dxfId="6424" priority="1598" operator="between">
      <formula>32.1</formula>
      <formula>35</formula>
    </cfRule>
    <cfRule type="expression" dxfId="6423" priority="1599">
      <formula>I7&lt;25</formula>
    </cfRule>
    <cfRule type="expression" dxfId="6422" priority="1600">
      <formula>I7&gt;35</formula>
    </cfRule>
  </conditionalFormatting>
  <conditionalFormatting sqref="O6">
    <cfRule type="cellIs" dxfId="6421" priority="1593" operator="between">
      <formula>25</formula>
      <formula>27.99</formula>
    </cfRule>
    <cfRule type="cellIs" dxfId="6420" priority="1594" operator="between">
      <formula>32.1</formula>
      <formula>35</formula>
    </cfRule>
    <cfRule type="expression" dxfId="6419" priority="1595">
      <formula>O6&lt;25</formula>
    </cfRule>
    <cfRule type="expression" dxfId="6418" priority="1596">
      <formula>O6&gt;35</formula>
    </cfRule>
  </conditionalFormatting>
  <conditionalFormatting sqref="O8:O9">
    <cfRule type="expression" dxfId="6417" priority="1591" stopIfTrue="1">
      <formula>O8&gt;80</formula>
    </cfRule>
    <cfRule type="expression" dxfId="6416" priority="1592" stopIfTrue="1">
      <formula>O8&lt;60</formula>
    </cfRule>
  </conditionalFormatting>
  <conditionalFormatting sqref="O10">
    <cfRule type="cellIs" dxfId="6415" priority="1587" operator="between">
      <formula>130</formula>
      <formula>134.99</formula>
    </cfRule>
    <cfRule type="cellIs" dxfId="6414" priority="1588" operator="between">
      <formula>145.1</formula>
      <formula>150</formula>
    </cfRule>
    <cfRule type="expression" dxfId="6413" priority="1589">
      <formula>O10&lt;130</formula>
    </cfRule>
    <cfRule type="expression" dxfId="6412" priority="1590">
      <formula>O10&gt;150</formula>
    </cfRule>
  </conditionalFormatting>
  <conditionalFormatting sqref="O11">
    <cfRule type="cellIs" dxfId="6411" priority="1583" operator="between">
      <formula>7</formula>
      <formula>7.99</formula>
    </cfRule>
    <cfRule type="cellIs" dxfId="6410" priority="1584" operator="between">
      <formula>10.1</formula>
      <formula>12</formula>
    </cfRule>
    <cfRule type="expression" dxfId="6409" priority="1585">
      <formula>O11&lt;7</formula>
    </cfRule>
    <cfRule type="expression" dxfId="6408" priority="1586">
      <formula>O11&gt;12</formula>
    </cfRule>
  </conditionalFormatting>
  <conditionalFormatting sqref="O12">
    <cfRule type="cellIs" dxfId="6407" priority="1580" operator="between">
      <formula>16.1</formula>
      <formula>18</formula>
    </cfRule>
    <cfRule type="expression" dxfId="6406" priority="1581">
      <formula>O12&lt;12</formula>
    </cfRule>
    <cfRule type="expression" dxfId="6405" priority="1582">
      <formula>O12&gt;18</formula>
    </cfRule>
  </conditionalFormatting>
  <conditionalFormatting sqref="O13">
    <cfRule type="cellIs" dxfId="6404" priority="1576" operator="between">
      <formula>1.6</formula>
      <formula>1.699</formula>
    </cfRule>
    <cfRule type="cellIs" dxfId="6403" priority="1577" operator="between">
      <formula>1.91</formula>
      <formula>2.2</formula>
    </cfRule>
    <cfRule type="expression" dxfId="6402" priority="1578">
      <formula>O13&lt;1.6</formula>
    </cfRule>
    <cfRule type="expression" dxfId="6401" priority="1579">
      <formula>O13&gt;2.2</formula>
    </cfRule>
  </conditionalFormatting>
  <conditionalFormatting sqref="O14">
    <cfRule type="cellIs" dxfId="6400" priority="1572" operator="between">
      <formula>30%</formula>
      <formula>39.99%</formula>
    </cfRule>
    <cfRule type="cellIs" dxfId="6399" priority="1573" operator="between">
      <formula>50.01%</formula>
      <formula>60%</formula>
    </cfRule>
    <cfRule type="expression" dxfId="6398" priority="1574">
      <formula>O14&lt;30%</formula>
    </cfRule>
    <cfRule type="expression" dxfId="6397" priority="1575">
      <formula>O14&gt;60%</formula>
    </cfRule>
  </conditionalFormatting>
  <conditionalFormatting sqref="O15">
    <cfRule type="cellIs" dxfId="6396" priority="1568" operator="between">
      <formula>15%</formula>
      <formula>16.99%</formula>
    </cfRule>
    <cfRule type="cellIs" dxfId="6395" priority="1569" operator="between">
      <formula>27.01%</formula>
      <formula>30%</formula>
    </cfRule>
    <cfRule type="expression" dxfId="6394" priority="1570">
      <formula>O15&lt;15%</formula>
    </cfRule>
    <cfRule type="expression" dxfId="6393" priority="1571">
      <formula>O15&gt;30%</formula>
    </cfRule>
  </conditionalFormatting>
  <conditionalFormatting sqref="O16">
    <cfRule type="cellIs" dxfId="6392" priority="1564" operator="between">
      <formula>5%</formula>
      <formula>6.99%</formula>
    </cfRule>
    <cfRule type="cellIs" dxfId="6391" priority="1565" operator="between">
      <formula>12.99%</formula>
      <formula>15%</formula>
    </cfRule>
    <cfRule type="expression" dxfId="6390" priority="1566">
      <formula>O16&lt;5%</formula>
    </cfRule>
    <cfRule type="expression" dxfId="6389" priority="1567">
      <formula>O16&gt;15%</formula>
    </cfRule>
  </conditionalFormatting>
  <conditionalFormatting sqref="O17">
    <cfRule type="cellIs" dxfId="6388" priority="1560" operator="between">
      <formula>0.5%</formula>
      <formula>0.599%</formula>
    </cfRule>
    <cfRule type="cellIs" dxfId="6387" priority="1561" operator="between">
      <formula>1.41%</formula>
      <formula>1.5%</formula>
    </cfRule>
    <cfRule type="expression" dxfId="6386" priority="1562">
      <formula>O17&lt;0.5%</formula>
    </cfRule>
    <cfRule type="expression" dxfId="6385" priority="1563">
      <formula>O17&gt;1.5%</formula>
    </cfRule>
  </conditionalFormatting>
  <conditionalFormatting sqref="O7">
    <cfRule type="cellIs" dxfId="6384" priority="1556" operator="between">
      <formula>25</formula>
      <formula>27.99</formula>
    </cfRule>
    <cfRule type="cellIs" dxfId="6383" priority="1557" operator="between">
      <formula>32.1</formula>
      <formula>35</formula>
    </cfRule>
    <cfRule type="expression" dxfId="6382" priority="1558">
      <formula>O7&lt;25</formula>
    </cfRule>
    <cfRule type="expression" dxfId="6381" priority="1559">
      <formula>O7&gt;35</formula>
    </cfRule>
  </conditionalFormatting>
  <conditionalFormatting sqref="U6">
    <cfRule type="cellIs" dxfId="6380" priority="1552" operator="between">
      <formula>25</formula>
      <formula>27.99</formula>
    </cfRule>
    <cfRule type="cellIs" dxfId="6379" priority="1553" operator="between">
      <formula>32.1</formula>
      <formula>35</formula>
    </cfRule>
    <cfRule type="expression" dxfId="6378" priority="1554">
      <formula>U6&lt;25</formula>
    </cfRule>
    <cfRule type="expression" dxfId="6377" priority="1555">
      <formula>U6&gt;35</formula>
    </cfRule>
  </conditionalFormatting>
  <conditionalFormatting sqref="U8:U9">
    <cfRule type="expression" dxfId="6376" priority="1550" stopIfTrue="1">
      <formula>U8&gt;80</formula>
    </cfRule>
    <cfRule type="expression" dxfId="6375" priority="1551" stopIfTrue="1">
      <formula>U8&lt;60</formula>
    </cfRule>
  </conditionalFormatting>
  <conditionalFormatting sqref="U10">
    <cfRule type="cellIs" dxfId="6374" priority="1546" operator="between">
      <formula>130</formula>
      <formula>134.99</formula>
    </cfRule>
    <cfRule type="cellIs" dxfId="6373" priority="1547" operator="between">
      <formula>145.1</formula>
      <formula>150</formula>
    </cfRule>
    <cfRule type="expression" dxfId="6372" priority="1548">
      <formula>U10&lt;130</formula>
    </cfRule>
    <cfRule type="expression" dxfId="6371" priority="1549">
      <formula>U10&gt;150</formula>
    </cfRule>
  </conditionalFormatting>
  <conditionalFormatting sqref="U11">
    <cfRule type="cellIs" dxfId="6370" priority="1542" operator="between">
      <formula>7</formula>
      <formula>7.99</formula>
    </cfRule>
    <cfRule type="cellIs" dxfId="6369" priority="1543" operator="between">
      <formula>10.1</formula>
      <formula>12</formula>
    </cfRule>
    <cfRule type="expression" dxfId="6368" priority="1544">
      <formula>U11&lt;7</formula>
    </cfRule>
    <cfRule type="expression" dxfId="6367" priority="1545">
      <formula>U11&gt;12</formula>
    </cfRule>
  </conditionalFormatting>
  <conditionalFormatting sqref="U12">
    <cfRule type="cellIs" dxfId="6366" priority="1539" operator="between">
      <formula>16.1</formula>
      <formula>18</formula>
    </cfRule>
    <cfRule type="expression" dxfId="6365" priority="1540">
      <formula>U12&lt;12</formula>
    </cfRule>
    <cfRule type="expression" dxfId="6364" priority="1541">
      <formula>U12&gt;18</formula>
    </cfRule>
  </conditionalFormatting>
  <conditionalFormatting sqref="U13">
    <cfRule type="cellIs" dxfId="6363" priority="1535" operator="between">
      <formula>1.6</formula>
      <formula>1.699</formula>
    </cfRule>
    <cfRule type="cellIs" dxfId="6362" priority="1536" operator="between">
      <formula>1.91</formula>
      <formula>2.2</formula>
    </cfRule>
    <cfRule type="expression" dxfId="6361" priority="1537">
      <formula>U13&lt;1.6</formula>
    </cfRule>
    <cfRule type="expression" dxfId="6360" priority="1538">
      <formula>U13&gt;2.2</formula>
    </cfRule>
  </conditionalFormatting>
  <conditionalFormatting sqref="U14">
    <cfRule type="cellIs" dxfId="6359" priority="1531" operator="between">
      <formula>30%</formula>
      <formula>39.99%</formula>
    </cfRule>
    <cfRule type="cellIs" dxfId="6358" priority="1532" operator="between">
      <formula>50.01%</formula>
      <formula>60%</formula>
    </cfRule>
    <cfRule type="expression" dxfId="6357" priority="1533">
      <formula>U14&lt;30%</formula>
    </cfRule>
    <cfRule type="expression" dxfId="6356" priority="1534">
      <formula>U14&gt;60%</formula>
    </cfRule>
  </conditionalFormatting>
  <conditionalFormatting sqref="U15">
    <cfRule type="cellIs" dxfId="6355" priority="1527" operator="between">
      <formula>15%</formula>
      <formula>16.99%</formula>
    </cfRule>
    <cfRule type="cellIs" dxfId="6354" priority="1528" operator="between">
      <formula>27.01%</formula>
      <formula>30%</formula>
    </cfRule>
    <cfRule type="expression" dxfId="6353" priority="1529">
      <formula>U15&lt;15%</formula>
    </cfRule>
    <cfRule type="expression" dxfId="6352" priority="1530">
      <formula>U15&gt;30%</formula>
    </cfRule>
  </conditionalFormatting>
  <conditionalFormatting sqref="U16">
    <cfRule type="cellIs" dxfId="6351" priority="1523" operator="between">
      <formula>5%</formula>
      <formula>6.99%</formula>
    </cfRule>
    <cfRule type="cellIs" dxfId="6350" priority="1524" operator="between">
      <formula>12.99%</formula>
      <formula>15%</formula>
    </cfRule>
    <cfRule type="expression" dxfId="6349" priority="1525">
      <formula>U16&lt;5%</formula>
    </cfRule>
    <cfRule type="expression" dxfId="6348" priority="1526">
      <formula>U16&gt;15%</formula>
    </cfRule>
  </conditionalFormatting>
  <conditionalFormatting sqref="U17">
    <cfRule type="cellIs" dxfId="6347" priority="1519" operator="between">
      <formula>0.5%</formula>
      <formula>0.599%</formula>
    </cfRule>
    <cfRule type="cellIs" dxfId="6346" priority="1520" operator="between">
      <formula>1.41%</formula>
      <formula>1.5%</formula>
    </cfRule>
    <cfRule type="expression" dxfId="6345" priority="1521">
      <formula>U17&lt;0.5%</formula>
    </cfRule>
    <cfRule type="expression" dxfId="6344" priority="1522">
      <formula>U17&gt;1.5%</formula>
    </cfRule>
  </conditionalFormatting>
  <conditionalFormatting sqref="U7">
    <cfRule type="cellIs" dxfId="6343" priority="1515" operator="between">
      <formula>25</formula>
      <formula>27.99</formula>
    </cfRule>
    <cfRule type="cellIs" dxfId="6342" priority="1516" operator="between">
      <formula>32.1</formula>
      <formula>35</formula>
    </cfRule>
    <cfRule type="expression" dxfId="6341" priority="1517">
      <formula>U7&lt;25</formula>
    </cfRule>
    <cfRule type="expression" dxfId="6340" priority="1518">
      <formula>U7&gt;35</formula>
    </cfRule>
  </conditionalFormatting>
  <conditionalFormatting sqref="AA6">
    <cfRule type="cellIs" dxfId="6339" priority="1511" operator="between">
      <formula>25</formula>
      <formula>27.99</formula>
    </cfRule>
    <cfRule type="cellIs" dxfId="6338" priority="1512" operator="between">
      <formula>32.1</formula>
      <formula>35</formula>
    </cfRule>
    <cfRule type="expression" dxfId="6337" priority="1513">
      <formula>AA6&lt;25</formula>
    </cfRule>
    <cfRule type="expression" dxfId="6336" priority="1514">
      <formula>AA6&gt;35</formula>
    </cfRule>
  </conditionalFormatting>
  <conditionalFormatting sqref="AA8:AA9">
    <cfRule type="expression" dxfId="6335" priority="1509" stopIfTrue="1">
      <formula>AA8&gt;80</formula>
    </cfRule>
    <cfRule type="expression" dxfId="6334" priority="1510" stopIfTrue="1">
      <formula>AA8&lt;60</formula>
    </cfRule>
  </conditionalFormatting>
  <conditionalFormatting sqref="AA10">
    <cfRule type="cellIs" dxfId="6333" priority="1505" operator="between">
      <formula>130</formula>
      <formula>134.99</formula>
    </cfRule>
    <cfRule type="cellIs" dxfId="6332" priority="1506" operator="between">
      <formula>145.1</formula>
      <formula>150</formula>
    </cfRule>
    <cfRule type="expression" dxfId="6331" priority="1507">
      <formula>AA10&lt;130</formula>
    </cfRule>
    <cfRule type="expression" dxfId="6330" priority="1508">
      <formula>AA10&gt;150</formula>
    </cfRule>
  </conditionalFormatting>
  <conditionalFormatting sqref="AA11">
    <cfRule type="cellIs" dxfId="6329" priority="1501" operator="between">
      <formula>7</formula>
      <formula>7.99</formula>
    </cfRule>
    <cfRule type="cellIs" dxfId="6328" priority="1502" operator="between">
      <formula>10.1</formula>
      <formula>12</formula>
    </cfRule>
    <cfRule type="expression" dxfId="6327" priority="1503">
      <formula>AA11&lt;7</formula>
    </cfRule>
    <cfRule type="expression" dxfId="6326" priority="1504">
      <formula>AA11&gt;12</formula>
    </cfRule>
  </conditionalFormatting>
  <conditionalFormatting sqref="AA12">
    <cfRule type="cellIs" dxfId="6325" priority="1498" operator="between">
      <formula>16.1</formula>
      <formula>18</formula>
    </cfRule>
    <cfRule type="expression" dxfId="6324" priority="1499">
      <formula>AA12&lt;12</formula>
    </cfRule>
    <cfRule type="expression" dxfId="6323" priority="1500">
      <formula>AA12&gt;18</formula>
    </cfRule>
  </conditionalFormatting>
  <conditionalFormatting sqref="AA13">
    <cfRule type="cellIs" dxfId="6322" priority="1494" operator="between">
      <formula>1.6</formula>
      <formula>1.699</formula>
    </cfRule>
    <cfRule type="cellIs" dxfId="6321" priority="1495" operator="between">
      <formula>1.91</formula>
      <formula>2.2</formula>
    </cfRule>
    <cfRule type="expression" dxfId="6320" priority="1496">
      <formula>AA13&lt;1.6</formula>
    </cfRule>
    <cfRule type="expression" dxfId="6319" priority="1497">
      <formula>AA13&gt;2.2</formula>
    </cfRule>
  </conditionalFormatting>
  <conditionalFormatting sqref="AA14">
    <cfRule type="cellIs" dxfId="6318" priority="1490" operator="between">
      <formula>30%</formula>
      <formula>39.99%</formula>
    </cfRule>
    <cfRule type="cellIs" dxfId="6317" priority="1491" operator="between">
      <formula>50.01%</formula>
      <formula>60%</formula>
    </cfRule>
    <cfRule type="expression" dxfId="6316" priority="1492">
      <formula>AA14&lt;30%</formula>
    </cfRule>
    <cfRule type="expression" dxfId="6315" priority="1493">
      <formula>AA14&gt;60%</formula>
    </cfRule>
  </conditionalFormatting>
  <conditionalFormatting sqref="AA15">
    <cfRule type="cellIs" dxfId="6314" priority="1486" operator="between">
      <formula>15%</formula>
      <formula>16.99%</formula>
    </cfRule>
    <cfRule type="cellIs" dxfId="6313" priority="1487" operator="between">
      <formula>27.01%</formula>
      <formula>30%</formula>
    </cfRule>
    <cfRule type="expression" dxfId="6312" priority="1488">
      <formula>AA15&lt;15%</formula>
    </cfRule>
    <cfRule type="expression" dxfId="6311" priority="1489">
      <formula>AA15&gt;30%</formula>
    </cfRule>
  </conditionalFormatting>
  <conditionalFormatting sqref="AA16">
    <cfRule type="cellIs" dxfId="6310" priority="1482" operator="between">
      <formula>5%</formula>
      <formula>6.99%</formula>
    </cfRule>
    <cfRule type="cellIs" dxfId="6309" priority="1483" operator="between">
      <formula>12.99%</formula>
      <formula>15%</formula>
    </cfRule>
    <cfRule type="expression" dxfId="6308" priority="1484">
      <formula>AA16&lt;5%</formula>
    </cfRule>
    <cfRule type="expression" dxfId="6307" priority="1485">
      <formula>AA16&gt;15%</formula>
    </cfRule>
  </conditionalFormatting>
  <conditionalFormatting sqref="AA17">
    <cfRule type="cellIs" dxfId="6306" priority="1478" operator="between">
      <formula>0.5%</formula>
      <formula>0.599%</formula>
    </cfRule>
    <cfRule type="cellIs" dxfId="6305" priority="1479" operator="between">
      <formula>1.41%</formula>
      <formula>1.5%</formula>
    </cfRule>
    <cfRule type="expression" dxfId="6304" priority="1480">
      <formula>AA17&lt;0.5%</formula>
    </cfRule>
    <cfRule type="expression" dxfId="6303" priority="1481">
      <formula>AA17&gt;1.5%</formula>
    </cfRule>
  </conditionalFormatting>
  <conditionalFormatting sqref="AA7">
    <cfRule type="cellIs" dxfId="6302" priority="1474" operator="between">
      <formula>25</formula>
      <formula>27.99</formula>
    </cfRule>
    <cfRule type="cellIs" dxfId="6301" priority="1475" operator="between">
      <formula>32.1</formula>
      <formula>35</formula>
    </cfRule>
    <cfRule type="expression" dxfId="6300" priority="1476">
      <formula>AA7&lt;25</formula>
    </cfRule>
    <cfRule type="expression" dxfId="6299" priority="1477">
      <formula>AA7&gt;35</formula>
    </cfRule>
  </conditionalFormatting>
  <conditionalFormatting sqref="AG6">
    <cfRule type="cellIs" dxfId="6298" priority="1470" operator="between">
      <formula>25</formula>
      <formula>27.99</formula>
    </cfRule>
    <cfRule type="cellIs" dxfId="6297" priority="1471" operator="between">
      <formula>32.1</formula>
      <formula>35</formula>
    </cfRule>
    <cfRule type="expression" dxfId="6296" priority="1472">
      <formula>AG6&lt;25</formula>
    </cfRule>
    <cfRule type="expression" dxfId="6295" priority="1473">
      <formula>AG6&gt;35</formula>
    </cfRule>
  </conditionalFormatting>
  <conditionalFormatting sqref="AG8:AG9">
    <cfRule type="expression" dxfId="6294" priority="1468" stopIfTrue="1">
      <formula>AG8&gt;80</formula>
    </cfRule>
    <cfRule type="expression" dxfId="6293" priority="1469" stopIfTrue="1">
      <formula>AG8&lt;60</formula>
    </cfRule>
  </conditionalFormatting>
  <conditionalFormatting sqref="AG10">
    <cfRule type="cellIs" dxfId="6292" priority="1464" operator="between">
      <formula>130</formula>
      <formula>134.99</formula>
    </cfRule>
    <cfRule type="cellIs" dxfId="6291" priority="1465" operator="between">
      <formula>145.1</formula>
      <formula>150</formula>
    </cfRule>
    <cfRule type="expression" dxfId="6290" priority="1466">
      <formula>AG10&lt;130</formula>
    </cfRule>
    <cfRule type="expression" dxfId="6289" priority="1467">
      <formula>AG10&gt;150</formula>
    </cfRule>
  </conditionalFormatting>
  <conditionalFormatting sqref="AG11">
    <cfRule type="cellIs" dxfId="6288" priority="1460" operator="between">
      <formula>7</formula>
      <formula>7.99</formula>
    </cfRule>
    <cfRule type="cellIs" dxfId="6287" priority="1461" operator="between">
      <formula>10.1</formula>
      <formula>12</formula>
    </cfRule>
    <cfRule type="expression" dxfId="6286" priority="1462">
      <formula>AG11&lt;7</formula>
    </cfRule>
    <cfRule type="expression" dxfId="6285" priority="1463">
      <formula>AG11&gt;12</formula>
    </cfRule>
  </conditionalFormatting>
  <conditionalFormatting sqref="AG12">
    <cfRule type="cellIs" dxfId="6284" priority="1457" operator="between">
      <formula>16.1</formula>
      <formula>18</formula>
    </cfRule>
    <cfRule type="expression" dxfId="6283" priority="1458">
      <formula>AG12&lt;12</formula>
    </cfRule>
    <cfRule type="expression" dxfId="6282" priority="1459">
      <formula>AG12&gt;18</formula>
    </cfRule>
  </conditionalFormatting>
  <conditionalFormatting sqref="AG13">
    <cfRule type="cellIs" dxfId="6281" priority="1453" operator="between">
      <formula>1.6</formula>
      <formula>1.699</formula>
    </cfRule>
    <cfRule type="cellIs" dxfId="6280" priority="1454" operator="between">
      <formula>1.91</formula>
      <formula>2.2</formula>
    </cfRule>
    <cfRule type="expression" dxfId="6279" priority="1455">
      <formula>AG13&lt;1.6</formula>
    </cfRule>
    <cfRule type="expression" dxfId="6278" priority="1456">
      <formula>AG13&gt;2.2</formula>
    </cfRule>
  </conditionalFormatting>
  <conditionalFormatting sqref="AG14">
    <cfRule type="cellIs" dxfId="6277" priority="1449" operator="between">
      <formula>30%</formula>
      <formula>39.99%</formula>
    </cfRule>
    <cfRule type="cellIs" dxfId="6276" priority="1450" operator="between">
      <formula>50.01%</formula>
      <formula>60%</formula>
    </cfRule>
    <cfRule type="expression" dxfId="6275" priority="1451">
      <formula>AG14&lt;30%</formula>
    </cfRule>
    <cfRule type="expression" dxfId="6274" priority="1452">
      <formula>AG14&gt;60%</formula>
    </cfRule>
  </conditionalFormatting>
  <conditionalFormatting sqref="AG15">
    <cfRule type="cellIs" dxfId="6273" priority="1445" operator="between">
      <formula>15%</formula>
      <formula>16.99%</formula>
    </cfRule>
    <cfRule type="cellIs" dxfId="6272" priority="1446" operator="between">
      <formula>27.01%</formula>
      <formula>30%</formula>
    </cfRule>
    <cfRule type="expression" dxfId="6271" priority="1447">
      <formula>AG15&lt;15%</formula>
    </cfRule>
    <cfRule type="expression" dxfId="6270" priority="1448">
      <formula>AG15&gt;30%</formula>
    </cfRule>
  </conditionalFormatting>
  <conditionalFormatting sqref="AG16">
    <cfRule type="cellIs" dxfId="6269" priority="1441" operator="between">
      <formula>5%</formula>
      <formula>6.99%</formula>
    </cfRule>
    <cfRule type="cellIs" dxfId="6268" priority="1442" operator="between">
      <formula>12.99%</formula>
      <formula>15%</formula>
    </cfRule>
    <cfRule type="expression" dxfId="6267" priority="1443">
      <formula>AG16&lt;5%</formula>
    </cfRule>
    <cfRule type="expression" dxfId="6266" priority="1444">
      <formula>AG16&gt;15%</formula>
    </cfRule>
  </conditionalFormatting>
  <conditionalFormatting sqref="AG17">
    <cfRule type="cellIs" dxfId="6265" priority="1437" operator="between">
      <formula>0.5%</formula>
      <formula>0.599%</formula>
    </cfRule>
    <cfRule type="cellIs" dxfId="6264" priority="1438" operator="between">
      <formula>1.41%</formula>
      <formula>1.5%</formula>
    </cfRule>
    <cfRule type="expression" dxfId="6263" priority="1439">
      <formula>AG17&lt;0.5%</formula>
    </cfRule>
    <cfRule type="expression" dxfId="6262" priority="1440">
      <formula>AG17&gt;1.5%</formula>
    </cfRule>
  </conditionalFormatting>
  <conditionalFormatting sqref="AG7">
    <cfRule type="cellIs" dxfId="6261" priority="1433" operator="between">
      <formula>25</formula>
      <formula>27.99</formula>
    </cfRule>
    <cfRule type="cellIs" dxfId="6260" priority="1434" operator="between">
      <formula>32.1</formula>
      <formula>35</formula>
    </cfRule>
    <cfRule type="expression" dxfId="6259" priority="1435">
      <formula>AG7&lt;25</formula>
    </cfRule>
    <cfRule type="expression" dxfId="6258" priority="1436">
      <formula>AG7&gt;35</formula>
    </cfRule>
  </conditionalFormatting>
  <conditionalFormatting sqref="AM6">
    <cfRule type="cellIs" dxfId="6257" priority="1429" operator="between">
      <formula>25</formula>
      <formula>27.99</formula>
    </cfRule>
    <cfRule type="cellIs" dxfId="6256" priority="1430" operator="between">
      <formula>32.1</formula>
      <formula>35</formula>
    </cfRule>
    <cfRule type="expression" dxfId="6255" priority="1431">
      <formula>AM6&lt;25</formula>
    </cfRule>
    <cfRule type="expression" dxfId="6254" priority="1432">
      <formula>AM6&gt;35</formula>
    </cfRule>
  </conditionalFormatting>
  <conditionalFormatting sqref="AM8:AM9">
    <cfRule type="expression" dxfId="6253" priority="1427" stopIfTrue="1">
      <formula>AM8&gt;80</formula>
    </cfRule>
    <cfRule type="expression" dxfId="6252" priority="1428" stopIfTrue="1">
      <formula>AM8&lt;60</formula>
    </cfRule>
  </conditionalFormatting>
  <conditionalFormatting sqref="AM10">
    <cfRule type="cellIs" dxfId="6251" priority="1423" operator="between">
      <formula>130</formula>
      <formula>134.99</formula>
    </cfRule>
    <cfRule type="cellIs" dxfId="6250" priority="1424" operator="between">
      <formula>145.1</formula>
      <formula>150</formula>
    </cfRule>
    <cfRule type="expression" dxfId="6249" priority="1425">
      <formula>AM10&lt;130</formula>
    </cfRule>
    <cfRule type="expression" dxfId="6248" priority="1426">
      <formula>AM10&gt;150</formula>
    </cfRule>
  </conditionalFormatting>
  <conditionalFormatting sqref="AM11">
    <cfRule type="cellIs" dxfId="6247" priority="1419" operator="between">
      <formula>7</formula>
      <formula>7.99</formula>
    </cfRule>
    <cfRule type="cellIs" dxfId="6246" priority="1420" operator="between">
      <formula>10.1</formula>
      <formula>12</formula>
    </cfRule>
    <cfRule type="expression" dxfId="6245" priority="1421">
      <formula>AM11&lt;7</formula>
    </cfRule>
    <cfRule type="expression" dxfId="6244" priority="1422">
      <formula>AM11&gt;12</formula>
    </cfRule>
  </conditionalFormatting>
  <conditionalFormatting sqref="AM12">
    <cfRule type="cellIs" dxfId="6243" priority="1416" operator="between">
      <formula>16.1</formula>
      <formula>18</formula>
    </cfRule>
    <cfRule type="expression" dxfId="6242" priority="1417">
      <formula>AM12&lt;12</formula>
    </cfRule>
    <cfRule type="expression" dxfId="6241" priority="1418">
      <formula>AM12&gt;18</formula>
    </cfRule>
  </conditionalFormatting>
  <conditionalFormatting sqref="AM13">
    <cfRule type="cellIs" dxfId="6240" priority="1412" operator="between">
      <formula>1.6</formula>
      <formula>1.699</formula>
    </cfRule>
    <cfRule type="cellIs" dxfId="6239" priority="1413" operator="between">
      <formula>1.91</formula>
      <formula>2.2</formula>
    </cfRule>
    <cfRule type="expression" dxfId="6238" priority="1414">
      <formula>AM13&lt;1.6</formula>
    </cfRule>
    <cfRule type="expression" dxfId="6237" priority="1415">
      <formula>AM13&gt;2.2</formula>
    </cfRule>
  </conditionalFormatting>
  <conditionalFormatting sqref="AM14">
    <cfRule type="cellIs" dxfId="6236" priority="1408" operator="between">
      <formula>30%</formula>
      <formula>39.99%</formula>
    </cfRule>
    <cfRule type="cellIs" dxfId="6235" priority="1409" operator="between">
      <formula>50.01%</formula>
      <formula>60%</formula>
    </cfRule>
    <cfRule type="expression" dxfId="6234" priority="1410">
      <formula>AM14&lt;30%</formula>
    </cfRule>
    <cfRule type="expression" dxfId="6233" priority="1411">
      <formula>AM14&gt;60%</formula>
    </cfRule>
  </conditionalFormatting>
  <conditionalFormatting sqref="AM15">
    <cfRule type="cellIs" dxfId="6232" priority="1404" operator="between">
      <formula>15%</formula>
      <formula>16.99%</formula>
    </cfRule>
    <cfRule type="cellIs" dxfId="6231" priority="1405" operator="between">
      <formula>27.01%</formula>
      <formula>30%</formula>
    </cfRule>
    <cfRule type="expression" dxfId="6230" priority="1406">
      <formula>AM15&lt;15%</formula>
    </cfRule>
    <cfRule type="expression" dxfId="6229" priority="1407">
      <formula>AM15&gt;30%</formula>
    </cfRule>
  </conditionalFormatting>
  <conditionalFormatting sqref="AM16">
    <cfRule type="cellIs" dxfId="6228" priority="1400" operator="between">
      <formula>5%</formula>
      <formula>6.99%</formula>
    </cfRule>
    <cfRule type="cellIs" dxfId="6227" priority="1401" operator="between">
      <formula>12.99%</formula>
      <formula>15%</formula>
    </cfRule>
    <cfRule type="expression" dxfId="6226" priority="1402">
      <formula>AM16&lt;5%</formula>
    </cfRule>
    <cfRule type="expression" dxfId="6225" priority="1403">
      <formula>AM16&gt;15%</formula>
    </cfRule>
  </conditionalFormatting>
  <conditionalFormatting sqref="AM17">
    <cfRule type="cellIs" dxfId="6224" priority="1396" operator="between">
      <formula>0.5%</formula>
      <formula>0.599%</formula>
    </cfRule>
    <cfRule type="cellIs" dxfId="6223" priority="1397" operator="between">
      <formula>1.41%</formula>
      <formula>1.5%</formula>
    </cfRule>
    <cfRule type="expression" dxfId="6222" priority="1398">
      <formula>AM17&lt;0.5%</formula>
    </cfRule>
    <cfRule type="expression" dxfId="6221" priority="1399">
      <formula>AM17&gt;1.5%</formula>
    </cfRule>
  </conditionalFormatting>
  <conditionalFormatting sqref="AM7">
    <cfRule type="cellIs" dxfId="6220" priority="1392" operator="between">
      <formula>25</formula>
      <formula>27.99</formula>
    </cfRule>
    <cfRule type="cellIs" dxfId="6219" priority="1393" operator="between">
      <formula>32.1</formula>
      <formula>35</formula>
    </cfRule>
    <cfRule type="expression" dxfId="6218" priority="1394">
      <formula>AM7&lt;25</formula>
    </cfRule>
    <cfRule type="expression" dxfId="6217" priority="1395">
      <formula>AM7&gt;35</formula>
    </cfRule>
  </conditionalFormatting>
  <conditionalFormatting sqref="I22">
    <cfRule type="cellIs" dxfId="6216" priority="1388" operator="between">
      <formula>65</formula>
      <formula>66.9</formula>
    </cfRule>
    <cfRule type="cellIs" dxfId="6215" priority="1389" operator="between">
      <formula>73.1</formula>
      <formula>75</formula>
    </cfRule>
    <cfRule type="expression" dxfId="6214" priority="1390">
      <formula>I22&lt;65</formula>
    </cfRule>
    <cfRule type="expression" dxfId="6213" priority="1391">
      <formula>I22&gt;75</formula>
    </cfRule>
  </conditionalFormatting>
  <conditionalFormatting sqref="I24">
    <cfRule type="cellIs" dxfId="6212" priority="1384" operator="between">
      <formula>50</formula>
      <formula>51.9</formula>
    </cfRule>
    <cfRule type="cellIs" dxfId="6211" priority="1385" operator="between">
      <formula>58.1</formula>
      <formula>60</formula>
    </cfRule>
    <cfRule type="expression" dxfId="6210" priority="1386">
      <formula>I24&lt;50</formula>
    </cfRule>
    <cfRule type="expression" dxfId="6209" priority="1387">
      <formula>I24&gt;60</formula>
    </cfRule>
  </conditionalFormatting>
  <conditionalFormatting sqref="I26">
    <cfRule type="cellIs" dxfId="6208" priority="1380" operator="between">
      <formula>20</formula>
      <formula>21.9</formula>
    </cfRule>
    <cfRule type="cellIs" dxfId="6207" priority="1381" operator="between">
      <formula>28.1</formula>
      <formula>30</formula>
    </cfRule>
    <cfRule type="expression" dxfId="6206" priority="1382">
      <formula>I26&lt;20</formula>
    </cfRule>
    <cfRule type="expression" dxfId="6205" priority="1383">
      <formula>I26&gt;30</formula>
    </cfRule>
  </conditionalFormatting>
  <conditionalFormatting sqref="I27">
    <cfRule type="cellIs" dxfId="6204" priority="1376" operator="between">
      <formula>35</formula>
      <formula>36.9</formula>
    </cfRule>
    <cfRule type="cellIs" dxfId="6203" priority="1377" operator="between">
      <formula>43.1</formula>
      <formula>45</formula>
    </cfRule>
    <cfRule type="expression" dxfId="6202" priority="1378">
      <formula>I27&lt;35</formula>
    </cfRule>
    <cfRule type="expression" dxfId="6201" priority="1379">
      <formula>I27&gt;45</formula>
    </cfRule>
  </conditionalFormatting>
  <conditionalFormatting sqref="I28">
    <cfRule type="cellIs" dxfId="6200" priority="1372" operator="between">
      <formula>55</formula>
      <formula>56.9</formula>
    </cfRule>
    <cfRule type="cellIs" dxfId="6199" priority="1373" operator="between">
      <formula>63.1</formula>
      <formula>65</formula>
    </cfRule>
    <cfRule type="expression" dxfId="6198" priority="1374">
      <formula>I28&lt;55</formula>
    </cfRule>
    <cfRule type="expression" dxfId="6197" priority="1375">
      <formula>I28&gt;65</formula>
    </cfRule>
  </conditionalFormatting>
  <conditionalFormatting sqref="I23">
    <cfRule type="cellIs" dxfId="6196" priority="1368" operator="between">
      <formula>65</formula>
      <formula>66.9</formula>
    </cfRule>
    <cfRule type="cellIs" dxfId="6195" priority="1369" operator="between">
      <formula>73.1</formula>
      <formula>75</formula>
    </cfRule>
    <cfRule type="expression" dxfId="6194" priority="1370">
      <formula>I23&lt;65</formula>
    </cfRule>
    <cfRule type="expression" dxfId="6193" priority="1371">
      <formula>I23&gt;75</formula>
    </cfRule>
  </conditionalFormatting>
  <conditionalFormatting sqref="I25">
    <cfRule type="cellIs" dxfId="6192" priority="1364" operator="between">
      <formula>50</formula>
      <formula>51.9</formula>
    </cfRule>
    <cfRule type="cellIs" dxfId="6191" priority="1365" operator="between">
      <formula>58.1</formula>
      <formula>60</formula>
    </cfRule>
    <cfRule type="expression" dxfId="6190" priority="1366">
      <formula>I25&lt;50</formula>
    </cfRule>
    <cfRule type="expression" dxfId="6189" priority="1367">
      <formula>I25&gt;60</formula>
    </cfRule>
  </conditionalFormatting>
  <conditionalFormatting sqref="L29">
    <cfRule type="cellIs" dxfId="6188" priority="1360" operator="between">
      <formula>65</formula>
      <formula>66.9</formula>
    </cfRule>
    <cfRule type="cellIs" dxfId="6187" priority="1361" operator="between">
      <formula>73.1</formula>
      <formula>75</formula>
    </cfRule>
    <cfRule type="expression" dxfId="6186" priority="1362">
      <formula>L29&lt;65</formula>
    </cfRule>
    <cfRule type="expression" dxfId="6185" priority="1363">
      <formula>L29&gt;75</formula>
    </cfRule>
  </conditionalFormatting>
  <conditionalFormatting sqref="R29">
    <cfRule type="cellIs" dxfId="6184" priority="1356" operator="between">
      <formula>65</formula>
      <formula>66.9</formula>
    </cfRule>
    <cfRule type="cellIs" dxfId="6183" priority="1357" operator="between">
      <formula>73.1</formula>
      <formula>75</formula>
    </cfRule>
    <cfRule type="expression" dxfId="6182" priority="1358">
      <formula>R29&lt;65</formula>
    </cfRule>
    <cfRule type="expression" dxfId="6181" priority="1359">
      <formula>R29&gt;75</formula>
    </cfRule>
  </conditionalFormatting>
  <conditionalFormatting sqref="X29">
    <cfRule type="cellIs" dxfId="6180" priority="1352" operator="between">
      <formula>65</formula>
      <formula>66.9</formula>
    </cfRule>
    <cfRule type="cellIs" dxfId="6179" priority="1353" operator="between">
      <formula>73.1</formula>
      <formula>75</formula>
    </cfRule>
    <cfRule type="expression" dxfId="6178" priority="1354">
      <formula>X29&lt;65</formula>
    </cfRule>
    <cfRule type="expression" dxfId="6177" priority="1355">
      <formula>X29&gt;75</formula>
    </cfRule>
  </conditionalFormatting>
  <conditionalFormatting sqref="AD29">
    <cfRule type="cellIs" dxfId="6176" priority="1348" operator="between">
      <formula>65</formula>
      <formula>66.9</formula>
    </cfRule>
    <cfRule type="cellIs" dxfId="6175" priority="1349" operator="between">
      <formula>73.1</formula>
      <formula>75</formula>
    </cfRule>
    <cfRule type="expression" dxfId="6174" priority="1350">
      <formula>AD29&lt;65</formula>
    </cfRule>
    <cfRule type="expression" dxfId="6173" priority="1351">
      <formula>AD29&gt;75</formula>
    </cfRule>
  </conditionalFormatting>
  <conditionalFormatting sqref="AJ29">
    <cfRule type="cellIs" dxfId="6172" priority="1344" operator="between">
      <formula>65</formula>
      <formula>66.9</formula>
    </cfRule>
    <cfRule type="cellIs" dxfId="6171" priority="1345" operator="between">
      <formula>73.1</formula>
      <formula>75</formula>
    </cfRule>
    <cfRule type="expression" dxfId="6170" priority="1346">
      <formula>AJ29&lt;65</formula>
    </cfRule>
    <cfRule type="expression" dxfId="6169" priority="1347">
      <formula>AJ29&gt;75</formula>
    </cfRule>
  </conditionalFormatting>
  <conditionalFormatting sqref="AP29">
    <cfRule type="cellIs" dxfId="6168" priority="1340" operator="between">
      <formula>65</formula>
      <formula>66.9</formula>
    </cfRule>
    <cfRule type="cellIs" dxfId="6167" priority="1341" operator="between">
      <formula>73.1</formula>
      <formula>75</formula>
    </cfRule>
    <cfRule type="expression" dxfId="6166" priority="1342">
      <formula>AP29&lt;65</formula>
    </cfRule>
    <cfRule type="expression" dxfId="6165" priority="1343">
      <formula>AP29&gt;75</formula>
    </cfRule>
  </conditionalFormatting>
  <conditionalFormatting sqref="L22">
    <cfRule type="cellIs" dxfId="6164" priority="1336" operator="between">
      <formula>65</formula>
      <formula>66.9</formula>
    </cfRule>
    <cfRule type="cellIs" dxfId="6163" priority="1337" operator="between">
      <formula>73.1</formula>
      <formula>75</formula>
    </cfRule>
    <cfRule type="expression" dxfId="6162" priority="1338">
      <formula>L22&lt;65</formula>
    </cfRule>
    <cfRule type="expression" dxfId="6161" priority="1339">
      <formula>L22&gt;75</formula>
    </cfRule>
  </conditionalFormatting>
  <conditionalFormatting sqref="L24">
    <cfRule type="cellIs" dxfId="6160" priority="1332" operator="between">
      <formula>50</formula>
      <formula>51.9</formula>
    </cfRule>
    <cfRule type="cellIs" dxfId="6159" priority="1333" operator="between">
      <formula>58.1</formula>
      <formula>60</formula>
    </cfRule>
    <cfRule type="expression" dxfId="6158" priority="1334">
      <formula>L24&lt;50</formula>
    </cfRule>
    <cfRule type="expression" dxfId="6157" priority="1335">
      <formula>L24&gt;60</formula>
    </cfRule>
  </conditionalFormatting>
  <conditionalFormatting sqref="L26">
    <cfRule type="cellIs" dxfId="6156" priority="1328" operator="between">
      <formula>20</formula>
      <formula>21.9</formula>
    </cfRule>
    <cfRule type="cellIs" dxfId="6155" priority="1329" operator="between">
      <formula>28.1</formula>
      <formula>30</formula>
    </cfRule>
    <cfRule type="expression" dxfId="6154" priority="1330">
      <formula>L26&lt;20</formula>
    </cfRule>
    <cfRule type="expression" dxfId="6153" priority="1331">
      <formula>L26&gt;30</formula>
    </cfRule>
  </conditionalFormatting>
  <conditionalFormatting sqref="L27">
    <cfRule type="cellIs" dxfId="6152" priority="1324" operator="between">
      <formula>35</formula>
      <formula>36.9</formula>
    </cfRule>
    <cfRule type="cellIs" dxfId="6151" priority="1325" operator="between">
      <formula>43.1</formula>
      <formula>45</formula>
    </cfRule>
    <cfRule type="expression" dxfId="6150" priority="1326">
      <formula>L27&lt;35</formula>
    </cfRule>
    <cfRule type="expression" dxfId="6149" priority="1327">
      <formula>L27&gt;45</formula>
    </cfRule>
  </conditionalFormatting>
  <conditionalFormatting sqref="L28">
    <cfRule type="cellIs" dxfId="6148" priority="1320" operator="between">
      <formula>55</formula>
      <formula>56.9</formula>
    </cfRule>
    <cfRule type="cellIs" dxfId="6147" priority="1321" operator="between">
      <formula>63.1</formula>
      <formula>65</formula>
    </cfRule>
    <cfRule type="expression" dxfId="6146" priority="1322">
      <formula>L28&lt;55</formula>
    </cfRule>
    <cfRule type="expression" dxfId="6145" priority="1323">
      <formula>L28&gt;65</formula>
    </cfRule>
  </conditionalFormatting>
  <conditionalFormatting sqref="L23">
    <cfRule type="cellIs" dxfId="6144" priority="1316" operator="between">
      <formula>65</formula>
      <formula>66.9</formula>
    </cfRule>
    <cfRule type="cellIs" dxfId="6143" priority="1317" operator="between">
      <formula>73.1</formula>
      <formula>75</formula>
    </cfRule>
    <cfRule type="expression" dxfId="6142" priority="1318">
      <formula>L23&lt;65</formula>
    </cfRule>
    <cfRule type="expression" dxfId="6141" priority="1319">
      <formula>L23&gt;75</formula>
    </cfRule>
  </conditionalFormatting>
  <conditionalFormatting sqref="L25">
    <cfRule type="cellIs" dxfId="6140" priority="1312" operator="between">
      <formula>50</formula>
      <formula>51.9</formula>
    </cfRule>
    <cfRule type="cellIs" dxfId="6139" priority="1313" operator="between">
      <formula>58.1</formula>
      <formula>60</formula>
    </cfRule>
    <cfRule type="expression" dxfId="6138" priority="1314">
      <formula>L25&lt;50</formula>
    </cfRule>
    <cfRule type="expression" dxfId="6137" priority="1315">
      <formula>L25&gt;60</formula>
    </cfRule>
  </conditionalFormatting>
  <conditionalFormatting sqref="O22">
    <cfRule type="cellIs" dxfId="6136" priority="1308" operator="between">
      <formula>65</formula>
      <formula>66.9</formula>
    </cfRule>
    <cfRule type="cellIs" dxfId="6135" priority="1309" operator="between">
      <formula>73.1</formula>
      <formula>75</formula>
    </cfRule>
    <cfRule type="expression" dxfId="6134" priority="1310">
      <formula>O22&lt;65</formula>
    </cfRule>
    <cfRule type="expression" dxfId="6133" priority="1311">
      <formula>O22&gt;75</formula>
    </cfRule>
  </conditionalFormatting>
  <conditionalFormatting sqref="O24">
    <cfRule type="cellIs" dxfId="6132" priority="1304" operator="between">
      <formula>50</formula>
      <formula>51.9</formula>
    </cfRule>
    <cfRule type="cellIs" dxfId="6131" priority="1305" operator="between">
      <formula>58.1</formula>
      <formula>60</formula>
    </cfRule>
    <cfRule type="expression" dxfId="6130" priority="1306">
      <formula>O24&lt;50</formula>
    </cfRule>
    <cfRule type="expression" dxfId="6129" priority="1307">
      <formula>O24&gt;60</formula>
    </cfRule>
  </conditionalFormatting>
  <conditionalFormatting sqref="O26">
    <cfRule type="cellIs" dxfId="6128" priority="1300" operator="between">
      <formula>20</formula>
      <formula>21.9</formula>
    </cfRule>
    <cfRule type="cellIs" dxfId="6127" priority="1301" operator="between">
      <formula>28.1</formula>
      <formula>30</formula>
    </cfRule>
    <cfRule type="expression" dxfId="6126" priority="1302">
      <formula>O26&lt;20</formula>
    </cfRule>
    <cfRule type="expression" dxfId="6125" priority="1303">
      <formula>O26&gt;30</formula>
    </cfRule>
  </conditionalFormatting>
  <conditionalFormatting sqref="O27">
    <cfRule type="cellIs" dxfId="6124" priority="1296" operator="between">
      <formula>35</formula>
      <formula>36.9</formula>
    </cfRule>
    <cfRule type="cellIs" dxfId="6123" priority="1297" operator="between">
      <formula>43.1</formula>
      <formula>45</formula>
    </cfRule>
    <cfRule type="expression" dxfId="6122" priority="1298">
      <formula>O27&lt;35</formula>
    </cfRule>
    <cfRule type="expression" dxfId="6121" priority="1299">
      <formula>O27&gt;45</formula>
    </cfRule>
  </conditionalFormatting>
  <conditionalFormatting sqref="O28">
    <cfRule type="cellIs" dxfId="6120" priority="1292" operator="between">
      <formula>55</formula>
      <formula>56.9</formula>
    </cfRule>
    <cfRule type="cellIs" dxfId="6119" priority="1293" operator="between">
      <formula>63.1</formula>
      <formula>65</formula>
    </cfRule>
    <cfRule type="expression" dxfId="6118" priority="1294">
      <formula>O28&lt;55</formula>
    </cfRule>
    <cfRule type="expression" dxfId="6117" priority="1295">
      <formula>O28&gt;65</formula>
    </cfRule>
  </conditionalFormatting>
  <conditionalFormatting sqref="O23">
    <cfRule type="cellIs" dxfId="6116" priority="1288" operator="between">
      <formula>65</formula>
      <formula>66.9</formula>
    </cfRule>
    <cfRule type="cellIs" dxfId="6115" priority="1289" operator="between">
      <formula>73.1</formula>
      <formula>75</formula>
    </cfRule>
    <cfRule type="expression" dxfId="6114" priority="1290">
      <formula>O23&lt;65</formula>
    </cfRule>
    <cfRule type="expression" dxfId="6113" priority="1291">
      <formula>O23&gt;75</formula>
    </cfRule>
  </conditionalFormatting>
  <conditionalFormatting sqref="O25">
    <cfRule type="cellIs" dxfId="6112" priority="1284" operator="between">
      <formula>50</formula>
      <formula>51.9</formula>
    </cfRule>
    <cfRule type="cellIs" dxfId="6111" priority="1285" operator="between">
      <formula>58.1</formula>
      <formula>60</formula>
    </cfRule>
    <cfRule type="expression" dxfId="6110" priority="1286">
      <formula>O25&lt;50</formula>
    </cfRule>
    <cfRule type="expression" dxfId="6109" priority="1287">
      <formula>O25&gt;60</formula>
    </cfRule>
  </conditionalFormatting>
  <conditionalFormatting sqref="R22">
    <cfRule type="cellIs" dxfId="6108" priority="1280" operator="between">
      <formula>65</formula>
      <formula>66.9</formula>
    </cfRule>
    <cfRule type="cellIs" dxfId="6107" priority="1281" operator="between">
      <formula>73.1</formula>
      <formula>75</formula>
    </cfRule>
    <cfRule type="expression" dxfId="6106" priority="1282">
      <formula>R22&lt;65</formula>
    </cfRule>
    <cfRule type="expression" dxfId="6105" priority="1283">
      <formula>R22&gt;75</formula>
    </cfRule>
  </conditionalFormatting>
  <conditionalFormatting sqref="R24">
    <cfRule type="cellIs" dxfId="6104" priority="1276" operator="between">
      <formula>50</formula>
      <formula>51.9</formula>
    </cfRule>
    <cfRule type="cellIs" dxfId="6103" priority="1277" operator="between">
      <formula>58.1</formula>
      <formula>60</formula>
    </cfRule>
    <cfRule type="expression" dxfId="6102" priority="1278">
      <formula>R24&lt;50</formula>
    </cfRule>
    <cfRule type="expression" dxfId="6101" priority="1279">
      <formula>R24&gt;60</formula>
    </cfRule>
  </conditionalFormatting>
  <conditionalFormatting sqref="R26">
    <cfRule type="cellIs" dxfId="6100" priority="1272" operator="between">
      <formula>20</formula>
      <formula>21.9</formula>
    </cfRule>
    <cfRule type="cellIs" dxfId="6099" priority="1273" operator="between">
      <formula>28.1</formula>
      <formula>30</formula>
    </cfRule>
    <cfRule type="expression" dxfId="6098" priority="1274">
      <formula>R26&lt;20</formula>
    </cfRule>
    <cfRule type="expression" dxfId="6097" priority="1275">
      <formula>R26&gt;30</formula>
    </cfRule>
  </conditionalFormatting>
  <conditionalFormatting sqref="R27">
    <cfRule type="cellIs" dxfId="6096" priority="1268" operator="between">
      <formula>35</formula>
      <formula>36.9</formula>
    </cfRule>
    <cfRule type="cellIs" dxfId="6095" priority="1269" operator="between">
      <formula>43.1</formula>
      <formula>45</formula>
    </cfRule>
    <cfRule type="expression" dxfId="6094" priority="1270">
      <formula>R27&lt;35</formula>
    </cfRule>
    <cfRule type="expression" dxfId="6093" priority="1271">
      <formula>R27&gt;45</formula>
    </cfRule>
  </conditionalFormatting>
  <conditionalFormatting sqref="R28">
    <cfRule type="cellIs" dxfId="6092" priority="1264" operator="between">
      <formula>55</formula>
      <formula>56.9</formula>
    </cfRule>
    <cfRule type="cellIs" dxfId="6091" priority="1265" operator="between">
      <formula>63.1</formula>
      <formula>65</formula>
    </cfRule>
    <cfRule type="expression" dxfId="6090" priority="1266">
      <formula>R28&lt;55</formula>
    </cfRule>
    <cfRule type="expression" dxfId="6089" priority="1267">
      <formula>R28&gt;65</formula>
    </cfRule>
  </conditionalFormatting>
  <conditionalFormatting sqref="R23">
    <cfRule type="cellIs" dxfId="6088" priority="1260" operator="between">
      <formula>65</formula>
      <formula>66.9</formula>
    </cfRule>
    <cfRule type="cellIs" dxfId="6087" priority="1261" operator="between">
      <formula>73.1</formula>
      <formula>75</formula>
    </cfRule>
    <cfRule type="expression" dxfId="6086" priority="1262">
      <formula>R23&lt;65</formula>
    </cfRule>
    <cfRule type="expression" dxfId="6085" priority="1263">
      <formula>R23&gt;75</formula>
    </cfRule>
  </conditionalFormatting>
  <conditionalFormatting sqref="R25">
    <cfRule type="cellIs" dxfId="6084" priority="1256" operator="between">
      <formula>50</formula>
      <formula>51.9</formula>
    </cfRule>
    <cfRule type="cellIs" dxfId="6083" priority="1257" operator="between">
      <formula>58.1</formula>
      <formula>60</formula>
    </cfRule>
    <cfRule type="expression" dxfId="6082" priority="1258">
      <formula>R25&lt;50</formula>
    </cfRule>
    <cfRule type="expression" dxfId="6081" priority="1259">
      <formula>R25&gt;60</formula>
    </cfRule>
  </conditionalFormatting>
  <conditionalFormatting sqref="U22">
    <cfRule type="cellIs" dxfId="6080" priority="1252" operator="between">
      <formula>65</formula>
      <formula>66.9</formula>
    </cfRule>
    <cfRule type="cellIs" dxfId="6079" priority="1253" operator="between">
      <formula>73.1</formula>
      <formula>75</formula>
    </cfRule>
    <cfRule type="expression" dxfId="6078" priority="1254">
      <formula>U22&lt;65</formula>
    </cfRule>
    <cfRule type="expression" dxfId="6077" priority="1255">
      <formula>U22&gt;75</formula>
    </cfRule>
  </conditionalFormatting>
  <conditionalFormatting sqref="U24">
    <cfRule type="cellIs" dxfId="6076" priority="1248" operator="between">
      <formula>50</formula>
      <formula>51.9</formula>
    </cfRule>
    <cfRule type="cellIs" dxfId="6075" priority="1249" operator="between">
      <formula>58.1</formula>
      <formula>60</formula>
    </cfRule>
    <cfRule type="expression" dxfId="6074" priority="1250">
      <formula>U24&lt;50</formula>
    </cfRule>
    <cfRule type="expression" dxfId="6073" priority="1251">
      <formula>U24&gt;60</formula>
    </cfRule>
  </conditionalFormatting>
  <conditionalFormatting sqref="U26">
    <cfRule type="cellIs" dxfId="6072" priority="1244" operator="between">
      <formula>20</formula>
      <formula>21.9</formula>
    </cfRule>
    <cfRule type="cellIs" dxfId="6071" priority="1245" operator="between">
      <formula>28.1</formula>
      <formula>30</formula>
    </cfRule>
    <cfRule type="expression" dxfId="6070" priority="1246">
      <formula>U26&lt;20</formula>
    </cfRule>
    <cfRule type="expression" dxfId="6069" priority="1247">
      <formula>U26&gt;30</formula>
    </cfRule>
  </conditionalFormatting>
  <conditionalFormatting sqref="U27">
    <cfRule type="cellIs" dxfId="6068" priority="1240" operator="between">
      <formula>35</formula>
      <formula>36.9</formula>
    </cfRule>
    <cfRule type="cellIs" dxfId="6067" priority="1241" operator="between">
      <formula>43.1</formula>
      <formula>45</formula>
    </cfRule>
    <cfRule type="expression" dxfId="6066" priority="1242">
      <formula>U27&lt;35</formula>
    </cfRule>
    <cfRule type="expression" dxfId="6065" priority="1243">
      <formula>U27&gt;45</formula>
    </cfRule>
  </conditionalFormatting>
  <conditionalFormatting sqref="U28">
    <cfRule type="cellIs" dxfId="6064" priority="1236" operator="between">
      <formula>55</formula>
      <formula>56.9</formula>
    </cfRule>
    <cfRule type="cellIs" dxfId="6063" priority="1237" operator="between">
      <formula>63.1</formula>
      <formula>65</formula>
    </cfRule>
    <cfRule type="expression" dxfId="6062" priority="1238">
      <formula>U28&lt;55</formula>
    </cfRule>
    <cfRule type="expression" dxfId="6061" priority="1239">
      <formula>U28&gt;65</formula>
    </cfRule>
  </conditionalFormatting>
  <conditionalFormatting sqref="U23">
    <cfRule type="cellIs" dxfId="6060" priority="1232" operator="between">
      <formula>65</formula>
      <formula>66.9</formula>
    </cfRule>
    <cfRule type="cellIs" dxfId="6059" priority="1233" operator="between">
      <formula>73.1</formula>
      <formula>75</formula>
    </cfRule>
    <cfRule type="expression" dxfId="6058" priority="1234">
      <formula>U23&lt;65</formula>
    </cfRule>
    <cfRule type="expression" dxfId="6057" priority="1235">
      <formula>U23&gt;75</formula>
    </cfRule>
  </conditionalFormatting>
  <conditionalFormatting sqref="U25">
    <cfRule type="cellIs" dxfId="6056" priority="1228" operator="between">
      <formula>50</formula>
      <formula>51.9</formula>
    </cfRule>
    <cfRule type="cellIs" dxfId="6055" priority="1229" operator="between">
      <formula>58.1</formula>
      <formula>60</formula>
    </cfRule>
    <cfRule type="expression" dxfId="6054" priority="1230">
      <formula>U25&lt;50</formula>
    </cfRule>
    <cfRule type="expression" dxfId="6053" priority="1231">
      <formula>U25&gt;60</formula>
    </cfRule>
  </conditionalFormatting>
  <conditionalFormatting sqref="X22">
    <cfRule type="cellIs" dxfId="6052" priority="1224" operator="between">
      <formula>65</formula>
      <formula>66.9</formula>
    </cfRule>
    <cfRule type="cellIs" dxfId="6051" priority="1225" operator="between">
      <formula>73.1</formula>
      <formula>75</formula>
    </cfRule>
    <cfRule type="expression" dxfId="6050" priority="1226">
      <formula>X22&lt;65</formula>
    </cfRule>
    <cfRule type="expression" dxfId="6049" priority="1227">
      <formula>X22&gt;75</formula>
    </cfRule>
  </conditionalFormatting>
  <conditionalFormatting sqref="X24">
    <cfRule type="cellIs" dxfId="6048" priority="1220" operator="between">
      <formula>50</formula>
      <formula>51.9</formula>
    </cfRule>
    <cfRule type="cellIs" dxfId="6047" priority="1221" operator="between">
      <formula>58.1</formula>
      <formula>60</formula>
    </cfRule>
    <cfRule type="expression" dxfId="6046" priority="1222">
      <formula>X24&lt;50</formula>
    </cfRule>
    <cfRule type="expression" dxfId="6045" priority="1223">
      <formula>X24&gt;60</formula>
    </cfRule>
  </conditionalFormatting>
  <conditionalFormatting sqref="X26">
    <cfRule type="cellIs" dxfId="6044" priority="1216" operator="between">
      <formula>20</formula>
      <formula>21.9</formula>
    </cfRule>
    <cfRule type="cellIs" dxfId="6043" priority="1217" operator="between">
      <formula>28.1</formula>
      <formula>30</formula>
    </cfRule>
    <cfRule type="expression" dxfId="6042" priority="1218">
      <formula>X26&lt;20</formula>
    </cfRule>
    <cfRule type="expression" dxfId="6041" priority="1219">
      <formula>X26&gt;30</formula>
    </cfRule>
  </conditionalFormatting>
  <conditionalFormatting sqref="X27">
    <cfRule type="cellIs" dxfId="6040" priority="1212" operator="between">
      <formula>35</formula>
      <formula>36.9</formula>
    </cfRule>
    <cfRule type="cellIs" dxfId="6039" priority="1213" operator="between">
      <formula>43.1</formula>
      <formula>45</formula>
    </cfRule>
    <cfRule type="expression" dxfId="6038" priority="1214">
      <formula>X27&lt;35</formula>
    </cfRule>
    <cfRule type="expression" dxfId="6037" priority="1215">
      <formula>X27&gt;45</formula>
    </cfRule>
  </conditionalFormatting>
  <conditionalFormatting sqref="X28">
    <cfRule type="cellIs" dxfId="6036" priority="1208" operator="between">
      <formula>55</formula>
      <formula>56.9</formula>
    </cfRule>
    <cfRule type="cellIs" dxfId="6035" priority="1209" operator="between">
      <formula>63.1</formula>
      <formula>65</formula>
    </cfRule>
    <cfRule type="expression" dxfId="6034" priority="1210">
      <formula>X28&lt;55</formula>
    </cfRule>
    <cfRule type="expression" dxfId="6033" priority="1211">
      <formula>X28&gt;65</formula>
    </cfRule>
  </conditionalFormatting>
  <conditionalFormatting sqref="X23">
    <cfRule type="cellIs" dxfId="6032" priority="1204" operator="between">
      <formula>65</formula>
      <formula>66.9</formula>
    </cfRule>
    <cfRule type="cellIs" dxfId="6031" priority="1205" operator="between">
      <formula>73.1</formula>
      <formula>75</formula>
    </cfRule>
    <cfRule type="expression" dxfId="6030" priority="1206">
      <formula>X23&lt;65</formula>
    </cfRule>
    <cfRule type="expression" dxfId="6029" priority="1207">
      <formula>X23&gt;75</formula>
    </cfRule>
  </conditionalFormatting>
  <conditionalFormatting sqref="X25">
    <cfRule type="cellIs" dxfId="6028" priority="1200" operator="between">
      <formula>50</formula>
      <formula>51.9</formula>
    </cfRule>
    <cfRule type="cellIs" dxfId="6027" priority="1201" operator="between">
      <formula>58.1</formula>
      <formula>60</formula>
    </cfRule>
    <cfRule type="expression" dxfId="6026" priority="1202">
      <formula>X25&lt;50</formula>
    </cfRule>
    <cfRule type="expression" dxfId="6025" priority="1203">
      <formula>X25&gt;60</formula>
    </cfRule>
  </conditionalFormatting>
  <conditionalFormatting sqref="AA22">
    <cfRule type="cellIs" dxfId="6024" priority="1196" operator="between">
      <formula>65</formula>
      <formula>66.9</formula>
    </cfRule>
    <cfRule type="cellIs" dxfId="6023" priority="1197" operator="between">
      <formula>73.1</formula>
      <formula>75</formula>
    </cfRule>
    <cfRule type="expression" dxfId="6022" priority="1198">
      <formula>AA22&lt;65</formula>
    </cfRule>
    <cfRule type="expression" dxfId="6021" priority="1199">
      <formula>AA22&gt;75</formula>
    </cfRule>
  </conditionalFormatting>
  <conditionalFormatting sqref="AA24">
    <cfRule type="cellIs" dxfId="6020" priority="1192" operator="between">
      <formula>50</formula>
      <formula>51.9</formula>
    </cfRule>
    <cfRule type="cellIs" dxfId="6019" priority="1193" operator="between">
      <formula>58.1</formula>
      <formula>60</formula>
    </cfRule>
    <cfRule type="expression" dxfId="6018" priority="1194">
      <formula>AA24&lt;50</formula>
    </cfRule>
    <cfRule type="expression" dxfId="6017" priority="1195">
      <formula>AA24&gt;60</formula>
    </cfRule>
  </conditionalFormatting>
  <conditionalFormatting sqref="AA26">
    <cfRule type="cellIs" dxfId="6016" priority="1188" operator="between">
      <formula>20</formula>
      <formula>21.9</formula>
    </cfRule>
    <cfRule type="cellIs" dxfId="6015" priority="1189" operator="between">
      <formula>28.1</formula>
      <formula>30</formula>
    </cfRule>
    <cfRule type="expression" dxfId="6014" priority="1190">
      <formula>AA26&lt;20</formula>
    </cfRule>
    <cfRule type="expression" dxfId="6013" priority="1191">
      <formula>AA26&gt;30</formula>
    </cfRule>
  </conditionalFormatting>
  <conditionalFormatting sqref="AA27">
    <cfRule type="cellIs" dxfId="6012" priority="1184" operator="between">
      <formula>35</formula>
      <formula>36.9</formula>
    </cfRule>
    <cfRule type="cellIs" dxfId="6011" priority="1185" operator="between">
      <formula>43.1</formula>
      <formula>45</formula>
    </cfRule>
    <cfRule type="expression" dxfId="6010" priority="1186">
      <formula>AA27&lt;35</formula>
    </cfRule>
    <cfRule type="expression" dxfId="6009" priority="1187">
      <formula>AA27&gt;45</formula>
    </cfRule>
  </conditionalFormatting>
  <conditionalFormatting sqref="AA28">
    <cfRule type="cellIs" dxfId="6008" priority="1180" operator="between">
      <formula>55</formula>
      <formula>56.9</formula>
    </cfRule>
    <cfRule type="cellIs" dxfId="6007" priority="1181" operator="between">
      <formula>63.1</formula>
      <formula>65</formula>
    </cfRule>
    <cfRule type="expression" dxfId="6006" priority="1182">
      <formula>AA28&lt;55</formula>
    </cfRule>
    <cfRule type="expression" dxfId="6005" priority="1183">
      <formula>AA28&gt;65</formula>
    </cfRule>
  </conditionalFormatting>
  <conditionalFormatting sqref="AA23">
    <cfRule type="cellIs" dxfId="6004" priority="1176" operator="between">
      <formula>65</formula>
      <formula>66.9</formula>
    </cfRule>
    <cfRule type="cellIs" dxfId="6003" priority="1177" operator="between">
      <formula>73.1</formula>
      <formula>75</formula>
    </cfRule>
    <cfRule type="expression" dxfId="6002" priority="1178">
      <formula>AA23&lt;65</formula>
    </cfRule>
    <cfRule type="expression" dxfId="6001" priority="1179">
      <formula>AA23&gt;75</formula>
    </cfRule>
  </conditionalFormatting>
  <conditionalFormatting sqref="AA25">
    <cfRule type="cellIs" dxfId="6000" priority="1172" operator="between">
      <formula>50</formula>
      <formula>51.9</formula>
    </cfRule>
    <cfRule type="cellIs" dxfId="5999" priority="1173" operator="between">
      <formula>58.1</formula>
      <formula>60</formula>
    </cfRule>
    <cfRule type="expression" dxfId="5998" priority="1174">
      <formula>AA25&lt;50</formula>
    </cfRule>
    <cfRule type="expression" dxfId="5997" priority="1175">
      <formula>AA25&gt;60</formula>
    </cfRule>
  </conditionalFormatting>
  <conditionalFormatting sqref="AD22">
    <cfRule type="cellIs" dxfId="5996" priority="1168" operator="between">
      <formula>65</formula>
      <formula>66.9</formula>
    </cfRule>
    <cfRule type="cellIs" dxfId="5995" priority="1169" operator="between">
      <formula>73.1</formula>
      <formula>75</formula>
    </cfRule>
    <cfRule type="expression" dxfId="5994" priority="1170">
      <formula>AD22&lt;65</formula>
    </cfRule>
    <cfRule type="expression" dxfId="5993" priority="1171">
      <formula>AD22&gt;75</formula>
    </cfRule>
  </conditionalFormatting>
  <conditionalFormatting sqref="AD24">
    <cfRule type="cellIs" dxfId="5992" priority="1164" operator="between">
      <formula>50</formula>
      <formula>51.9</formula>
    </cfRule>
    <cfRule type="cellIs" dxfId="5991" priority="1165" operator="between">
      <formula>58.1</formula>
      <formula>60</formula>
    </cfRule>
    <cfRule type="expression" dxfId="5990" priority="1166">
      <formula>AD24&lt;50</formula>
    </cfRule>
    <cfRule type="expression" dxfId="5989" priority="1167">
      <formula>AD24&gt;60</formula>
    </cfRule>
  </conditionalFormatting>
  <conditionalFormatting sqref="AD26">
    <cfRule type="cellIs" dxfId="5988" priority="1160" operator="between">
      <formula>20</formula>
      <formula>21.9</formula>
    </cfRule>
    <cfRule type="cellIs" dxfId="5987" priority="1161" operator="between">
      <formula>28.1</formula>
      <formula>30</formula>
    </cfRule>
    <cfRule type="expression" dxfId="5986" priority="1162">
      <formula>AD26&lt;20</formula>
    </cfRule>
    <cfRule type="expression" dxfId="5985" priority="1163">
      <formula>AD26&gt;30</formula>
    </cfRule>
  </conditionalFormatting>
  <conditionalFormatting sqref="AD27">
    <cfRule type="cellIs" dxfId="5984" priority="1156" operator="between">
      <formula>35</formula>
      <formula>36.9</formula>
    </cfRule>
    <cfRule type="cellIs" dxfId="5983" priority="1157" operator="between">
      <formula>43.1</formula>
      <formula>45</formula>
    </cfRule>
    <cfRule type="expression" dxfId="5982" priority="1158">
      <formula>AD27&lt;35</formula>
    </cfRule>
    <cfRule type="expression" dxfId="5981" priority="1159">
      <formula>AD27&gt;45</formula>
    </cfRule>
  </conditionalFormatting>
  <conditionalFormatting sqref="AD28">
    <cfRule type="cellIs" dxfId="5980" priority="1152" operator="between">
      <formula>55</formula>
      <formula>56.9</formula>
    </cfRule>
    <cfRule type="cellIs" dxfId="5979" priority="1153" operator="between">
      <formula>63.1</formula>
      <formula>65</formula>
    </cfRule>
    <cfRule type="expression" dxfId="5978" priority="1154">
      <formula>AD28&lt;55</formula>
    </cfRule>
    <cfRule type="expression" dxfId="5977" priority="1155">
      <formula>AD28&gt;65</formula>
    </cfRule>
  </conditionalFormatting>
  <conditionalFormatting sqref="AD23">
    <cfRule type="cellIs" dxfId="5976" priority="1148" operator="between">
      <formula>65</formula>
      <formula>66.9</formula>
    </cfRule>
    <cfRule type="cellIs" dxfId="5975" priority="1149" operator="between">
      <formula>73.1</formula>
      <formula>75</formula>
    </cfRule>
    <cfRule type="expression" dxfId="5974" priority="1150">
      <formula>AD23&lt;65</formula>
    </cfRule>
    <cfRule type="expression" dxfId="5973" priority="1151">
      <formula>AD23&gt;75</formula>
    </cfRule>
  </conditionalFormatting>
  <conditionalFormatting sqref="AD25">
    <cfRule type="cellIs" dxfId="5972" priority="1144" operator="between">
      <formula>50</formula>
      <formula>51.9</formula>
    </cfRule>
    <cfRule type="cellIs" dxfId="5971" priority="1145" operator="between">
      <formula>58.1</formula>
      <formula>60</formula>
    </cfRule>
    <cfRule type="expression" dxfId="5970" priority="1146">
      <formula>AD25&lt;50</formula>
    </cfRule>
    <cfRule type="expression" dxfId="5969" priority="1147">
      <formula>AD25&gt;60</formula>
    </cfRule>
  </conditionalFormatting>
  <conditionalFormatting sqref="AG22">
    <cfRule type="cellIs" dxfId="5968" priority="1140" operator="between">
      <formula>65</formula>
      <formula>66.9</formula>
    </cfRule>
    <cfRule type="cellIs" dxfId="5967" priority="1141" operator="between">
      <formula>73.1</formula>
      <formula>75</formula>
    </cfRule>
    <cfRule type="expression" dxfId="5966" priority="1142">
      <formula>AG22&lt;65</formula>
    </cfRule>
    <cfRule type="expression" dxfId="5965" priority="1143">
      <formula>AG22&gt;75</formula>
    </cfRule>
  </conditionalFormatting>
  <conditionalFormatting sqref="AG24">
    <cfRule type="cellIs" dxfId="5964" priority="1136" operator="between">
      <formula>50</formula>
      <formula>51.9</formula>
    </cfRule>
    <cfRule type="cellIs" dxfId="5963" priority="1137" operator="between">
      <formula>58.1</formula>
      <formula>60</formula>
    </cfRule>
    <cfRule type="expression" dxfId="5962" priority="1138">
      <formula>AG24&lt;50</formula>
    </cfRule>
    <cfRule type="expression" dxfId="5961" priority="1139">
      <formula>AG24&gt;60</formula>
    </cfRule>
  </conditionalFormatting>
  <conditionalFormatting sqref="AG26">
    <cfRule type="cellIs" dxfId="5960" priority="1132" operator="between">
      <formula>20</formula>
      <formula>21.9</formula>
    </cfRule>
    <cfRule type="cellIs" dxfId="5959" priority="1133" operator="between">
      <formula>28.1</formula>
      <formula>30</formula>
    </cfRule>
    <cfRule type="expression" dxfId="5958" priority="1134">
      <formula>AG26&lt;20</formula>
    </cfRule>
    <cfRule type="expression" dxfId="5957" priority="1135">
      <formula>AG26&gt;30</formula>
    </cfRule>
  </conditionalFormatting>
  <conditionalFormatting sqref="AG27">
    <cfRule type="cellIs" dxfId="5956" priority="1128" operator="between">
      <formula>35</formula>
      <formula>36.9</formula>
    </cfRule>
    <cfRule type="cellIs" dxfId="5955" priority="1129" operator="between">
      <formula>43.1</formula>
      <formula>45</formula>
    </cfRule>
    <cfRule type="expression" dxfId="5954" priority="1130">
      <formula>AG27&lt;35</formula>
    </cfRule>
    <cfRule type="expression" dxfId="5953" priority="1131">
      <formula>AG27&gt;45</formula>
    </cfRule>
  </conditionalFormatting>
  <conditionalFormatting sqref="AG28">
    <cfRule type="cellIs" dxfId="5952" priority="1124" operator="between">
      <formula>55</formula>
      <formula>56.9</formula>
    </cfRule>
    <cfRule type="cellIs" dxfId="5951" priority="1125" operator="between">
      <formula>63.1</formula>
      <formula>65</formula>
    </cfRule>
    <cfRule type="expression" dxfId="5950" priority="1126">
      <formula>AG28&lt;55</formula>
    </cfRule>
    <cfRule type="expression" dxfId="5949" priority="1127">
      <formula>AG28&gt;65</formula>
    </cfRule>
  </conditionalFormatting>
  <conditionalFormatting sqref="AG23">
    <cfRule type="cellIs" dxfId="5948" priority="1120" operator="between">
      <formula>65</formula>
      <formula>66.9</formula>
    </cfRule>
    <cfRule type="cellIs" dxfId="5947" priority="1121" operator="between">
      <formula>73.1</formula>
      <formula>75</formula>
    </cfRule>
    <cfRule type="expression" dxfId="5946" priority="1122">
      <formula>AG23&lt;65</formula>
    </cfRule>
    <cfRule type="expression" dxfId="5945" priority="1123">
      <formula>AG23&gt;75</formula>
    </cfRule>
  </conditionalFormatting>
  <conditionalFormatting sqref="AG25">
    <cfRule type="cellIs" dxfId="5944" priority="1116" operator="between">
      <formula>50</formula>
      <formula>51.9</formula>
    </cfRule>
    <cfRule type="cellIs" dxfId="5943" priority="1117" operator="between">
      <formula>58.1</formula>
      <formula>60</formula>
    </cfRule>
    <cfRule type="expression" dxfId="5942" priority="1118">
      <formula>AG25&lt;50</formula>
    </cfRule>
    <cfRule type="expression" dxfId="5941" priority="1119">
      <formula>AG25&gt;60</formula>
    </cfRule>
  </conditionalFormatting>
  <conditionalFormatting sqref="AJ22">
    <cfRule type="cellIs" dxfId="5940" priority="1112" operator="between">
      <formula>65</formula>
      <formula>66.9</formula>
    </cfRule>
    <cfRule type="cellIs" dxfId="5939" priority="1113" operator="between">
      <formula>73.1</formula>
      <formula>75</formula>
    </cfRule>
    <cfRule type="expression" dxfId="5938" priority="1114">
      <formula>AJ22&lt;65</formula>
    </cfRule>
    <cfRule type="expression" dxfId="5937" priority="1115">
      <formula>AJ22&gt;75</formula>
    </cfRule>
  </conditionalFormatting>
  <conditionalFormatting sqref="AJ24">
    <cfRule type="cellIs" dxfId="5936" priority="1108" operator="between">
      <formula>50</formula>
      <formula>51.9</formula>
    </cfRule>
    <cfRule type="cellIs" dxfId="5935" priority="1109" operator="between">
      <formula>58.1</formula>
      <formula>60</formula>
    </cfRule>
    <cfRule type="expression" dxfId="5934" priority="1110">
      <formula>AJ24&lt;50</formula>
    </cfRule>
    <cfRule type="expression" dxfId="5933" priority="1111">
      <formula>AJ24&gt;60</formula>
    </cfRule>
  </conditionalFormatting>
  <conditionalFormatting sqref="AJ26">
    <cfRule type="cellIs" dxfId="5932" priority="1104" operator="between">
      <formula>20</formula>
      <formula>21.9</formula>
    </cfRule>
    <cfRule type="cellIs" dxfId="5931" priority="1105" operator="between">
      <formula>28.1</formula>
      <formula>30</formula>
    </cfRule>
    <cfRule type="expression" dxfId="5930" priority="1106">
      <formula>AJ26&lt;20</formula>
    </cfRule>
    <cfRule type="expression" dxfId="5929" priority="1107">
      <formula>AJ26&gt;30</formula>
    </cfRule>
  </conditionalFormatting>
  <conditionalFormatting sqref="AJ27">
    <cfRule type="cellIs" dxfId="5928" priority="1100" operator="between">
      <formula>35</formula>
      <formula>36.9</formula>
    </cfRule>
    <cfRule type="cellIs" dxfId="5927" priority="1101" operator="between">
      <formula>43.1</formula>
      <formula>45</formula>
    </cfRule>
    <cfRule type="expression" dxfId="5926" priority="1102">
      <formula>AJ27&lt;35</formula>
    </cfRule>
    <cfRule type="expression" dxfId="5925" priority="1103">
      <formula>AJ27&gt;45</formula>
    </cfRule>
  </conditionalFormatting>
  <conditionalFormatting sqref="AJ28">
    <cfRule type="cellIs" dxfId="5924" priority="1096" operator="between">
      <formula>55</formula>
      <formula>56.9</formula>
    </cfRule>
    <cfRule type="cellIs" dxfId="5923" priority="1097" operator="between">
      <formula>63.1</formula>
      <formula>65</formula>
    </cfRule>
    <cfRule type="expression" dxfId="5922" priority="1098">
      <formula>AJ28&lt;55</formula>
    </cfRule>
    <cfRule type="expression" dxfId="5921" priority="1099">
      <formula>AJ28&gt;65</formula>
    </cfRule>
  </conditionalFormatting>
  <conditionalFormatting sqref="AJ23">
    <cfRule type="cellIs" dxfId="5920" priority="1092" operator="between">
      <formula>65</formula>
      <formula>66.9</formula>
    </cfRule>
    <cfRule type="cellIs" dxfId="5919" priority="1093" operator="between">
      <formula>73.1</formula>
      <formula>75</formula>
    </cfRule>
    <cfRule type="expression" dxfId="5918" priority="1094">
      <formula>AJ23&lt;65</formula>
    </cfRule>
    <cfRule type="expression" dxfId="5917" priority="1095">
      <formula>AJ23&gt;75</formula>
    </cfRule>
  </conditionalFormatting>
  <conditionalFormatting sqref="AJ25">
    <cfRule type="cellIs" dxfId="5916" priority="1088" operator="between">
      <formula>50</formula>
      <formula>51.9</formula>
    </cfRule>
    <cfRule type="cellIs" dxfId="5915" priority="1089" operator="between">
      <formula>58.1</formula>
      <formula>60</formula>
    </cfRule>
    <cfRule type="expression" dxfId="5914" priority="1090">
      <formula>AJ25&lt;50</formula>
    </cfRule>
    <cfRule type="expression" dxfId="5913" priority="1091">
      <formula>AJ25&gt;60</formula>
    </cfRule>
  </conditionalFormatting>
  <conditionalFormatting sqref="AM22">
    <cfRule type="cellIs" dxfId="5912" priority="1084" operator="between">
      <formula>65</formula>
      <formula>66.9</formula>
    </cfRule>
    <cfRule type="cellIs" dxfId="5911" priority="1085" operator="between">
      <formula>73.1</formula>
      <formula>75</formula>
    </cfRule>
    <cfRule type="expression" dxfId="5910" priority="1086">
      <formula>AM22&lt;65</formula>
    </cfRule>
    <cfRule type="expression" dxfId="5909" priority="1087">
      <formula>AM22&gt;75</formula>
    </cfRule>
  </conditionalFormatting>
  <conditionalFormatting sqref="AM24">
    <cfRule type="cellIs" dxfId="5908" priority="1080" operator="between">
      <formula>50</formula>
      <formula>51.9</formula>
    </cfRule>
    <cfRule type="cellIs" dxfId="5907" priority="1081" operator="between">
      <formula>58.1</formula>
      <formula>60</formula>
    </cfRule>
    <cfRule type="expression" dxfId="5906" priority="1082">
      <formula>AM24&lt;50</formula>
    </cfRule>
    <cfRule type="expression" dxfId="5905" priority="1083">
      <formula>AM24&gt;60</formula>
    </cfRule>
  </conditionalFormatting>
  <conditionalFormatting sqref="AM26">
    <cfRule type="cellIs" dxfId="5904" priority="1076" operator="between">
      <formula>20</formula>
      <formula>21.9</formula>
    </cfRule>
    <cfRule type="cellIs" dxfId="5903" priority="1077" operator="between">
      <formula>28.1</formula>
      <formula>30</formula>
    </cfRule>
    <cfRule type="expression" dxfId="5902" priority="1078">
      <formula>AM26&lt;20</formula>
    </cfRule>
    <cfRule type="expression" dxfId="5901" priority="1079">
      <formula>AM26&gt;30</formula>
    </cfRule>
  </conditionalFormatting>
  <conditionalFormatting sqref="AM27">
    <cfRule type="cellIs" dxfId="5900" priority="1072" operator="between">
      <formula>35</formula>
      <formula>36.9</formula>
    </cfRule>
    <cfRule type="cellIs" dxfId="5899" priority="1073" operator="between">
      <formula>43.1</formula>
      <formula>45</formula>
    </cfRule>
    <cfRule type="expression" dxfId="5898" priority="1074">
      <formula>AM27&lt;35</formula>
    </cfRule>
    <cfRule type="expression" dxfId="5897" priority="1075">
      <formula>AM27&gt;45</formula>
    </cfRule>
  </conditionalFormatting>
  <conditionalFormatting sqref="AM28">
    <cfRule type="cellIs" dxfId="5896" priority="1068" operator="between">
      <formula>55</formula>
      <formula>56.9</formula>
    </cfRule>
    <cfRule type="cellIs" dxfId="5895" priority="1069" operator="between">
      <formula>63.1</formula>
      <formula>65</formula>
    </cfRule>
    <cfRule type="expression" dxfId="5894" priority="1070">
      <formula>AM28&lt;55</formula>
    </cfRule>
    <cfRule type="expression" dxfId="5893" priority="1071">
      <formula>AM28&gt;65</formula>
    </cfRule>
  </conditionalFormatting>
  <conditionalFormatting sqref="AM23">
    <cfRule type="cellIs" dxfId="5892" priority="1064" operator="between">
      <formula>65</formula>
      <formula>66.9</formula>
    </cfRule>
    <cfRule type="cellIs" dxfId="5891" priority="1065" operator="between">
      <formula>73.1</formula>
      <formula>75</formula>
    </cfRule>
    <cfRule type="expression" dxfId="5890" priority="1066">
      <formula>AM23&lt;65</formula>
    </cfRule>
    <cfRule type="expression" dxfId="5889" priority="1067">
      <formula>AM23&gt;75</formula>
    </cfRule>
  </conditionalFormatting>
  <conditionalFormatting sqref="AM25">
    <cfRule type="cellIs" dxfId="5888" priority="1060" operator="between">
      <formula>50</formula>
      <formula>51.9</formula>
    </cfRule>
    <cfRule type="cellIs" dxfId="5887" priority="1061" operator="between">
      <formula>58.1</formula>
      <formula>60</formula>
    </cfRule>
    <cfRule type="expression" dxfId="5886" priority="1062">
      <formula>AM25&lt;50</formula>
    </cfRule>
    <cfRule type="expression" dxfId="5885" priority="1063">
      <formula>AM25&gt;60</formula>
    </cfRule>
  </conditionalFormatting>
  <conditionalFormatting sqref="AP22">
    <cfRule type="cellIs" dxfId="5884" priority="1056" operator="between">
      <formula>65</formula>
      <formula>66.9</formula>
    </cfRule>
    <cfRule type="cellIs" dxfId="5883" priority="1057" operator="between">
      <formula>73.1</formula>
      <formula>75</formula>
    </cfRule>
    <cfRule type="expression" dxfId="5882" priority="1058">
      <formula>AP22&lt;65</formula>
    </cfRule>
    <cfRule type="expression" dxfId="5881" priority="1059">
      <formula>AP22&gt;75</formula>
    </cfRule>
  </conditionalFormatting>
  <conditionalFormatting sqref="AP24">
    <cfRule type="cellIs" dxfId="5880" priority="1052" operator="between">
      <formula>50</formula>
      <formula>51.9</formula>
    </cfRule>
    <cfRule type="cellIs" dxfId="5879" priority="1053" operator="between">
      <formula>58.1</formula>
      <formula>60</formula>
    </cfRule>
    <cfRule type="expression" dxfId="5878" priority="1054">
      <formula>AP24&lt;50</formula>
    </cfRule>
    <cfRule type="expression" dxfId="5877" priority="1055">
      <formula>AP24&gt;60</formula>
    </cfRule>
  </conditionalFormatting>
  <conditionalFormatting sqref="AP26">
    <cfRule type="cellIs" dxfId="5876" priority="1048" operator="between">
      <formula>20</formula>
      <formula>21.9</formula>
    </cfRule>
    <cfRule type="cellIs" dxfId="5875" priority="1049" operator="between">
      <formula>28.1</formula>
      <formula>30</formula>
    </cfRule>
    <cfRule type="expression" dxfId="5874" priority="1050">
      <formula>AP26&lt;20</formula>
    </cfRule>
    <cfRule type="expression" dxfId="5873" priority="1051">
      <formula>AP26&gt;30</formula>
    </cfRule>
  </conditionalFormatting>
  <conditionalFormatting sqref="AP27">
    <cfRule type="cellIs" dxfId="5872" priority="1044" operator="between">
      <formula>35</formula>
      <formula>36.9</formula>
    </cfRule>
    <cfRule type="cellIs" dxfId="5871" priority="1045" operator="between">
      <formula>43.1</formula>
      <formula>45</formula>
    </cfRule>
    <cfRule type="expression" dxfId="5870" priority="1046">
      <formula>AP27&lt;35</formula>
    </cfRule>
    <cfRule type="expression" dxfId="5869" priority="1047">
      <formula>AP27&gt;45</formula>
    </cfRule>
  </conditionalFormatting>
  <conditionalFormatting sqref="AP28">
    <cfRule type="cellIs" dxfId="5868" priority="1040" operator="between">
      <formula>55</formula>
      <formula>56.9</formula>
    </cfRule>
    <cfRule type="cellIs" dxfId="5867" priority="1041" operator="between">
      <formula>63.1</formula>
      <formula>65</formula>
    </cfRule>
    <cfRule type="expression" dxfId="5866" priority="1042">
      <formula>AP28&lt;55</formula>
    </cfRule>
    <cfRule type="expression" dxfId="5865" priority="1043">
      <formula>AP28&gt;65</formula>
    </cfRule>
  </conditionalFormatting>
  <conditionalFormatting sqref="AP23">
    <cfRule type="cellIs" dxfId="5864" priority="1036" operator="between">
      <formula>65</formula>
      <formula>66.9</formula>
    </cfRule>
    <cfRule type="cellIs" dxfId="5863" priority="1037" operator="between">
      <formula>73.1</formula>
      <formula>75</formula>
    </cfRule>
    <cfRule type="expression" dxfId="5862" priority="1038">
      <formula>AP23&lt;65</formula>
    </cfRule>
    <cfRule type="expression" dxfId="5861" priority="1039">
      <formula>AP23&gt;75</formula>
    </cfRule>
  </conditionalFormatting>
  <conditionalFormatting sqref="AP25">
    <cfRule type="cellIs" dxfId="5860" priority="1032" operator="between">
      <formula>50</formula>
      <formula>51.9</formula>
    </cfRule>
    <cfRule type="cellIs" dxfId="5859" priority="1033" operator="between">
      <formula>58.1</formula>
      <formula>60</formula>
    </cfRule>
    <cfRule type="expression" dxfId="5858" priority="1034">
      <formula>AP25&lt;50</formula>
    </cfRule>
    <cfRule type="expression" dxfId="5857" priority="1035">
      <formula>AP25&gt;60</formula>
    </cfRule>
  </conditionalFormatting>
  <conditionalFormatting sqref="I37">
    <cfRule type="cellIs" dxfId="5856" priority="1028" operator="between">
      <formula>60</formula>
      <formula>64.99</formula>
    </cfRule>
    <cfRule type="cellIs" dxfId="5855" priority="1029" operator="between">
      <formula>75.1</formula>
      <formula>80</formula>
    </cfRule>
    <cfRule type="expression" dxfId="5854" priority="1030">
      <formula>I37&lt;60</formula>
    </cfRule>
    <cfRule type="expression" dxfId="5853" priority="1031">
      <formula>I37&gt;80</formula>
    </cfRule>
  </conditionalFormatting>
  <conditionalFormatting sqref="I39">
    <cfRule type="cellIs" dxfId="5852" priority="1024" operator="between">
      <formula>50</formula>
      <formula>54.99</formula>
    </cfRule>
    <cfRule type="cellIs" dxfId="5851" priority="1025" operator="between">
      <formula>65.01</formula>
      <formula>70</formula>
    </cfRule>
    <cfRule type="expression" dxfId="5850" priority="1026">
      <formula>I39&lt;50</formula>
    </cfRule>
    <cfRule type="expression" dxfId="5849" priority="1027">
      <formula>I39&gt;70</formula>
    </cfRule>
  </conditionalFormatting>
  <conditionalFormatting sqref="I41">
    <cfRule type="expression" dxfId="5848" priority="1023" stopIfTrue="1">
      <formula>I41&lt;130</formula>
    </cfRule>
  </conditionalFormatting>
  <conditionalFormatting sqref="I41">
    <cfRule type="expression" dxfId="5847" priority="1022" stopIfTrue="1">
      <formula>I41&gt;150</formula>
    </cfRule>
  </conditionalFormatting>
  <conditionalFormatting sqref="I42">
    <cfRule type="cellIs" dxfId="5846" priority="1018" operator="between">
      <formula>8</formula>
      <formula>8.99</formula>
    </cfRule>
    <cfRule type="cellIs" dxfId="5845" priority="1019" operator="between">
      <formula>11.01</formula>
      <formula>12</formula>
    </cfRule>
    <cfRule type="expression" dxfId="5844" priority="1020">
      <formula>I42&lt;8</formula>
    </cfRule>
    <cfRule type="expression" dxfId="5843" priority="1021">
      <formula>I42&gt;12</formula>
    </cfRule>
  </conditionalFormatting>
  <conditionalFormatting sqref="I43">
    <cfRule type="cellIs" dxfId="5842" priority="1014" operator="between">
      <formula>6</formula>
      <formula>7.499</formula>
    </cfRule>
    <cfRule type="cellIs" dxfId="5841" priority="1015" operator="between">
      <formula>8.51</formula>
      <formula>10</formula>
    </cfRule>
    <cfRule type="expression" dxfId="5840" priority="1016">
      <formula>I43&lt;6</formula>
    </cfRule>
    <cfRule type="expression" dxfId="5839" priority="1017">
      <formula>I43&gt;10</formula>
    </cfRule>
  </conditionalFormatting>
  <conditionalFormatting sqref="I44">
    <cfRule type="cellIs" dxfId="5838" priority="1010" operator="between">
      <formula>2</formula>
      <formula>2.199</formula>
    </cfRule>
    <cfRule type="cellIs" dxfId="5837" priority="1011" operator="between">
      <formula>2.41</formula>
      <formula>2.5</formula>
    </cfRule>
    <cfRule type="expression" dxfId="5836" priority="1012">
      <formula>I44&lt;2</formula>
    </cfRule>
    <cfRule type="expression" dxfId="5835" priority="1013">
      <formula>I44&gt;2.5</formula>
    </cfRule>
  </conditionalFormatting>
  <conditionalFormatting sqref="I45">
    <cfRule type="cellIs" dxfId="5834" priority="1006" operator="between">
      <formula>30%</formula>
      <formula>39.99%</formula>
    </cfRule>
    <cfRule type="cellIs" dxfId="5833" priority="1007" operator="between">
      <formula>50.01%</formula>
      <formula>60%</formula>
    </cfRule>
    <cfRule type="expression" dxfId="5832" priority="1008">
      <formula>I45&lt;30%</formula>
    </cfRule>
    <cfRule type="expression" dxfId="5831" priority="1009">
      <formula>I45&gt;60%</formula>
    </cfRule>
  </conditionalFormatting>
  <conditionalFormatting sqref="I46">
    <cfRule type="cellIs" dxfId="5830" priority="1002" operator="between">
      <formula>15%</formula>
      <formula>16.99%</formula>
    </cfRule>
    <cfRule type="cellIs" dxfId="5829" priority="1003" operator="between">
      <formula>27.01%</formula>
      <formula>30%</formula>
    </cfRule>
    <cfRule type="expression" dxfId="5828" priority="1004">
      <formula>I46&lt;15%</formula>
    </cfRule>
    <cfRule type="expression" dxfId="5827" priority="1005">
      <formula>I46&gt;30%</formula>
    </cfRule>
  </conditionalFormatting>
  <conditionalFormatting sqref="I48">
    <cfRule type="cellIs" dxfId="5826" priority="994" operator="between">
      <formula>0.5%</formula>
      <formula>0.799%</formula>
    </cfRule>
    <cfRule type="cellIs" dxfId="5825" priority="995" operator="between">
      <formula>1.21%</formula>
      <formula>1.5%</formula>
    </cfRule>
    <cfRule type="expression" dxfId="5824" priority="996">
      <formula>I48&lt;0.5%</formula>
    </cfRule>
    <cfRule type="expression" dxfId="5823" priority="997">
      <formula>I48&gt;1.5%</formula>
    </cfRule>
  </conditionalFormatting>
  <conditionalFormatting sqref="I38">
    <cfRule type="cellIs" dxfId="5822" priority="990" operator="between">
      <formula>60</formula>
      <formula>64.99</formula>
    </cfRule>
    <cfRule type="cellIs" dxfId="5821" priority="991" operator="between">
      <formula>75.1</formula>
      <formula>80</formula>
    </cfRule>
    <cfRule type="expression" dxfId="5820" priority="992">
      <formula>I38&lt;60</formula>
    </cfRule>
    <cfRule type="expression" dxfId="5819" priority="993">
      <formula>I38&gt;80</formula>
    </cfRule>
  </conditionalFormatting>
  <conditionalFormatting sqref="I40">
    <cfRule type="cellIs" dxfId="5818" priority="986" operator="between">
      <formula>50</formula>
      <formula>54.99</formula>
    </cfRule>
    <cfRule type="cellIs" dxfId="5817" priority="987" operator="between">
      <formula>65.01</formula>
      <formula>70</formula>
    </cfRule>
    <cfRule type="expression" dxfId="5816" priority="988">
      <formula>I40&lt;50</formula>
    </cfRule>
    <cfRule type="expression" dxfId="5815" priority="989">
      <formula>I40&gt;70</formula>
    </cfRule>
  </conditionalFormatting>
  <conditionalFormatting sqref="O37">
    <cfRule type="cellIs" dxfId="5814" priority="982" operator="between">
      <formula>60</formula>
      <formula>64.99</formula>
    </cfRule>
    <cfRule type="cellIs" dxfId="5813" priority="983" operator="between">
      <formula>75.1</formula>
      <formula>80</formula>
    </cfRule>
    <cfRule type="expression" dxfId="5812" priority="984">
      <formula>O37&lt;60</formula>
    </cfRule>
    <cfRule type="expression" dxfId="5811" priority="985">
      <formula>O37&gt;80</formula>
    </cfRule>
  </conditionalFormatting>
  <conditionalFormatting sqref="O39">
    <cfRule type="cellIs" dxfId="5810" priority="978" operator="between">
      <formula>50</formula>
      <formula>54.99</formula>
    </cfRule>
    <cfRule type="cellIs" dxfId="5809" priority="979" operator="between">
      <formula>65.01</formula>
      <formula>70</formula>
    </cfRule>
    <cfRule type="expression" dxfId="5808" priority="980">
      <formula>O39&lt;50</formula>
    </cfRule>
    <cfRule type="expression" dxfId="5807" priority="981">
      <formula>O39&gt;70</formula>
    </cfRule>
  </conditionalFormatting>
  <conditionalFormatting sqref="O41">
    <cfRule type="expression" dxfId="5806" priority="977" stopIfTrue="1">
      <formula>O41&lt;130</formula>
    </cfRule>
  </conditionalFormatting>
  <conditionalFormatting sqref="O41">
    <cfRule type="expression" dxfId="5805" priority="976" stopIfTrue="1">
      <formula>O41&gt;150</formula>
    </cfRule>
  </conditionalFormatting>
  <conditionalFormatting sqref="O42">
    <cfRule type="cellIs" dxfId="5804" priority="972" operator="between">
      <formula>8</formula>
      <formula>8.99</formula>
    </cfRule>
    <cfRule type="cellIs" dxfId="5803" priority="973" operator="between">
      <formula>11.01</formula>
      <formula>12</formula>
    </cfRule>
    <cfRule type="expression" dxfId="5802" priority="974">
      <formula>O42&lt;8</formula>
    </cfRule>
    <cfRule type="expression" dxfId="5801" priority="975">
      <formula>O42&gt;12</formula>
    </cfRule>
  </conditionalFormatting>
  <conditionalFormatting sqref="O43">
    <cfRule type="cellIs" dxfId="5800" priority="968" operator="between">
      <formula>6</formula>
      <formula>7.499</formula>
    </cfRule>
    <cfRule type="cellIs" dxfId="5799" priority="969" operator="between">
      <formula>8.51</formula>
      <formula>10</formula>
    </cfRule>
    <cfRule type="expression" dxfId="5798" priority="970">
      <formula>O43&lt;6</formula>
    </cfRule>
    <cfRule type="expression" dxfId="5797" priority="971">
      <formula>O43&gt;10</formula>
    </cfRule>
  </conditionalFormatting>
  <conditionalFormatting sqref="O44">
    <cfRule type="cellIs" dxfId="5796" priority="964" operator="between">
      <formula>2</formula>
      <formula>2.199</formula>
    </cfRule>
    <cfRule type="cellIs" dxfId="5795" priority="965" operator="between">
      <formula>2.41</formula>
      <formula>2.5</formula>
    </cfRule>
    <cfRule type="expression" dxfId="5794" priority="966">
      <formula>O44&lt;2</formula>
    </cfRule>
    <cfRule type="expression" dxfId="5793" priority="967">
      <formula>O44&gt;2.5</formula>
    </cfRule>
  </conditionalFormatting>
  <conditionalFormatting sqref="O45">
    <cfRule type="cellIs" dxfId="5792" priority="960" operator="between">
      <formula>30%</formula>
      <formula>39.99%</formula>
    </cfRule>
    <cfRule type="cellIs" dxfId="5791" priority="961" operator="between">
      <formula>50.01%</formula>
      <formula>60%</formula>
    </cfRule>
    <cfRule type="expression" dxfId="5790" priority="962">
      <formula>O45&lt;30%</formula>
    </cfRule>
    <cfRule type="expression" dxfId="5789" priority="963">
      <formula>O45&gt;60%</formula>
    </cfRule>
  </conditionalFormatting>
  <conditionalFormatting sqref="O46">
    <cfRule type="cellIs" dxfId="5788" priority="956" operator="between">
      <formula>15%</formula>
      <formula>16.99%</formula>
    </cfRule>
    <cfRule type="cellIs" dxfId="5787" priority="957" operator="between">
      <formula>27.01%</formula>
      <formula>30%</formula>
    </cfRule>
    <cfRule type="expression" dxfId="5786" priority="958">
      <formula>O46&lt;15%</formula>
    </cfRule>
    <cfRule type="expression" dxfId="5785" priority="959">
      <formula>O46&gt;30%</formula>
    </cfRule>
  </conditionalFormatting>
  <conditionalFormatting sqref="O48">
    <cfRule type="cellIs" dxfId="5784" priority="948" operator="between">
      <formula>0.5%</formula>
      <formula>0.799%</formula>
    </cfRule>
    <cfRule type="cellIs" dxfId="5783" priority="949" operator="between">
      <formula>1.21%</formula>
      <formula>1.5%</formula>
    </cfRule>
    <cfRule type="expression" dxfId="5782" priority="950">
      <formula>O48&lt;0.5%</formula>
    </cfRule>
    <cfRule type="expression" dxfId="5781" priority="951">
      <formula>O48&gt;1.5%</formula>
    </cfRule>
  </conditionalFormatting>
  <conditionalFormatting sqref="O38">
    <cfRule type="cellIs" dxfId="5780" priority="944" operator="between">
      <formula>60</formula>
      <formula>64.99</formula>
    </cfRule>
    <cfRule type="cellIs" dxfId="5779" priority="945" operator="between">
      <formula>75.1</formula>
      <formula>80</formula>
    </cfRule>
    <cfRule type="expression" dxfId="5778" priority="946">
      <formula>O38&lt;60</formula>
    </cfRule>
    <cfRule type="expression" dxfId="5777" priority="947">
      <formula>O38&gt;80</formula>
    </cfRule>
  </conditionalFormatting>
  <conditionalFormatting sqref="O40">
    <cfRule type="cellIs" dxfId="5776" priority="940" operator="between">
      <formula>50</formula>
      <formula>54.99</formula>
    </cfRule>
    <cfRule type="cellIs" dxfId="5775" priority="941" operator="between">
      <formula>65.01</formula>
      <formula>70</formula>
    </cfRule>
    <cfRule type="expression" dxfId="5774" priority="942">
      <formula>O40&lt;50</formula>
    </cfRule>
    <cfRule type="expression" dxfId="5773" priority="943">
      <formula>O40&gt;70</formula>
    </cfRule>
  </conditionalFormatting>
  <conditionalFormatting sqref="U37">
    <cfRule type="cellIs" dxfId="5772" priority="936" operator="between">
      <formula>60</formula>
      <formula>64.99</formula>
    </cfRule>
    <cfRule type="cellIs" dxfId="5771" priority="937" operator="between">
      <formula>75.1</formula>
      <formula>80</formula>
    </cfRule>
    <cfRule type="expression" dxfId="5770" priority="938">
      <formula>U37&lt;60</formula>
    </cfRule>
    <cfRule type="expression" dxfId="5769" priority="939">
      <formula>U37&gt;80</formula>
    </cfRule>
  </conditionalFormatting>
  <conditionalFormatting sqref="U39">
    <cfRule type="cellIs" dxfId="5768" priority="932" operator="between">
      <formula>50</formula>
      <formula>54.99</formula>
    </cfRule>
    <cfRule type="cellIs" dxfId="5767" priority="933" operator="between">
      <formula>65.01</formula>
      <formula>70</formula>
    </cfRule>
    <cfRule type="expression" dxfId="5766" priority="934">
      <formula>U39&lt;50</formula>
    </cfRule>
    <cfRule type="expression" dxfId="5765" priority="935">
      <formula>U39&gt;70</formula>
    </cfRule>
  </conditionalFormatting>
  <conditionalFormatting sqref="U41">
    <cfRule type="expression" dxfId="5764" priority="931" stopIfTrue="1">
      <formula>U41&lt;130</formula>
    </cfRule>
  </conditionalFormatting>
  <conditionalFormatting sqref="U41">
    <cfRule type="expression" dxfId="5763" priority="930" stopIfTrue="1">
      <formula>U41&gt;150</formula>
    </cfRule>
  </conditionalFormatting>
  <conditionalFormatting sqref="U42">
    <cfRule type="cellIs" dxfId="5762" priority="926" operator="between">
      <formula>8</formula>
      <formula>8.99</formula>
    </cfRule>
    <cfRule type="cellIs" dxfId="5761" priority="927" operator="between">
      <formula>11.01</formula>
      <formula>12</formula>
    </cfRule>
    <cfRule type="expression" dxfId="5760" priority="928">
      <formula>U42&lt;8</formula>
    </cfRule>
    <cfRule type="expression" dxfId="5759" priority="929">
      <formula>U42&gt;12</formula>
    </cfRule>
  </conditionalFormatting>
  <conditionalFormatting sqref="U43">
    <cfRule type="cellIs" dxfId="5758" priority="922" operator="between">
      <formula>6</formula>
      <formula>7.499</formula>
    </cfRule>
    <cfRule type="cellIs" dxfId="5757" priority="923" operator="between">
      <formula>8.51</formula>
      <formula>10</formula>
    </cfRule>
    <cfRule type="expression" dxfId="5756" priority="924">
      <formula>U43&lt;6</formula>
    </cfRule>
    <cfRule type="expression" dxfId="5755" priority="925">
      <formula>U43&gt;10</formula>
    </cfRule>
  </conditionalFormatting>
  <conditionalFormatting sqref="U44">
    <cfRule type="cellIs" dxfId="5754" priority="918" operator="between">
      <formula>2</formula>
      <formula>2.199</formula>
    </cfRule>
    <cfRule type="cellIs" dxfId="5753" priority="919" operator="between">
      <formula>2.41</formula>
      <formula>2.5</formula>
    </cfRule>
    <cfRule type="expression" dxfId="5752" priority="920">
      <formula>U44&lt;2</formula>
    </cfRule>
    <cfRule type="expression" dxfId="5751" priority="921">
      <formula>U44&gt;2.5</formula>
    </cfRule>
  </conditionalFormatting>
  <conditionalFormatting sqref="U45">
    <cfRule type="cellIs" dxfId="5750" priority="914" operator="between">
      <formula>30%</formula>
      <formula>39.99%</formula>
    </cfRule>
    <cfRule type="cellIs" dxfId="5749" priority="915" operator="between">
      <formula>50.01%</formula>
      <formula>60%</formula>
    </cfRule>
    <cfRule type="expression" dxfId="5748" priority="916">
      <formula>U45&lt;30%</formula>
    </cfRule>
    <cfRule type="expression" dxfId="5747" priority="917">
      <formula>U45&gt;60%</formula>
    </cfRule>
  </conditionalFormatting>
  <conditionalFormatting sqref="U46">
    <cfRule type="cellIs" dxfId="5746" priority="910" operator="between">
      <formula>15%</formula>
      <formula>16.99%</formula>
    </cfRule>
    <cfRule type="cellIs" dxfId="5745" priority="911" operator="between">
      <formula>27.01%</formula>
      <formula>30%</formula>
    </cfRule>
    <cfRule type="expression" dxfId="5744" priority="912">
      <formula>U46&lt;15%</formula>
    </cfRule>
    <cfRule type="expression" dxfId="5743" priority="913">
      <formula>U46&gt;30%</formula>
    </cfRule>
  </conditionalFormatting>
  <conditionalFormatting sqref="U48">
    <cfRule type="cellIs" dxfId="5742" priority="902" operator="between">
      <formula>0.5%</formula>
      <formula>0.799%</formula>
    </cfRule>
    <cfRule type="cellIs" dxfId="5741" priority="903" operator="between">
      <formula>1.21%</formula>
      <formula>1.5%</formula>
    </cfRule>
    <cfRule type="expression" dxfId="5740" priority="904">
      <formula>U48&lt;0.5%</formula>
    </cfRule>
    <cfRule type="expression" dxfId="5739" priority="905">
      <formula>U48&gt;1.5%</formula>
    </cfRule>
  </conditionalFormatting>
  <conditionalFormatting sqref="U38">
    <cfRule type="cellIs" dxfId="5738" priority="898" operator="between">
      <formula>60</formula>
      <formula>64.99</formula>
    </cfRule>
    <cfRule type="cellIs" dxfId="5737" priority="899" operator="between">
      <formula>75.1</formula>
      <formula>80</formula>
    </cfRule>
    <cfRule type="expression" dxfId="5736" priority="900">
      <formula>U38&lt;60</formula>
    </cfRule>
    <cfRule type="expression" dxfId="5735" priority="901">
      <formula>U38&gt;80</formula>
    </cfRule>
  </conditionalFormatting>
  <conditionalFormatting sqref="U40">
    <cfRule type="cellIs" dxfId="5734" priority="894" operator="between">
      <formula>50</formula>
      <formula>54.99</formula>
    </cfRule>
    <cfRule type="cellIs" dxfId="5733" priority="895" operator="between">
      <formula>65.01</formula>
      <formula>70</formula>
    </cfRule>
    <cfRule type="expression" dxfId="5732" priority="896">
      <formula>U40&lt;50</formula>
    </cfRule>
    <cfRule type="expression" dxfId="5731" priority="897">
      <formula>U40&gt;70</formula>
    </cfRule>
  </conditionalFormatting>
  <conditionalFormatting sqref="AA37">
    <cfRule type="cellIs" dxfId="5730" priority="890" operator="between">
      <formula>60</formula>
      <formula>64.99</formula>
    </cfRule>
    <cfRule type="cellIs" dxfId="5729" priority="891" operator="between">
      <formula>75.1</formula>
      <formula>80</formula>
    </cfRule>
    <cfRule type="expression" dxfId="5728" priority="892">
      <formula>AA37&lt;60</formula>
    </cfRule>
    <cfRule type="expression" dxfId="5727" priority="893">
      <formula>AA37&gt;80</formula>
    </cfRule>
  </conditionalFormatting>
  <conditionalFormatting sqref="AA39">
    <cfRule type="cellIs" dxfId="5726" priority="886" operator="between">
      <formula>50</formula>
      <formula>54.99</formula>
    </cfRule>
    <cfRule type="cellIs" dxfId="5725" priority="887" operator="between">
      <formula>65.01</formula>
      <formula>70</formula>
    </cfRule>
    <cfRule type="expression" dxfId="5724" priority="888">
      <formula>AA39&lt;50</formula>
    </cfRule>
    <cfRule type="expression" dxfId="5723" priority="889">
      <formula>AA39&gt;70</formula>
    </cfRule>
  </conditionalFormatting>
  <conditionalFormatting sqref="AA41">
    <cfRule type="expression" dxfId="5722" priority="885" stopIfTrue="1">
      <formula>AA41&lt;130</formula>
    </cfRule>
  </conditionalFormatting>
  <conditionalFormatting sqref="AA41">
    <cfRule type="expression" dxfId="5721" priority="884" stopIfTrue="1">
      <formula>AA41&gt;150</formula>
    </cfRule>
  </conditionalFormatting>
  <conditionalFormatting sqref="AA42">
    <cfRule type="cellIs" dxfId="5720" priority="880" operator="between">
      <formula>8</formula>
      <formula>8.99</formula>
    </cfRule>
    <cfRule type="cellIs" dxfId="5719" priority="881" operator="between">
      <formula>11.01</formula>
      <formula>12</formula>
    </cfRule>
    <cfRule type="expression" dxfId="5718" priority="882">
      <formula>AA42&lt;8</formula>
    </cfRule>
    <cfRule type="expression" dxfId="5717" priority="883">
      <formula>AA42&gt;12</formula>
    </cfRule>
  </conditionalFormatting>
  <conditionalFormatting sqref="AA43">
    <cfRule type="cellIs" dxfId="5716" priority="876" operator="between">
      <formula>6</formula>
      <formula>7.499</formula>
    </cfRule>
    <cfRule type="cellIs" dxfId="5715" priority="877" operator="between">
      <formula>8.51</formula>
      <formula>10</formula>
    </cfRule>
    <cfRule type="expression" dxfId="5714" priority="878">
      <formula>AA43&lt;6</formula>
    </cfRule>
    <cfRule type="expression" dxfId="5713" priority="879">
      <formula>AA43&gt;10</formula>
    </cfRule>
  </conditionalFormatting>
  <conditionalFormatting sqref="AA44">
    <cfRule type="cellIs" dxfId="5712" priority="872" operator="between">
      <formula>2</formula>
      <formula>2.199</formula>
    </cfRule>
    <cfRule type="cellIs" dxfId="5711" priority="873" operator="between">
      <formula>2.41</formula>
      <formula>2.5</formula>
    </cfRule>
    <cfRule type="expression" dxfId="5710" priority="874">
      <formula>AA44&lt;2</formula>
    </cfRule>
    <cfRule type="expression" dxfId="5709" priority="875">
      <formula>AA44&gt;2.5</formula>
    </cfRule>
  </conditionalFormatting>
  <conditionalFormatting sqref="AA45">
    <cfRule type="cellIs" dxfId="5708" priority="868" operator="between">
      <formula>30%</formula>
      <formula>39.99%</formula>
    </cfRule>
    <cfRule type="cellIs" dxfId="5707" priority="869" operator="between">
      <formula>50.01%</formula>
      <formula>60%</formula>
    </cfRule>
    <cfRule type="expression" dxfId="5706" priority="870">
      <formula>AA45&lt;30%</formula>
    </cfRule>
    <cfRule type="expression" dxfId="5705" priority="871">
      <formula>AA45&gt;60%</formula>
    </cfRule>
  </conditionalFormatting>
  <conditionalFormatting sqref="AA46">
    <cfRule type="cellIs" dxfId="5704" priority="864" operator="between">
      <formula>15%</formula>
      <formula>16.99%</formula>
    </cfRule>
    <cfRule type="cellIs" dxfId="5703" priority="865" operator="between">
      <formula>27.01%</formula>
      <formula>30%</formula>
    </cfRule>
    <cfRule type="expression" dxfId="5702" priority="866">
      <formula>AA46&lt;15%</formula>
    </cfRule>
    <cfRule type="expression" dxfId="5701" priority="867">
      <formula>AA46&gt;30%</formula>
    </cfRule>
  </conditionalFormatting>
  <conditionalFormatting sqref="AA48">
    <cfRule type="cellIs" dxfId="5700" priority="856" operator="between">
      <formula>0.5%</formula>
      <formula>0.799%</formula>
    </cfRule>
    <cfRule type="cellIs" dxfId="5699" priority="857" operator="between">
      <formula>1.21%</formula>
      <formula>1.5%</formula>
    </cfRule>
    <cfRule type="expression" dxfId="5698" priority="858">
      <formula>AA48&lt;0.5%</formula>
    </cfRule>
    <cfRule type="expression" dxfId="5697" priority="859">
      <formula>AA48&gt;1.5%</formula>
    </cfRule>
  </conditionalFormatting>
  <conditionalFormatting sqref="AA38">
    <cfRule type="cellIs" dxfId="5696" priority="852" operator="between">
      <formula>60</formula>
      <formula>64.99</formula>
    </cfRule>
    <cfRule type="cellIs" dxfId="5695" priority="853" operator="between">
      <formula>75.1</formula>
      <formula>80</formula>
    </cfRule>
    <cfRule type="expression" dxfId="5694" priority="854">
      <formula>AA38&lt;60</formula>
    </cfRule>
    <cfRule type="expression" dxfId="5693" priority="855">
      <formula>AA38&gt;80</formula>
    </cfRule>
  </conditionalFormatting>
  <conditionalFormatting sqref="AA40">
    <cfRule type="cellIs" dxfId="5692" priority="848" operator="between">
      <formula>50</formula>
      <formula>54.99</formula>
    </cfRule>
    <cfRule type="cellIs" dxfId="5691" priority="849" operator="between">
      <formula>65.01</formula>
      <formula>70</formula>
    </cfRule>
    <cfRule type="expression" dxfId="5690" priority="850">
      <formula>AA40&lt;50</formula>
    </cfRule>
    <cfRule type="expression" dxfId="5689" priority="851">
      <formula>AA40&gt;70</formula>
    </cfRule>
  </conditionalFormatting>
  <conditionalFormatting sqref="AG37">
    <cfRule type="cellIs" dxfId="5688" priority="844" operator="between">
      <formula>60</formula>
      <formula>64.99</formula>
    </cfRule>
    <cfRule type="cellIs" dxfId="5687" priority="845" operator="between">
      <formula>75.1</formula>
      <formula>80</formula>
    </cfRule>
    <cfRule type="expression" dxfId="5686" priority="846">
      <formula>AG37&lt;60</formula>
    </cfRule>
    <cfRule type="expression" dxfId="5685" priority="847">
      <formula>AG37&gt;80</formula>
    </cfRule>
  </conditionalFormatting>
  <conditionalFormatting sqref="AG39">
    <cfRule type="cellIs" dxfId="5684" priority="840" operator="between">
      <formula>50</formula>
      <formula>54.99</formula>
    </cfRule>
    <cfRule type="cellIs" dxfId="5683" priority="841" operator="between">
      <formula>65.01</formula>
      <formula>70</formula>
    </cfRule>
    <cfRule type="expression" dxfId="5682" priority="842">
      <formula>AG39&lt;50</formula>
    </cfRule>
    <cfRule type="expression" dxfId="5681" priority="843">
      <formula>AG39&gt;70</formula>
    </cfRule>
  </conditionalFormatting>
  <conditionalFormatting sqref="AG41">
    <cfRule type="expression" dxfId="5680" priority="839" stopIfTrue="1">
      <formula>AG41&lt;130</formula>
    </cfRule>
  </conditionalFormatting>
  <conditionalFormatting sqref="AG41">
    <cfRule type="expression" dxfId="5679" priority="838" stopIfTrue="1">
      <formula>AG41&gt;150</formula>
    </cfRule>
  </conditionalFormatting>
  <conditionalFormatting sqref="AG42">
    <cfRule type="cellIs" dxfId="5678" priority="834" operator="between">
      <formula>8</formula>
      <formula>8.99</formula>
    </cfRule>
    <cfRule type="cellIs" dxfId="5677" priority="835" operator="between">
      <formula>11.01</formula>
      <formula>12</formula>
    </cfRule>
    <cfRule type="expression" dxfId="5676" priority="836">
      <formula>AG42&lt;8</formula>
    </cfRule>
    <cfRule type="expression" dxfId="5675" priority="837">
      <formula>AG42&gt;12</formula>
    </cfRule>
  </conditionalFormatting>
  <conditionalFormatting sqref="AG43">
    <cfRule type="cellIs" dxfId="5674" priority="830" operator="between">
      <formula>6</formula>
      <formula>7.499</formula>
    </cfRule>
    <cfRule type="cellIs" dxfId="5673" priority="831" operator="between">
      <formula>8.51</formula>
      <formula>10</formula>
    </cfRule>
    <cfRule type="expression" dxfId="5672" priority="832">
      <formula>AG43&lt;6</formula>
    </cfRule>
    <cfRule type="expression" dxfId="5671" priority="833">
      <formula>AG43&gt;10</formula>
    </cfRule>
  </conditionalFormatting>
  <conditionalFormatting sqref="AG44">
    <cfRule type="cellIs" dxfId="5670" priority="826" operator="between">
      <formula>2</formula>
      <formula>2.199</formula>
    </cfRule>
    <cfRule type="cellIs" dxfId="5669" priority="827" operator="between">
      <formula>2.41</formula>
      <formula>2.5</formula>
    </cfRule>
    <cfRule type="expression" dxfId="5668" priority="828">
      <formula>AG44&lt;2</formula>
    </cfRule>
    <cfRule type="expression" dxfId="5667" priority="829">
      <formula>AG44&gt;2.5</formula>
    </cfRule>
  </conditionalFormatting>
  <conditionalFormatting sqref="AG45">
    <cfRule type="cellIs" dxfId="5666" priority="822" operator="between">
      <formula>30%</formula>
      <formula>39.99%</formula>
    </cfRule>
    <cfRule type="cellIs" dxfId="5665" priority="823" operator="between">
      <formula>50.01%</formula>
      <formula>60%</formula>
    </cfRule>
    <cfRule type="expression" dxfId="5664" priority="824">
      <formula>AG45&lt;30%</formula>
    </cfRule>
    <cfRule type="expression" dxfId="5663" priority="825">
      <formula>AG45&gt;60%</formula>
    </cfRule>
  </conditionalFormatting>
  <conditionalFormatting sqref="AG46">
    <cfRule type="cellIs" dxfId="5662" priority="818" operator="between">
      <formula>15%</formula>
      <formula>16.99%</formula>
    </cfRule>
    <cfRule type="cellIs" dxfId="5661" priority="819" operator="between">
      <formula>27.01%</formula>
      <formula>30%</formula>
    </cfRule>
    <cfRule type="expression" dxfId="5660" priority="820">
      <formula>AG46&lt;15%</formula>
    </cfRule>
    <cfRule type="expression" dxfId="5659" priority="821">
      <formula>AG46&gt;30%</formula>
    </cfRule>
  </conditionalFormatting>
  <conditionalFormatting sqref="AG48">
    <cfRule type="cellIs" dxfId="5658" priority="810" operator="between">
      <formula>0.5%</formula>
      <formula>0.799%</formula>
    </cfRule>
    <cfRule type="cellIs" dxfId="5657" priority="811" operator="between">
      <formula>1.21%</formula>
      <formula>1.5%</formula>
    </cfRule>
    <cfRule type="expression" dxfId="5656" priority="812">
      <formula>AG48&lt;0.5%</formula>
    </cfRule>
    <cfRule type="expression" dxfId="5655" priority="813">
      <formula>AG48&gt;1.5%</formula>
    </cfRule>
  </conditionalFormatting>
  <conditionalFormatting sqref="AG38">
    <cfRule type="cellIs" dxfId="5654" priority="806" operator="between">
      <formula>60</formula>
      <formula>64.99</formula>
    </cfRule>
    <cfRule type="cellIs" dxfId="5653" priority="807" operator="between">
      <formula>75.1</formula>
      <formula>80</formula>
    </cfRule>
    <cfRule type="expression" dxfId="5652" priority="808">
      <formula>AG38&lt;60</formula>
    </cfRule>
    <cfRule type="expression" dxfId="5651" priority="809">
      <formula>AG38&gt;80</formula>
    </cfRule>
  </conditionalFormatting>
  <conditionalFormatting sqref="AG40">
    <cfRule type="cellIs" dxfId="5650" priority="802" operator="between">
      <formula>50</formula>
      <formula>54.99</formula>
    </cfRule>
    <cfRule type="cellIs" dxfId="5649" priority="803" operator="between">
      <formula>65.01</formula>
      <formula>70</formula>
    </cfRule>
    <cfRule type="expression" dxfId="5648" priority="804">
      <formula>AG40&lt;50</formula>
    </cfRule>
    <cfRule type="expression" dxfId="5647" priority="805">
      <formula>AG40&gt;70</formula>
    </cfRule>
  </conditionalFormatting>
  <conditionalFormatting sqref="AM37">
    <cfRule type="cellIs" dxfId="5646" priority="798" operator="between">
      <formula>60</formula>
      <formula>64.99</formula>
    </cfRule>
    <cfRule type="cellIs" dxfId="5645" priority="799" operator="between">
      <formula>75.1</formula>
      <formula>80</formula>
    </cfRule>
    <cfRule type="expression" dxfId="5644" priority="800">
      <formula>AM37&lt;60</formula>
    </cfRule>
    <cfRule type="expression" dxfId="5643" priority="801">
      <formula>AM37&gt;80</formula>
    </cfRule>
  </conditionalFormatting>
  <conditionalFormatting sqref="AM39">
    <cfRule type="cellIs" dxfId="5642" priority="794" operator="between">
      <formula>50</formula>
      <formula>54.99</formula>
    </cfRule>
    <cfRule type="cellIs" dxfId="5641" priority="795" operator="between">
      <formula>65.01</formula>
      <formula>70</formula>
    </cfRule>
    <cfRule type="expression" dxfId="5640" priority="796">
      <formula>AM39&lt;50</formula>
    </cfRule>
    <cfRule type="expression" dxfId="5639" priority="797">
      <formula>AM39&gt;70</formula>
    </cfRule>
  </conditionalFormatting>
  <conditionalFormatting sqref="AM41">
    <cfRule type="expression" dxfId="5638" priority="793" stopIfTrue="1">
      <formula>AM41&lt;130</formula>
    </cfRule>
  </conditionalFormatting>
  <conditionalFormatting sqref="AM41">
    <cfRule type="expression" dxfId="5637" priority="792" stopIfTrue="1">
      <formula>AM41&gt;150</formula>
    </cfRule>
  </conditionalFormatting>
  <conditionalFormatting sqref="AM42">
    <cfRule type="cellIs" dxfId="5636" priority="788" operator="between">
      <formula>8</formula>
      <formula>8.99</formula>
    </cfRule>
    <cfRule type="cellIs" dxfId="5635" priority="789" operator="between">
      <formula>11.01</formula>
      <formula>12</formula>
    </cfRule>
    <cfRule type="expression" dxfId="5634" priority="790">
      <formula>AM42&lt;8</formula>
    </cfRule>
    <cfRule type="expression" dxfId="5633" priority="791">
      <formula>AM42&gt;12</formula>
    </cfRule>
  </conditionalFormatting>
  <conditionalFormatting sqref="AM43">
    <cfRule type="cellIs" dxfId="5632" priority="784" operator="between">
      <formula>6</formula>
      <formula>7.499</formula>
    </cfRule>
    <cfRule type="cellIs" dxfId="5631" priority="785" operator="between">
      <formula>8.51</formula>
      <formula>10</formula>
    </cfRule>
    <cfRule type="expression" dxfId="5630" priority="786">
      <formula>AM43&lt;6</formula>
    </cfRule>
    <cfRule type="expression" dxfId="5629" priority="787">
      <formula>AM43&gt;10</formula>
    </cfRule>
  </conditionalFormatting>
  <conditionalFormatting sqref="AM44">
    <cfRule type="cellIs" dxfId="5628" priority="780" operator="between">
      <formula>2</formula>
      <formula>2.199</formula>
    </cfRule>
    <cfRule type="cellIs" dxfId="5627" priority="781" operator="between">
      <formula>2.41</formula>
      <formula>2.5</formula>
    </cfRule>
    <cfRule type="expression" dxfId="5626" priority="782">
      <formula>AM44&lt;2</formula>
    </cfRule>
    <cfRule type="expression" dxfId="5625" priority="783">
      <formula>AM44&gt;2.5</formula>
    </cfRule>
  </conditionalFormatting>
  <conditionalFormatting sqref="AM45">
    <cfRule type="cellIs" dxfId="5624" priority="776" operator="between">
      <formula>30%</formula>
      <formula>39.99%</formula>
    </cfRule>
    <cfRule type="cellIs" dxfId="5623" priority="777" operator="between">
      <formula>50.01%</formula>
      <formula>60%</formula>
    </cfRule>
    <cfRule type="expression" dxfId="5622" priority="778">
      <formula>AM45&lt;30%</formula>
    </cfRule>
    <cfRule type="expression" dxfId="5621" priority="779">
      <formula>AM45&gt;60%</formula>
    </cfRule>
  </conditionalFormatting>
  <conditionalFormatting sqref="AM46">
    <cfRule type="cellIs" dxfId="5620" priority="772" operator="between">
      <formula>15%</formula>
      <formula>16.99%</formula>
    </cfRule>
    <cfRule type="cellIs" dxfId="5619" priority="773" operator="between">
      <formula>27.01%</formula>
      <formula>30%</formula>
    </cfRule>
    <cfRule type="expression" dxfId="5618" priority="774">
      <formula>AM46&lt;15%</formula>
    </cfRule>
    <cfRule type="expression" dxfId="5617" priority="775">
      <formula>AM46&gt;30%</formula>
    </cfRule>
  </conditionalFormatting>
  <conditionalFormatting sqref="AM48">
    <cfRule type="cellIs" dxfId="5616" priority="764" operator="between">
      <formula>0.5%</formula>
      <formula>0.799%</formula>
    </cfRule>
    <cfRule type="cellIs" dxfId="5615" priority="765" operator="between">
      <formula>1.21%</formula>
      <formula>1.5%</formula>
    </cfRule>
    <cfRule type="expression" dxfId="5614" priority="766">
      <formula>AM48&lt;0.5%</formula>
    </cfRule>
    <cfRule type="expression" dxfId="5613" priority="767">
      <formula>AM48&gt;1.5%</formula>
    </cfRule>
  </conditionalFormatting>
  <conditionalFormatting sqref="AM38">
    <cfRule type="cellIs" dxfId="5612" priority="760" operator="between">
      <formula>60</formula>
      <formula>64.99</formula>
    </cfRule>
    <cfRule type="cellIs" dxfId="5611" priority="761" operator="between">
      <formula>75.1</formula>
      <formula>80</formula>
    </cfRule>
    <cfRule type="expression" dxfId="5610" priority="762">
      <formula>AM38&lt;60</formula>
    </cfRule>
    <cfRule type="expression" dxfId="5609" priority="763">
      <formula>AM38&gt;80</formula>
    </cfRule>
  </conditionalFormatting>
  <conditionalFormatting sqref="AM40">
    <cfRule type="cellIs" dxfId="5608" priority="756" operator="between">
      <formula>50</formula>
      <formula>54.99</formula>
    </cfRule>
    <cfRule type="cellIs" dxfId="5607" priority="757" operator="between">
      <formula>65.01</formula>
      <formula>70</formula>
    </cfRule>
    <cfRule type="expression" dxfId="5606" priority="758">
      <formula>AM40&lt;50</formula>
    </cfRule>
    <cfRule type="expression" dxfId="5605" priority="759">
      <formula>AM40&gt;70</formula>
    </cfRule>
  </conditionalFormatting>
  <conditionalFormatting sqref="L60">
    <cfRule type="cellIs" dxfId="5604" priority="752" operator="between">
      <formula>65</formula>
      <formula>66.9</formula>
    </cfRule>
    <cfRule type="cellIs" dxfId="5603" priority="753" operator="between">
      <formula>73.1</formula>
      <formula>75</formula>
    </cfRule>
    <cfRule type="expression" dxfId="5602" priority="754">
      <formula>L60&lt;65</formula>
    </cfRule>
    <cfRule type="expression" dxfId="5601" priority="755">
      <formula>L60&gt;75</formula>
    </cfRule>
  </conditionalFormatting>
  <conditionalFormatting sqref="I59">
    <cfRule type="cellIs" dxfId="5600" priority="748" operator="between">
      <formula>55</formula>
      <formula>56.9</formula>
    </cfRule>
    <cfRule type="cellIs" dxfId="5599" priority="749" operator="between">
      <formula>63.1</formula>
      <formula>65</formula>
    </cfRule>
    <cfRule type="expression" dxfId="5598" priority="750">
      <formula>I59&lt;55</formula>
    </cfRule>
    <cfRule type="expression" dxfId="5597" priority="751">
      <formula>I59&gt;65</formula>
    </cfRule>
  </conditionalFormatting>
  <conditionalFormatting sqref="I53">
    <cfRule type="cellIs" dxfId="5596" priority="744" operator="between">
      <formula>50</formula>
      <formula>56.99</formula>
    </cfRule>
    <cfRule type="cellIs" dxfId="5595" priority="745" operator="between">
      <formula>63.1</formula>
      <formula>70</formula>
    </cfRule>
    <cfRule type="expression" dxfId="5594" priority="746">
      <formula>I53&lt;50</formula>
    </cfRule>
    <cfRule type="expression" dxfId="5593" priority="747">
      <formula>I53&gt;70</formula>
    </cfRule>
  </conditionalFormatting>
  <conditionalFormatting sqref="I57">
    <cfRule type="cellIs" dxfId="5592" priority="740" operator="between">
      <formula>22</formula>
      <formula>22.99</formula>
    </cfRule>
    <cfRule type="cellIs" dxfId="5591" priority="741" operator="between">
      <formula>25.1</formula>
      <formula>30</formula>
    </cfRule>
    <cfRule type="expression" dxfId="5590" priority="742">
      <formula>I57&lt;22</formula>
    </cfRule>
    <cfRule type="expression" dxfId="5589" priority="743">
      <formula>I57&gt;30</formula>
    </cfRule>
  </conditionalFormatting>
  <conditionalFormatting sqref="I58">
    <cfRule type="cellIs" dxfId="5588" priority="736" operator="between">
      <formula>30</formula>
      <formula>31.99</formula>
    </cfRule>
    <cfRule type="cellIs" dxfId="5587" priority="737" operator="between">
      <formula>36.1</formula>
      <formula>38</formula>
    </cfRule>
    <cfRule type="expression" dxfId="5586" priority="738">
      <formula>I58&lt;30</formula>
    </cfRule>
    <cfRule type="expression" dxfId="5585" priority="739">
      <formula>I58&gt;38</formula>
    </cfRule>
  </conditionalFormatting>
  <conditionalFormatting sqref="I54:I56">
    <cfRule type="cellIs" dxfId="5584" priority="732" operator="between">
      <formula>50</formula>
      <formula>56.99</formula>
    </cfRule>
    <cfRule type="cellIs" dxfId="5583" priority="733" operator="between">
      <formula>63.1</formula>
      <formula>70</formula>
    </cfRule>
    <cfRule type="expression" dxfId="5582" priority="734">
      <formula>I54&lt;50</formula>
    </cfRule>
    <cfRule type="expression" dxfId="5581" priority="735">
      <formula>I54&gt;70</formula>
    </cfRule>
  </conditionalFormatting>
  <conditionalFormatting sqref="R60">
    <cfRule type="cellIs" dxfId="5580" priority="728" operator="between">
      <formula>65</formula>
      <formula>66.9</formula>
    </cfRule>
    <cfRule type="cellIs" dxfId="5579" priority="729" operator="between">
      <formula>73.1</formula>
      <formula>75</formula>
    </cfRule>
    <cfRule type="expression" dxfId="5578" priority="730">
      <formula>R60&lt;65</formula>
    </cfRule>
    <cfRule type="expression" dxfId="5577" priority="731">
      <formula>R60&gt;75</formula>
    </cfRule>
  </conditionalFormatting>
  <conditionalFormatting sqref="X60">
    <cfRule type="cellIs" dxfId="5576" priority="724" operator="between">
      <formula>65</formula>
      <formula>66.9</formula>
    </cfRule>
    <cfRule type="cellIs" dxfId="5575" priority="725" operator="between">
      <formula>73.1</formula>
      <formula>75</formula>
    </cfRule>
    <cfRule type="expression" dxfId="5574" priority="726">
      <formula>X60&lt;65</formula>
    </cfRule>
    <cfRule type="expression" dxfId="5573" priority="727">
      <formula>X60&gt;75</formula>
    </cfRule>
  </conditionalFormatting>
  <conditionalFormatting sqref="AD60">
    <cfRule type="cellIs" dxfId="5572" priority="720" operator="between">
      <formula>65</formula>
      <formula>66.9</formula>
    </cfRule>
    <cfRule type="cellIs" dxfId="5571" priority="721" operator="between">
      <formula>73.1</formula>
      <formula>75</formula>
    </cfRule>
    <cfRule type="expression" dxfId="5570" priority="722">
      <formula>AD60&lt;65</formula>
    </cfRule>
    <cfRule type="expression" dxfId="5569" priority="723">
      <formula>AD60&gt;75</formula>
    </cfRule>
  </conditionalFormatting>
  <conditionalFormatting sqref="AJ60">
    <cfRule type="cellIs" dxfId="5568" priority="716" operator="between">
      <formula>65</formula>
      <formula>66.9</formula>
    </cfRule>
    <cfRule type="cellIs" dxfId="5567" priority="717" operator="between">
      <formula>73.1</formula>
      <formula>75</formula>
    </cfRule>
    <cfRule type="expression" dxfId="5566" priority="718">
      <formula>AJ60&lt;65</formula>
    </cfRule>
    <cfRule type="expression" dxfId="5565" priority="719">
      <formula>AJ60&gt;75</formula>
    </cfRule>
  </conditionalFormatting>
  <conditionalFormatting sqref="AP60">
    <cfRule type="cellIs" dxfId="5564" priority="712" operator="between">
      <formula>65</formula>
      <formula>66.9</formula>
    </cfRule>
    <cfRule type="cellIs" dxfId="5563" priority="713" operator="between">
      <formula>73.1</formula>
      <formula>75</formula>
    </cfRule>
    <cfRule type="expression" dxfId="5562" priority="714">
      <formula>AP60&lt;65</formula>
    </cfRule>
    <cfRule type="expression" dxfId="5561" priority="715">
      <formula>AP60&gt;75</formula>
    </cfRule>
  </conditionalFormatting>
  <conditionalFormatting sqref="L59">
    <cfRule type="cellIs" dxfId="5560" priority="708" operator="between">
      <formula>55</formula>
      <formula>56.9</formula>
    </cfRule>
    <cfRule type="cellIs" dxfId="5559" priority="709" operator="between">
      <formula>63.1</formula>
      <formula>65</formula>
    </cfRule>
    <cfRule type="expression" dxfId="5558" priority="710">
      <formula>L59&lt;55</formula>
    </cfRule>
    <cfRule type="expression" dxfId="5557" priority="711">
      <formula>L59&gt;65</formula>
    </cfRule>
  </conditionalFormatting>
  <conditionalFormatting sqref="L53">
    <cfRule type="cellIs" dxfId="5556" priority="704" operator="between">
      <formula>50</formula>
      <formula>56.99</formula>
    </cfRule>
    <cfRule type="cellIs" dxfId="5555" priority="705" operator="between">
      <formula>63.1</formula>
      <formula>70</formula>
    </cfRule>
    <cfRule type="expression" dxfId="5554" priority="706">
      <formula>L53&lt;50</formula>
    </cfRule>
    <cfRule type="expression" dxfId="5553" priority="707">
      <formula>L53&gt;70</formula>
    </cfRule>
  </conditionalFormatting>
  <conditionalFormatting sqref="L57">
    <cfRule type="cellIs" dxfId="5552" priority="700" operator="between">
      <formula>22</formula>
      <formula>22.99</formula>
    </cfRule>
    <cfRule type="cellIs" dxfId="5551" priority="701" operator="between">
      <formula>25.1</formula>
      <formula>30</formula>
    </cfRule>
    <cfRule type="expression" dxfId="5550" priority="702">
      <formula>L57&lt;22</formula>
    </cfRule>
    <cfRule type="expression" dxfId="5549" priority="703">
      <formula>L57&gt;30</formula>
    </cfRule>
  </conditionalFormatting>
  <conditionalFormatting sqref="L58">
    <cfRule type="cellIs" dxfId="5548" priority="696" operator="between">
      <formula>30</formula>
      <formula>31.99</formula>
    </cfRule>
    <cfRule type="cellIs" dxfId="5547" priority="697" operator="between">
      <formula>36.1</formula>
      <formula>38</formula>
    </cfRule>
    <cfRule type="expression" dxfId="5546" priority="698">
      <formula>L58&lt;30</formula>
    </cfRule>
    <cfRule type="expression" dxfId="5545" priority="699">
      <formula>L58&gt;38</formula>
    </cfRule>
  </conditionalFormatting>
  <conditionalFormatting sqref="L54:L56">
    <cfRule type="cellIs" dxfId="5544" priority="692" operator="between">
      <formula>50</formula>
      <formula>56.99</formula>
    </cfRule>
    <cfRule type="cellIs" dxfId="5543" priority="693" operator="between">
      <formula>63.1</formula>
      <formula>70</formula>
    </cfRule>
    <cfRule type="expression" dxfId="5542" priority="694">
      <formula>L54&lt;50</formula>
    </cfRule>
    <cfRule type="expression" dxfId="5541" priority="695">
      <formula>L54&gt;70</formula>
    </cfRule>
  </conditionalFormatting>
  <conditionalFormatting sqref="O59">
    <cfRule type="cellIs" dxfId="5540" priority="688" operator="between">
      <formula>55</formula>
      <formula>56.9</formula>
    </cfRule>
    <cfRule type="cellIs" dxfId="5539" priority="689" operator="between">
      <formula>63.1</formula>
      <formula>65</formula>
    </cfRule>
    <cfRule type="expression" dxfId="5538" priority="690">
      <formula>O59&lt;55</formula>
    </cfRule>
    <cfRule type="expression" dxfId="5537" priority="691">
      <formula>O59&gt;65</formula>
    </cfRule>
  </conditionalFormatting>
  <conditionalFormatting sqref="O53">
    <cfRule type="cellIs" dxfId="5536" priority="684" operator="between">
      <formula>50</formula>
      <formula>56.99</formula>
    </cfRule>
    <cfRule type="cellIs" dxfId="5535" priority="685" operator="between">
      <formula>63.1</formula>
      <formula>70</formula>
    </cfRule>
    <cfRule type="expression" dxfId="5534" priority="686">
      <formula>O53&lt;50</formula>
    </cfRule>
    <cfRule type="expression" dxfId="5533" priority="687">
      <formula>O53&gt;70</formula>
    </cfRule>
  </conditionalFormatting>
  <conditionalFormatting sqref="O57">
    <cfRule type="cellIs" dxfId="5532" priority="680" operator="between">
      <formula>22</formula>
      <formula>22.99</formula>
    </cfRule>
    <cfRule type="cellIs" dxfId="5531" priority="681" operator="between">
      <formula>25.1</formula>
      <formula>30</formula>
    </cfRule>
    <cfRule type="expression" dxfId="5530" priority="682">
      <formula>O57&lt;22</formula>
    </cfRule>
    <cfRule type="expression" dxfId="5529" priority="683">
      <formula>O57&gt;30</formula>
    </cfRule>
  </conditionalFormatting>
  <conditionalFormatting sqref="O58">
    <cfRule type="cellIs" dxfId="5528" priority="676" operator="between">
      <formula>30</formula>
      <formula>31.99</formula>
    </cfRule>
    <cfRule type="cellIs" dxfId="5527" priority="677" operator="between">
      <formula>36.1</formula>
      <formula>38</formula>
    </cfRule>
    <cfRule type="expression" dxfId="5526" priority="678">
      <formula>O58&lt;30</formula>
    </cfRule>
    <cfRule type="expression" dxfId="5525" priority="679">
      <formula>O58&gt;38</formula>
    </cfRule>
  </conditionalFormatting>
  <conditionalFormatting sqref="O54:O56">
    <cfRule type="cellIs" dxfId="5524" priority="672" operator="between">
      <formula>50</formula>
      <formula>56.99</formula>
    </cfRule>
    <cfRule type="cellIs" dxfId="5523" priority="673" operator="between">
      <formula>63.1</formula>
      <formula>70</formula>
    </cfRule>
    <cfRule type="expression" dxfId="5522" priority="674">
      <formula>O54&lt;50</formula>
    </cfRule>
    <cfRule type="expression" dxfId="5521" priority="675">
      <formula>O54&gt;70</formula>
    </cfRule>
  </conditionalFormatting>
  <conditionalFormatting sqref="R59">
    <cfRule type="cellIs" dxfId="5520" priority="668" operator="between">
      <formula>55</formula>
      <formula>56.9</formula>
    </cfRule>
    <cfRule type="cellIs" dxfId="5519" priority="669" operator="between">
      <formula>63.1</formula>
      <formula>65</formula>
    </cfRule>
    <cfRule type="expression" dxfId="5518" priority="670">
      <formula>R59&lt;55</formula>
    </cfRule>
    <cfRule type="expression" dxfId="5517" priority="671">
      <formula>R59&gt;65</formula>
    </cfRule>
  </conditionalFormatting>
  <conditionalFormatting sqref="R53">
    <cfRule type="cellIs" dxfId="5516" priority="664" operator="between">
      <formula>50</formula>
      <formula>56.99</formula>
    </cfRule>
    <cfRule type="cellIs" dxfId="5515" priority="665" operator="between">
      <formula>63.1</formula>
      <formula>70</formula>
    </cfRule>
    <cfRule type="expression" dxfId="5514" priority="666">
      <formula>R53&lt;50</formula>
    </cfRule>
    <cfRule type="expression" dxfId="5513" priority="667">
      <formula>R53&gt;70</formula>
    </cfRule>
  </conditionalFormatting>
  <conditionalFormatting sqref="R57">
    <cfRule type="cellIs" dxfId="5512" priority="660" operator="between">
      <formula>22</formula>
      <formula>22.99</formula>
    </cfRule>
    <cfRule type="cellIs" dxfId="5511" priority="661" operator="between">
      <formula>25.1</formula>
      <formula>30</formula>
    </cfRule>
    <cfRule type="expression" dxfId="5510" priority="662">
      <formula>R57&lt;22</formula>
    </cfRule>
    <cfRule type="expression" dxfId="5509" priority="663">
      <formula>R57&gt;30</formula>
    </cfRule>
  </conditionalFormatting>
  <conditionalFormatting sqref="R58">
    <cfRule type="cellIs" dxfId="5508" priority="656" operator="between">
      <formula>30</formula>
      <formula>31.99</formula>
    </cfRule>
    <cfRule type="cellIs" dxfId="5507" priority="657" operator="between">
      <formula>36.1</formula>
      <formula>38</formula>
    </cfRule>
    <cfRule type="expression" dxfId="5506" priority="658">
      <formula>R58&lt;30</formula>
    </cfRule>
    <cfRule type="expression" dxfId="5505" priority="659">
      <formula>R58&gt;38</formula>
    </cfRule>
  </conditionalFormatting>
  <conditionalFormatting sqref="R54:R56">
    <cfRule type="cellIs" dxfId="5504" priority="652" operator="between">
      <formula>50</formula>
      <formula>56.99</formula>
    </cfRule>
    <cfRule type="cellIs" dxfId="5503" priority="653" operator="between">
      <formula>63.1</formula>
      <formula>70</formula>
    </cfRule>
    <cfRule type="expression" dxfId="5502" priority="654">
      <formula>R54&lt;50</formula>
    </cfRule>
    <cfRule type="expression" dxfId="5501" priority="655">
      <formula>R54&gt;70</formula>
    </cfRule>
  </conditionalFormatting>
  <conditionalFormatting sqref="U59">
    <cfRule type="cellIs" dxfId="5500" priority="648" operator="between">
      <formula>55</formula>
      <formula>56.9</formula>
    </cfRule>
    <cfRule type="cellIs" dxfId="5499" priority="649" operator="between">
      <formula>63.1</formula>
      <formula>65</formula>
    </cfRule>
    <cfRule type="expression" dxfId="5498" priority="650">
      <formula>U59&lt;55</formula>
    </cfRule>
    <cfRule type="expression" dxfId="5497" priority="651">
      <formula>U59&gt;65</formula>
    </cfRule>
  </conditionalFormatting>
  <conditionalFormatting sqref="U53">
    <cfRule type="cellIs" dxfId="5496" priority="644" operator="between">
      <formula>50</formula>
      <formula>56.99</formula>
    </cfRule>
    <cfRule type="cellIs" dxfId="5495" priority="645" operator="between">
      <formula>63.1</formula>
      <formula>70</formula>
    </cfRule>
    <cfRule type="expression" dxfId="5494" priority="646">
      <formula>U53&lt;50</formula>
    </cfRule>
    <cfRule type="expression" dxfId="5493" priority="647">
      <formula>U53&gt;70</formula>
    </cfRule>
  </conditionalFormatting>
  <conditionalFormatting sqref="U57">
    <cfRule type="cellIs" dxfId="5492" priority="640" operator="between">
      <formula>22</formula>
      <formula>22.99</formula>
    </cfRule>
    <cfRule type="cellIs" dxfId="5491" priority="641" operator="between">
      <formula>25.1</formula>
      <formula>30</formula>
    </cfRule>
    <cfRule type="expression" dxfId="5490" priority="642">
      <formula>U57&lt;22</formula>
    </cfRule>
    <cfRule type="expression" dxfId="5489" priority="643">
      <formula>U57&gt;30</formula>
    </cfRule>
  </conditionalFormatting>
  <conditionalFormatting sqref="U58">
    <cfRule type="cellIs" dxfId="5488" priority="636" operator="between">
      <formula>30</formula>
      <formula>31.99</formula>
    </cfRule>
    <cfRule type="cellIs" dxfId="5487" priority="637" operator="between">
      <formula>36.1</formula>
      <formula>38</formula>
    </cfRule>
    <cfRule type="expression" dxfId="5486" priority="638">
      <formula>U58&lt;30</formula>
    </cfRule>
    <cfRule type="expression" dxfId="5485" priority="639">
      <formula>U58&gt;38</formula>
    </cfRule>
  </conditionalFormatting>
  <conditionalFormatting sqref="U54:U56">
    <cfRule type="cellIs" dxfId="5484" priority="632" operator="between">
      <formula>50</formula>
      <formula>56.99</formula>
    </cfRule>
    <cfRule type="cellIs" dxfId="5483" priority="633" operator="between">
      <formula>63.1</formula>
      <formula>70</formula>
    </cfRule>
    <cfRule type="expression" dxfId="5482" priority="634">
      <formula>U54&lt;50</formula>
    </cfRule>
    <cfRule type="expression" dxfId="5481" priority="635">
      <formula>U54&gt;70</formula>
    </cfRule>
  </conditionalFormatting>
  <conditionalFormatting sqref="X59">
    <cfRule type="cellIs" dxfId="5480" priority="628" operator="between">
      <formula>55</formula>
      <formula>56.9</formula>
    </cfRule>
    <cfRule type="cellIs" dxfId="5479" priority="629" operator="between">
      <formula>63.1</formula>
      <formula>65</formula>
    </cfRule>
    <cfRule type="expression" dxfId="5478" priority="630">
      <formula>X59&lt;55</formula>
    </cfRule>
    <cfRule type="expression" dxfId="5477" priority="631">
      <formula>X59&gt;65</formula>
    </cfRule>
  </conditionalFormatting>
  <conditionalFormatting sqref="X53">
    <cfRule type="cellIs" dxfId="5476" priority="624" operator="between">
      <formula>50</formula>
      <formula>56.99</formula>
    </cfRule>
    <cfRule type="cellIs" dxfId="5475" priority="625" operator="between">
      <formula>63.1</formula>
      <formula>70</formula>
    </cfRule>
    <cfRule type="expression" dxfId="5474" priority="626">
      <formula>X53&lt;50</formula>
    </cfRule>
    <cfRule type="expression" dxfId="5473" priority="627">
      <formula>X53&gt;70</formula>
    </cfRule>
  </conditionalFormatting>
  <conditionalFormatting sqref="X57">
    <cfRule type="cellIs" dxfId="5472" priority="620" operator="between">
      <formula>22</formula>
      <formula>22.99</formula>
    </cfRule>
    <cfRule type="cellIs" dxfId="5471" priority="621" operator="between">
      <formula>25.1</formula>
      <formula>30</formula>
    </cfRule>
    <cfRule type="expression" dxfId="5470" priority="622">
      <formula>X57&lt;22</formula>
    </cfRule>
    <cfRule type="expression" dxfId="5469" priority="623">
      <formula>X57&gt;30</formula>
    </cfRule>
  </conditionalFormatting>
  <conditionalFormatting sqref="X58">
    <cfRule type="cellIs" dxfId="5468" priority="616" operator="between">
      <formula>30</formula>
      <formula>31.99</formula>
    </cfRule>
    <cfRule type="cellIs" dxfId="5467" priority="617" operator="between">
      <formula>36.1</formula>
      <formula>38</formula>
    </cfRule>
    <cfRule type="expression" dxfId="5466" priority="618">
      <formula>X58&lt;30</formula>
    </cfRule>
    <cfRule type="expression" dxfId="5465" priority="619">
      <formula>X58&gt;38</formula>
    </cfRule>
  </conditionalFormatting>
  <conditionalFormatting sqref="X54:X56">
    <cfRule type="cellIs" dxfId="5464" priority="612" operator="between">
      <formula>50</formula>
      <formula>56.99</formula>
    </cfRule>
    <cfRule type="cellIs" dxfId="5463" priority="613" operator="between">
      <formula>63.1</formula>
      <formula>70</formula>
    </cfRule>
    <cfRule type="expression" dxfId="5462" priority="614">
      <formula>X54&lt;50</formula>
    </cfRule>
    <cfRule type="expression" dxfId="5461" priority="615">
      <formula>X54&gt;70</formula>
    </cfRule>
  </conditionalFormatting>
  <conditionalFormatting sqref="AA59">
    <cfRule type="cellIs" dxfId="5460" priority="608" operator="between">
      <formula>55</formula>
      <formula>56.9</formula>
    </cfRule>
    <cfRule type="cellIs" dxfId="5459" priority="609" operator="between">
      <formula>63.1</formula>
      <formula>65</formula>
    </cfRule>
    <cfRule type="expression" dxfId="5458" priority="610">
      <formula>AA59&lt;55</formula>
    </cfRule>
    <cfRule type="expression" dxfId="5457" priority="611">
      <formula>AA59&gt;65</formula>
    </cfRule>
  </conditionalFormatting>
  <conditionalFormatting sqref="AA53">
    <cfRule type="cellIs" dxfId="5456" priority="604" operator="between">
      <formula>50</formula>
      <formula>56.99</formula>
    </cfRule>
    <cfRule type="cellIs" dxfId="5455" priority="605" operator="between">
      <formula>63.1</formula>
      <formula>70</formula>
    </cfRule>
    <cfRule type="expression" dxfId="5454" priority="606">
      <formula>AA53&lt;50</formula>
    </cfRule>
    <cfRule type="expression" dxfId="5453" priority="607">
      <formula>AA53&gt;70</formula>
    </cfRule>
  </conditionalFormatting>
  <conditionalFormatting sqref="AA57">
    <cfRule type="cellIs" dxfId="5452" priority="600" operator="between">
      <formula>22</formula>
      <formula>22.99</formula>
    </cfRule>
    <cfRule type="cellIs" dxfId="5451" priority="601" operator="between">
      <formula>25.1</formula>
      <formula>30</formula>
    </cfRule>
    <cfRule type="expression" dxfId="5450" priority="602">
      <formula>AA57&lt;22</formula>
    </cfRule>
    <cfRule type="expression" dxfId="5449" priority="603">
      <formula>AA57&gt;30</formula>
    </cfRule>
  </conditionalFormatting>
  <conditionalFormatting sqref="AA58">
    <cfRule type="cellIs" dxfId="5448" priority="596" operator="between">
      <formula>30</formula>
      <formula>31.99</formula>
    </cfRule>
    <cfRule type="cellIs" dxfId="5447" priority="597" operator="between">
      <formula>36.1</formula>
      <formula>38</formula>
    </cfRule>
    <cfRule type="expression" dxfId="5446" priority="598">
      <formula>AA58&lt;30</formula>
    </cfRule>
    <cfRule type="expression" dxfId="5445" priority="599">
      <formula>AA58&gt;38</formula>
    </cfRule>
  </conditionalFormatting>
  <conditionalFormatting sqref="AA54:AA56">
    <cfRule type="cellIs" dxfId="5444" priority="592" operator="between">
      <formula>50</formula>
      <formula>56.99</formula>
    </cfRule>
    <cfRule type="cellIs" dxfId="5443" priority="593" operator="between">
      <formula>63.1</formula>
      <formula>70</formula>
    </cfRule>
    <cfRule type="expression" dxfId="5442" priority="594">
      <formula>AA54&lt;50</formula>
    </cfRule>
    <cfRule type="expression" dxfId="5441" priority="595">
      <formula>AA54&gt;70</formula>
    </cfRule>
  </conditionalFormatting>
  <conditionalFormatting sqref="AD59">
    <cfRule type="cellIs" dxfId="5440" priority="588" operator="between">
      <formula>55</formula>
      <formula>56.9</formula>
    </cfRule>
    <cfRule type="cellIs" dxfId="5439" priority="589" operator="between">
      <formula>63.1</formula>
      <formula>65</formula>
    </cfRule>
    <cfRule type="expression" dxfId="5438" priority="590">
      <formula>AD59&lt;55</formula>
    </cfRule>
    <cfRule type="expression" dxfId="5437" priority="591">
      <formula>AD59&gt;65</formula>
    </cfRule>
  </conditionalFormatting>
  <conditionalFormatting sqref="AD53">
    <cfRule type="cellIs" dxfId="5436" priority="584" operator="between">
      <formula>50</formula>
      <formula>56.99</formula>
    </cfRule>
    <cfRule type="cellIs" dxfId="5435" priority="585" operator="between">
      <formula>63.1</formula>
      <formula>70</formula>
    </cfRule>
    <cfRule type="expression" dxfId="5434" priority="586">
      <formula>AD53&lt;50</formula>
    </cfRule>
    <cfRule type="expression" dxfId="5433" priority="587">
      <formula>AD53&gt;70</formula>
    </cfRule>
  </conditionalFormatting>
  <conditionalFormatting sqref="AD57">
    <cfRule type="cellIs" dxfId="5432" priority="580" operator="between">
      <formula>22</formula>
      <formula>22.99</formula>
    </cfRule>
    <cfRule type="cellIs" dxfId="5431" priority="581" operator="between">
      <formula>25.1</formula>
      <formula>30</formula>
    </cfRule>
    <cfRule type="expression" dxfId="5430" priority="582">
      <formula>AD57&lt;22</formula>
    </cfRule>
    <cfRule type="expression" dxfId="5429" priority="583">
      <formula>AD57&gt;30</formula>
    </cfRule>
  </conditionalFormatting>
  <conditionalFormatting sqref="AD58">
    <cfRule type="cellIs" dxfId="5428" priority="576" operator="between">
      <formula>30</formula>
      <formula>31.99</formula>
    </cfRule>
    <cfRule type="cellIs" dxfId="5427" priority="577" operator="between">
      <formula>36.1</formula>
      <formula>38</formula>
    </cfRule>
    <cfRule type="expression" dxfId="5426" priority="578">
      <formula>AD58&lt;30</formula>
    </cfRule>
    <cfRule type="expression" dxfId="5425" priority="579">
      <formula>AD58&gt;38</formula>
    </cfRule>
  </conditionalFormatting>
  <conditionalFormatting sqref="AD54:AD56">
    <cfRule type="cellIs" dxfId="5424" priority="572" operator="between">
      <formula>50</formula>
      <formula>56.99</formula>
    </cfRule>
    <cfRule type="cellIs" dxfId="5423" priority="573" operator="between">
      <formula>63.1</formula>
      <formula>70</formula>
    </cfRule>
    <cfRule type="expression" dxfId="5422" priority="574">
      <formula>AD54&lt;50</formula>
    </cfRule>
    <cfRule type="expression" dxfId="5421" priority="575">
      <formula>AD54&gt;70</formula>
    </cfRule>
  </conditionalFormatting>
  <conditionalFormatting sqref="AG59">
    <cfRule type="cellIs" dxfId="5420" priority="568" operator="between">
      <formula>55</formula>
      <formula>56.9</formula>
    </cfRule>
    <cfRule type="cellIs" dxfId="5419" priority="569" operator="between">
      <formula>63.1</formula>
      <formula>65</formula>
    </cfRule>
    <cfRule type="expression" dxfId="5418" priority="570">
      <formula>AG59&lt;55</formula>
    </cfRule>
    <cfRule type="expression" dxfId="5417" priority="571">
      <formula>AG59&gt;65</formula>
    </cfRule>
  </conditionalFormatting>
  <conditionalFormatting sqref="AG53">
    <cfRule type="cellIs" dxfId="5416" priority="564" operator="between">
      <formula>50</formula>
      <formula>56.99</formula>
    </cfRule>
    <cfRule type="cellIs" dxfId="5415" priority="565" operator="between">
      <formula>63.1</formula>
      <formula>70</formula>
    </cfRule>
    <cfRule type="expression" dxfId="5414" priority="566">
      <formula>AG53&lt;50</formula>
    </cfRule>
    <cfRule type="expression" dxfId="5413" priority="567">
      <formula>AG53&gt;70</formula>
    </cfRule>
  </conditionalFormatting>
  <conditionalFormatting sqref="AG57">
    <cfRule type="cellIs" dxfId="5412" priority="560" operator="between">
      <formula>22</formula>
      <formula>22.99</formula>
    </cfRule>
    <cfRule type="cellIs" dxfId="5411" priority="561" operator="between">
      <formula>25.1</formula>
      <formula>30</formula>
    </cfRule>
    <cfRule type="expression" dxfId="5410" priority="562">
      <formula>AG57&lt;22</formula>
    </cfRule>
    <cfRule type="expression" dxfId="5409" priority="563">
      <formula>AG57&gt;30</formula>
    </cfRule>
  </conditionalFormatting>
  <conditionalFormatting sqref="AG58">
    <cfRule type="cellIs" dxfId="5408" priority="556" operator="between">
      <formula>30</formula>
      <formula>31.99</formula>
    </cfRule>
    <cfRule type="cellIs" dxfId="5407" priority="557" operator="between">
      <formula>36.1</formula>
      <formula>38</formula>
    </cfRule>
    <cfRule type="expression" dxfId="5406" priority="558">
      <formula>AG58&lt;30</formula>
    </cfRule>
    <cfRule type="expression" dxfId="5405" priority="559">
      <formula>AG58&gt;38</formula>
    </cfRule>
  </conditionalFormatting>
  <conditionalFormatting sqref="AG54:AG56">
    <cfRule type="cellIs" dxfId="5404" priority="552" operator="between">
      <formula>50</formula>
      <formula>56.99</formula>
    </cfRule>
    <cfRule type="cellIs" dxfId="5403" priority="553" operator="between">
      <formula>63.1</formula>
      <formula>70</formula>
    </cfRule>
    <cfRule type="expression" dxfId="5402" priority="554">
      <formula>AG54&lt;50</formula>
    </cfRule>
    <cfRule type="expression" dxfId="5401" priority="555">
      <formula>AG54&gt;70</formula>
    </cfRule>
  </conditionalFormatting>
  <conditionalFormatting sqref="AJ59">
    <cfRule type="cellIs" dxfId="5400" priority="548" operator="between">
      <formula>55</formula>
      <formula>56.9</formula>
    </cfRule>
    <cfRule type="cellIs" dxfId="5399" priority="549" operator="between">
      <formula>63.1</formula>
      <formula>65</formula>
    </cfRule>
    <cfRule type="expression" dxfId="5398" priority="550">
      <formula>AJ59&lt;55</formula>
    </cfRule>
    <cfRule type="expression" dxfId="5397" priority="551">
      <formula>AJ59&gt;65</formula>
    </cfRule>
  </conditionalFormatting>
  <conditionalFormatting sqref="AJ53">
    <cfRule type="cellIs" dxfId="5396" priority="544" operator="between">
      <formula>50</formula>
      <formula>56.99</formula>
    </cfRule>
    <cfRule type="cellIs" dxfId="5395" priority="545" operator="between">
      <formula>63.1</formula>
      <formula>70</formula>
    </cfRule>
    <cfRule type="expression" dxfId="5394" priority="546">
      <formula>AJ53&lt;50</formula>
    </cfRule>
    <cfRule type="expression" dxfId="5393" priority="547">
      <formula>AJ53&gt;70</formula>
    </cfRule>
  </conditionalFormatting>
  <conditionalFormatting sqref="AJ57">
    <cfRule type="cellIs" dxfId="5392" priority="540" operator="between">
      <formula>22</formula>
      <formula>22.99</formula>
    </cfRule>
    <cfRule type="cellIs" dxfId="5391" priority="541" operator="between">
      <formula>25.1</formula>
      <formula>30</formula>
    </cfRule>
    <cfRule type="expression" dxfId="5390" priority="542">
      <formula>AJ57&lt;22</formula>
    </cfRule>
    <cfRule type="expression" dxfId="5389" priority="543">
      <formula>AJ57&gt;30</formula>
    </cfRule>
  </conditionalFormatting>
  <conditionalFormatting sqref="AJ58">
    <cfRule type="cellIs" dxfId="5388" priority="536" operator="between">
      <formula>30</formula>
      <formula>31.99</formula>
    </cfRule>
    <cfRule type="cellIs" dxfId="5387" priority="537" operator="between">
      <formula>36.1</formula>
      <formula>38</formula>
    </cfRule>
    <cfRule type="expression" dxfId="5386" priority="538">
      <formula>AJ58&lt;30</formula>
    </cfRule>
    <cfRule type="expression" dxfId="5385" priority="539">
      <formula>AJ58&gt;38</formula>
    </cfRule>
  </conditionalFormatting>
  <conditionalFormatting sqref="AJ54:AJ56">
    <cfRule type="cellIs" dxfId="5384" priority="532" operator="between">
      <formula>50</formula>
      <formula>56.99</formula>
    </cfRule>
    <cfRule type="cellIs" dxfId="5383" priority="533" operator="between">
      <formula>63.1</formula>
      <formula>70</formula>
    </cfRule>
    <cfRule type="expression" dxfId="5382" priority="534">
      <formula>AJ54&lt;50</formula>
    </cfRule>
    <cfRule type="expression" dxfId="5381" priority="535">
      <formula>AJ54&gt;70</formula>
    </cfRule>
  </conditionalFormatting>
  <conditionalFormatting sqref="AM59">
    <cfRule type="cellIs" dxfId="5380" priority="528" operator="between">
      <formula>55</formula>
      <formula>56.9</formula>
    </cfRule>
    <cfRule type="cellIs" dxfId="5379" priority="529" operator="between">
      <formula>63.1</formula>
      <formula>65</formula>
    </cfRule>
    <cfRule type="expression" dxfId="5378" priority="530">
      <formula>AM59&lt;55</formula>
    </cfRule>
    <cfRule type="expression" dxfId="5377" priority="531">
      <formula>AM59&gt;65</formula>
    </cfRule>
  </conditionalFormatting>
  <conditionalFormatting sqref="AM53">
    <cfRule type="cellIs" dxfId="5376" priority="524" operator="between">
      <formula>50</formula>
      <formula>56.99</formula>
    </cfRule>
    <cfRule type="cellIs" dxfId="5375" priority="525" operator="between">
      <formula>63.1</formula>
      <formula>70</formula>
    </cfRule>
    <cfRule type="expression" dxfId="5374" priority="526">
      <formula>AM53&lt;50</formula>
    </cfRule>
    <cfRule type="expression" dxfId="5373" priority="527">
      <formula>AM53&gt;70</formula>
    </cfRule>
  </conditionalFormatting>
  <conditionalFormatting sqref="AM57">
    <cfRule type="cellIs" dxfId="5372" priority="520" operator="between">
      <formula>22</formula>
      <formula>22.99</formula>
    </cfRule>
    <cfRule type="cellIs" dxfId="5371" priority="521" operator="between">
      <formula>25.1</formula>
      <formula>30</formula>
    </cfRule>
    <cfRule type="expression" dxfId="5370" priority="522">
      <formula>AM57&lt;22</formula>
    </cfRule>
    <cfRule type="expression" dxfId="5369" priority="523">
      <formula>AM57&gt;30</formula>
    </cfRule>
  </conditionalFormatting>
  <conditionalFormatting sqref="AM58">
    <cfRule type="cellIs" dxfId="5368" priority="516" operator="between">
      <formula>30</formula>
      <formula>31.99</formula>
    </cfRule>
    <cfRule type="cellIs" dxfId="5367" priority="517" operator="between">
      <formula>36.1</formula>
      <formula>38</formula>
    </cfRule>
    <cfRule type="expression" dxfId="5366" priority="518">
      <formula>AM58&lt;30</formula>
    </cfRule>
    <cfRule type="expression" dxfId="5365" priority="519">
      <formula>AM58&gt;38</formula>
    </cfRule>
  </conditionalFormatting>
  <conditionalFormatting sqref="AM54:AM56">
    <cfRule type="cellIs" dxfId="5364" priority="512" operator="between">
      <formula>50</formula>
      <formula>56.99</formula>
    </cfRule>
    <cfRule type="cellIs" dxfId="5363" priority="513" operator="between">
      <formula>63.1</formula>
      <formula>70</formula>
    </cfRule>
    <cfRule type="expression" dxfId="5362" priority="514">
      <formula>AM54&lt;50</formula>
    </cfRule>
    <cfRule type="expression" dxfId="5361" priority="515">
      <formula>AM54&gt;70</formula>
    </cfRule>
  </conditionalFormatting>
  <conditionalFormatting sqref="AP59">
    <cfRule type="cellIs" dxfId="5360" priority="508" operator="between">
      <formula>55</formula>
      <formula>56.9</formula>
    </cfRule>
    <cfRule type="cellIs" dxfId="5359" priority="509" operator="between">
      <formula>63.1</formula>
      <formula>65</formula>
    </cfRule>
    <cfRule type="expression" dxfId="5358" priority="510">
      <formula>AP59&lt;55</formula>
    </cfRule>
    <cfRule type="expression" dxfId="5357" priority="511">
      <formula>AP59&gt;65</formula>
    </cfRule>
  </conditionalFormatting>
  <conditionalFormatting sqref="AP53">
    <cfRule type="cellIs" dxfId="5356" priority="504" operator="between">
      <formula>50</formula>
      <formula>56.99</formula>
    </cfRule>
    <cfRule type="cellIs" dxfId="5355" priority="505" operator="between">
      <formula>63.1</formula>
      <formula>70</formula>
    </cfRule>
    <cfRule type="expression" dxfId="5354" priority="506">
      <formula>AP53&lt;50</formula>
    </cfRule>
    <cfRule type="expression" dxfId="5353" priority="507">
      <formula>AP53&gt;70</formula>
    </cfRule>
  </conditionalFormatting>
  <conditionalFormatting sqref="AP57">
    <cfRule type="cellIs" dxfId="5352" priority="500" operator="between">
      <formula>22</formula>
      <formula>22.99</formula>
    </cfRule>
    <cfRule type="cellIs" dxfId="5351" priority="501" operator="between">
      <formula>25.1</formula>
      <formula>30</formula>
    </cfRule>
    <cfRule type="expression" dxfId="5350" priority="502">
      <formula>AP57&lt;22</formula>
    </cfRule>
    <cfRule type="expression" dxfId="5349" priority="503">
      <formula>AP57&gt;30</formula>
    </cfRule>
  </conditionalFormatting>
  <conditionalFormatting sqref="AP58">
    <cfRule type="cellIs" dxfId="5348" priority="496" operator="between">
      <formula>30</formula>
      <formula>31.99</formula>
    </cfRule>
    <cfRule type="cellIs" dxfId="5347" priority="497" operator="between">
      <formula>36.1</formula>
      <formula>38</formula>
    </cfRule>
    <cfRule type="expression" dxfId="5346" priority="498">
      <formula>AP58&lt;30</formula>
    </cfRule>
    <cfRule type="expression" dxfId="5345" priority="499">
      <formula>AP58&gt;38</formula>
    </cfRule>
  </conditionalFormatting>
  <conditionalFormatting sqref="AP54:AP56">
    <cfRule type="cellIs" dxfId="5344" priority="492" operator="between">
      <formula>50</formula>
      <formula>56.99</formula>
    </cfRule>
    <cfRule type="cellIs" dxfId="5343" priority="493" operator="between">
      <formula>63.1</formula>
      <formula>70</formula>
    </cfRule>
    <cfRule type="expression" dxfId="5342" priority="494">
      <formula>AP54&lt;50</formula>
    </cfRule>
    <cfRule type="expression" dxfId="5341" priority="495">
      <formula>AP54&gt;70</formula>
    </cfRule>
  </conditionalFormatting>
  <conditionalFormatting sqref="I68">
    <cfRule type="cellIs" dxfId="5340" priority="488" operator="between">
      <formula>40</formula>
      <formula>44.99</formula>
    </cfRule>
    <cfRule type="cellIs" dxfId="5339" priority="489" operator="between">
      <formula>55.1</formula>
      <formula>60</formula>
    </cfRule>
    <cfRule type="expression" dxfId="5338" priority="490">
      <formula>I68&lt;40</formula>
    </cfRule>
    <cfRule type="expression" dxfId="5337" priority="491">
      <formula>I68&gt;60</formula>
    </cfRule>
  </conditionalFormatting>
  <conditionalFormatting sqref="I70">
    <cfRule type="cellIs" dxfId="5336" priority="484" operator="between">
      <formula>50</formula>
      <formula>54.99</formula>
    </cfRule>
    <cfRule type="cellIs" dxfId="5335" priority="485" operator="between">
      <formula>65.01</formula>
      <formula>70</formula>
    </cfRule>
    <cfRule type="expression" dxfId="5334" priority="486">
      <formula>I70&lt;50</formula>
    </cfRule>
    <cfRule type="expression" dxfId="5333" priority="487">
      <formula>I70&gt;70</formula>
    </cfRule>
  </conditionalFormatting>
  <conditionalFormatting sqref="I72">
    <cfRule type="expression" dxfId="5332" priority="483" stopIfTrue="1">
      <formula>I72&lt;135</formula>
    </cfRule>
  </conditionalFormatting>
  <conditionalFormatting sqref="I72">
    <cfRule type="expression" dxfId="5331" priority="482" stopIfTrue="1">
      <formula>I72&gt;145</formula>
    </cfRule>
  </conditionalFormatting>
  <conditionalFormatting sqref="I73">
    <cfRule type="cellIs" dxfId="5330" priority="478" operator="between">
      <formula>6</formula>
      <formula>6.499</formula>
    </cfRule>
    <cfRule type="cellIs" dxfId="5329" priority="479" operator="between">
      <formula>7.51</formula>
      <formula>8</formula>
    </cfRule>
    <cfRule type="expression" dxfId="5328" priority="480">
      <formula>I73&lt;6</formula>
    </cfRule>
    <cfRule type="expression" dxfId="5327" priority="481">
      <formula>I73&gt;8</formula>
    </cfRule>
  </conditionalFormatting>
  <conditionalFormatting sqref="I74">
    <cfRule type="cellIs" dxfId="5326" priority="474" operator="between">
      <formula>5</formula>
      <formula>5.499</formula>
    </cfRule>
    <cfRule type="cellIs" dxfId="5325" priority="475" operator="between">
      <formula>6.51</formula>
      <formula>8</formula>
    </cfRule>
    <cfRule type="expression" dxfId="5324" priority="476">
      <formula>I74&lt;5</formula>
    </cfRule>
    <cfRule type="expression" dxfId="5323" priority="477">
      <formula>I74&gt;8</formula>
    </cfRule>
  </conditionalFormatting>
  <conditionalFormatting sqref="I75">
    <cfRule type="expression" dxfId="5322" priority="472">
      <formula>I75&lt;2</formula>
    </cfRule>
    <cfRule type="expression" dxfId="5321" priority="473">
      <formula>I75&gt;2.4</formula>
    </cfRule>
  </conditionalFormatting>
  <conditionalFormatting sqref="I76:I77">
    <cfRule type="expression" dxfId="5320" priority="470">
      <formula>I76&lt;40%</formula>
    </cfRule>
    <cfRule type="expression" dxfId="5319" priority="471">
      <formula>I76&gt;50%</formula>
    </cfRule>
  </conditionalFormatting>
  <conditionalFormatting sqref="I79">
    <cfRule type="cellIs" dxfId="5318" priority="466" operator="between">
      <formula>0.5%</formula>
      <formula>0.599%</formula>
    </cfRule>
    <cfRule type="cellIs" dxfId="5317" priority="467" operator="between">
      <formula>1.41%</formula>
      <formula>1.5%</formula>
    </cfRule>
    <cfRule type="expression" dxfId="5316" priority="468">
      <formula>I79&lt;0.5%</formula>
    </cfRule>
    <cfRule type="expression" dxfId="5315" priority="469">
      <formula>I79&gt;1.5%</formula>
    </cfRule>
  </conditionalFormatting>
  <conditionalFormatting sqref="I78">
    <cfRule type="cellIs" dxfId="5314" priority="462" operator="between">
      <formula>20%</formula>
      <formula>24.99%</formula>
    </cfRule>
    <cfRule type="cellIs" dxfId="5313" priority="463" operator="between">
      <formula>35.01%</formula>
      <formula>40%</formula>
    </cfRule>
    <cfRule type="expression" dxfId="5312" priority="464">
      <formula>I78&lt;20%</formula>
    </cfRule>
    <cfRule type="expression" dxfId="5311" priority="465">
      <formula>I78&gt;40%</formula>
    </cfRule>
  </conditionalFormatting>
  <conditionalFormatting sqref="I83">
    <cfRule type="cellIs" dxfId="5310" priority="459" operator="between">
      <formula>2.21</formula>
      <formula>2.4</formula>
    </cfRule>
    <cfRule type="expression" dxfId="5309" priority="460">
      <formula>I83&lt;1.8</formula>
    </cfRule>
    <cfRule type="expression" dxfId="5308" priority="461">
      <formula>I83&gt;2.4</formula>
    </cfRule>
  </conditionalFormatting>
  <conditionalFormatting sqref="I82">
    <cfRule type="cellIs" dxfId="5307" priority="455" operator="between">
      <formula>8</formula>
      <formula>9.99</formula>
    </cfRule>
    <cfRule type="cellIs" dxfId="5306" priority="456" operator="between">
      <formula>14.1</formula>
      <formula>16</formula>
    </cfRule>
    <cfRule type="expression" dxfId="5305" priority="457">
      <formula>I82&lt;8</formula>
    </cfRule>
    <cfRule type="expression" dxfId="5304" priority="458">
      <formula>I82&gt;16</formula>
    </cfRule>
  </conditionalFormatting>
  <conditionalFormatting sqref="I69">
    <cfRule type="cellIs" dxfId="5303" priority="451" operator="between">
      <formula>40</formula>
      <formula>44.99</formula>
    </cfRule>
    <cfRule type="cellIs" dxfId="5302" priority="452" operator="between">
      <formula>55.1</formula>
      <formula>60</formula>
    </cfRule>
    <cfRule type="expression" dxfId="5301" priority="453">
      <formula>I69&lt;40</formula>
    </cfRule>
    <cfRule type="expression" dxfId="5300" priority="454">
      <formula>I69&gt;60</formula>
    </cfRule>
  </conditionalFormatting>
  <conditionalFormatting sqref="I71">
    <cfRule type="cellIs" dxfId="5299" priority="447" operator="between">
      <formula>50</formula>
      <formula>54.99</formula>
    </cfRule>
    <cfRule type="cellIs" dxfId="5298" priority="448" operator="between">
      <formula>65.01</formula>
      <formula>70</formula>
    </cfRule>
    <cfRule type="expression" dxfId="5297" priority="449">
      <formula>I71&lt;50</formula>
    </cfRule>
    <cfRule type="expression" dxfId="5296" priority="450">
      <formula>I71&gt;70</formula>
    </cfRule>
  </conditionalFormatting>
  <conditionalFormatting sqref="O83">
    <cfRule type="cellIs" dxfId="5295" priority="444" operator="between">
      <formula>2.21</formula>
      <formula>2.4</formula>
    </cfRule>
    <cfRule type="expression" dxfId="5294" priority="445">
      <formula>O83&lt;1.8</formula>
    </cfRule>
    <cfRule type="expression" dxfId="5293" priority="446">
      <formula>O83&gt;2.4</formula>
    </cfRule>
  </conditionalFormatting>
  <conditionalFormatting sqref="O82">
    <cfRule type="cellIs" dxfId="5292" priority="440" operator="between">
      <formula>8</formula>
      <formula>9.99</formula>
    </cfRule>
    <cfRule type="cellIs" dxfId="5291" priority="441" operator="between">
      <formula>14.1</formula>
      <formula>16</formula>
    </cfRule>
    <cfRule type="expression" dxfId="5290" priority="442">
      <formula>O82&lt;8</formula>
    </cfRule>
    <cfRule type="expression" dxfId="5289" priority="443">
      <formula>O82&gt;16</formula>
    </cfRule>
  </conditionalFormatting>
  <conditionalFormatting sqref="U83">
    <cfRule type="cellIs" dxfId="5288" priority="437" operator="between">
      <formula>2.21</formula>
      <formula>2.4</formula>
    </cfRule>
    <cfRule type="expression" dxfId="5287" priority="438">
      <formula>U83&lt;1.8</formula>
    </cfRule>
    <cfRule type="expression" dxfId="5286" priority="439">
      <formula>U83&gt;2.4</formula>
    </cfRule>
  </conditionalFormatting>
  <conditionalFormatting sqref="U82">
    <cfRule type="cellIs" dxfId="5285" priority="433" operator="between">
      <formula>8</formula>
      <formula>9.99</formula>
    </cfRule>
    <cfRule type="cellIs" dxfId="5284" priority="434" operator="between">
      <formula>14.1</formula>
      <formula>16</formula>
    </cfRule>
    <cfRule type="expression" dxfId="5283" priority="435">
      <formula>U82&lt;8</formula>
    </cfRule>
    <cfRule type="expression" dxfId="5282" priority="436">
      <formula>U82&gt;16</formula>
    </cfRule>
  </conditionalFormatting>
  <conditionalFormatting sqref="AA83">
    <cfRule type="cellIs" dxfId="5281" priority="430" operator="between">
      <formula>2.21</formula>
      <formula>2.4</formula>
    </cfRule>
    <cfRule type="expression" dxfId="5280" priority="431">
      <formula>AA83&lt;1.8</formula>
    </cfRule>
    <cfRule type="expression" dxfId="5279" priority="432">
      <formula>AA83&gt;2.4</formula>
    </cfRule>
  </conditionalFormatting>
  <conditionalFormatting sqref="AA82">
    <cfRule type="cellIs" dxfId="5278" priority="426" operator="between">
      <formula>8</formula>
      <formula>9.99</formula>
    </cfRule>
    <cfRule type="cellIs" dxfId="5277" priority="427" operator="between">
      <formula>14.1</formula>
      <formula>16</formula>
    </cfRule>
    <cfRule type="expression" dxfId="5276" priority="428">
      <formula>AA82&lt;8</formula>
    </cfRule>
    <cfRule type="expression" dxfId="5275" priority="429">
      <formula>AA82&gt;16</formula>
    </cfRule>
  </conditionalFormatting>
  <conditionalFormatting sqref="AG83">
    <cfRule type="cellIs" dxfId="5274" priority="423" operator="between">
      <formula>2.21</formula>
      <formula>2.4</formula>
    </cfRule>
    <cfRule type="expression" dxfId="5273" priority="424">
      <formula>AG83&lt;1.8</formula>
    </cfRule>
    <cfRule type="expression" dxfId="5272" priority="425">
      <formula>AG83&gt;2.4</formula>
    </cfRule>
  </conditionalFormatting>
  <conditionalFormatting sqref="AG82">
    <cfRule type="cellIs" dxfId="5271" priority="419" operator="between">
      <formula>8</formula>
      <formula>9.99</formula>
    </cfRule>
    <cfRule type="cellIs" dxfId="5270" priority="420" operator="between">
      <formula>14.1</formula>
      <formula>16</formula>
    </cfRule>
    <cfRule type="expression" dxfId="5269" priority="421">
      <formula>AG82&lt;8</formula>
    </cfRule>
    <cfRule type="expression" dxfId="5268" priority="422">
      <formula>AG82&gt;16</formula>
    </cfRule>
  </conditionalFormatting>
  <conditionalFormatting sqref="AM83">
    <cfRule type="cellIs" dxfId="5267" priority="416" operator="between">
      <formula>2.21</formula>
      <formula>2.4</formula>
    </cfRule>
    <cfRule type="expression" dxfId="5266" priority="417">
      <formula>AM83&lt;1.8</formula>
    </cfRule>
    <cfRule type="expression" dxfId="5265" priority="418">
      <formula>AM83&gt;2.4</formula>
    </cfRule>
  </conditionalFormatting>
  <conditionalFormatting sqref="AM82">
    <cfRule type="cellIs" dxfId="5264" priority="412" operator="between">
      <formula>8</formula>
      <formula>9.99</formula>
    </cfRule>
    <cfRule type="cellIs" dxfId="5263" priority="413" operator="between">
      <formula>14.1</formula>
      <formula>16</formula>
    </cfRule>
    <cfRule type="expression" dxfId="5262" priority="414">
      <formula>AM82&lt;8</formula>
    </cfRule>
    <cfRule type="expression" dxfId="5261" priority="415">
      <formula>AM82&gt;16</formula>
    </cfRule>
  </conditionalFormatting>
  <conditionalFormatting sqref="O68">
    <cfRule type="cellIs" dxfId="5260" priority="408" operator="between">
      <formula>40</formula>
      <formula>44.99</formula>
    </cfRule>
    <cfRule type="cellIs" dxfId="5259" priority="409" operator="between">
      <formula>55.1</formula>
      <formula>60</formula>
    </cfRule>
    <cfRule type="expression" dxfId="5258" priority="410">
      <formula>O68&lt;40</formula>
    </cfRule>
    <cfRule type="expression" dxfId="5257" priority="411">
      <formula>O68&gt;60</formula>
    </cfRule>
  </conditionalFormatting>
  <conditionalFormatting sqref="O70">
    <cfRule type="cellIs" dxfId="5256" priority="404" operator="between">
      <formula>50</formula>
      <formula>54.99</formula>
    </cfRule>
    <cfRule type="cellIs" dxfId="5255" priority="405" operator="between">
      <formula>65.01</formula>
      <formula>70</formula>
    </cfRule>
    <cfRule type="expression" dxfId="5254" priority="406">
      <formula>O70&lt;50</formula>
    </cfRule>
    <cfRule type="expression" dxfId="5253" priority="407">
      <formula>O70&gt;70</formula>
    </cfRule>
  </conditionalFormatting>
  <conditionalFormatting sqref="O72">
    <cfRule type="expression" dxfId="5252" priority="403" stopIfTrue="1">
      <formula>O72&lt;135</formula>
    </cfRule>
  </conditionalFormatting>
  <conditionalFormatting sqref="O72">
    <cfRule type="expression" dxfId="5251" priority="402" stopIfTrue="1">
      <formula>O72&gt;145</formula>
    </cfRule>
  </conditionalFormatting>
  <conditionalFormatting sqref="O73">
    <cfRule type="cellIs" dxfId="5250" priority="398" operator="between">
      <formula>6</formula>
      <formula>6.499</formula>
    </cfRule>
    <cfRule type="cellIs" dxfId="5249" priority="399" operator="between">
      <formula>7.51</formula>
      <formula>8</formula>
    </cfRule>
    <cfRule type="expression" dxfId="5248" priority="400">
      <formula>O73&lt;6</formula>
    </cfRule>
    <cfRule type="expression" dxfId="5247" priority="401">
      <formula>O73&gt;8</formula>
    </cfRule>
  </conditionalFormatting>
  <conditionalFormatting sqref="O74">
    <cfRule type="cellIs" dxfId="5246" priority="394" operator="between">
      <formula>5</formula>
      <formula>5.499</formula>
    </cfRule>
    <cfRule type="cellIs" dxfId="5245" priority="395" operator="between">
      <formula>6.51</formula>
      <formula>8</formula>
    </cfRule>
    <cfRule type="expression" dxfId="5244" priority="396">
      <formula>O74&lt;5</formula>
    </cfRule>
    <cfRule type="expression" dxfId="5243" priority="397">
      <formula>O74&gt;8</formula>
    </cfRule>
  </conditionalFormatting>
  <conditionalFormatting sqref="O75">
    <cfRule type="expression" dxfId="5242" priority="392">
      <formula>O75&lt;2</formula>
    </cfRule>
    <cfRule type="expression" dxfId="5241" priority="393">
      <formula>O75&gt;2.4</formula>
    </cfRule>
  </conditionalFormatting>
  <conditionalFormatting sqref="O76:O77">
    <cfRule type="expression" dxfId="5240" priority="390">
      <formula>O76&lt;40%</formula>
    </cfRule>
    <cfRule type="expression" dxfId="5239" priority="391">
      <formula>O76&gt;50%</formula>
    </cfRule>
  </conditionalFormatting>
  <conditionalFormatting sqref="O79">
    <cfRule type="cellIs" dxfId="5238" priority="386" operator="between">
      <formula>0.5%</formula>
      <formula>0.599%</formula>
    </cfRule>
    <cfRule type="cellIs" dxfId="5237" priority="387" operator="between">
      <formula>1.41%</formula>
      <formula>1.5%</formula>
    </cfRule>
    <cfRule type="expression" dxfId="5236" priority="388">
      <formula>O79&lt;0.5%</formula>
    </cfRule>
    <cfRule type="expression" dxfId="5235" priority="389">
      <formula>O79&gt;1.5%</formula>
    </cfRule>
  </conditionalFormatting>
  <conditionalFormatting sqref="O78">
    <cfRule type="cellIs" dxfId="5234" priority="382" operator="between">
      <formula>20%</formula>
      <formula>24.99%</formula>
    </cfRule>
    <cfRule type="cellIs" dxfId="5233" priority="383" operator="between">
      <formula>35.01%</formula>
      <formula>40%</formula>
    </cfRule>
    <cfRule type="expression" dxfId="5232" priority="384">
      <formula>O78&lt;20%</formula>
    </cfRule>
    <cfRule type="expression" dxfId="5231" priority="385">
      <formula>O78&gt;40%</formula>
    </cfRule>
  </conditionalFormatting>
  <conditionalFormatting sqref="O69">
    <cfRule type="cellIs" dxfId="5230" priority="378" operator="between">
      <formula>40</formula>
      <formula>44.99</formula>
    </cfRule>
    <cfRule type="cellIs" dxfId="5229" priority="379" operator="between">
      <formula>55.1</formula>
      <formula>60</formula>
    </cfRule>
    <cfRule type="expression" dxfId="5228" priority="380">
      <formula>O69&lt;40</formula>
    </cfRule>
    <cfRule type="expression" dxfId="5227" priority="381">
      <formula>O69&gt;60</formula>
    </cfRule>
  </conditionalFormatting>
  <conditionalFormatting sqref="O71">
    <cfRule type="cellIs" dxfId="5226" priority="374" operator="between">
      <formula>50</formula>
      <formula>54.99</formula>
    </cfRule>
    <cfRule type="cellIs" dxfId="5225" priority="375" operator="between">
      <formula>65.01</formula>
      <formula>70</formula>
    </cfRule>
    <cfRule type="expression" dxfId="5224" priority="376">
      <formula>O71&lt;50</formula>
    </cfRule>
    <cfRule type="expression" dxfId="5223" priority="377">
      <formula>O71&gt;70</formula>
    </cfRule>
  </conditionalFormatting>
  <conditionalFormatting sqref="U68">
    <cfRule type="cellIs" dxfId="5222" priority="370" operator="between">
      <formula>40</formula>
      <formula>44.99</formula>
    </cfRule>
    <cfRule type="cellIs" dxfId="5221" priority="371" operator="between">
      <formula>55.1</formula>
      <formula>60</formula>
    </cfRule>
    <cfRule type="expression" dxfId="5220" priority="372">
      <formula>U68&lt;40</formula>
    </cfRule>
    <cfRule type="expression" dxfId="5219" priority="373">
      <formula>U68&gt;60</formula>
    </cfRule>
  </conditionalFormatting>
  <conditionalFormatting sqref="U70">
    <cfRule type="cellIs" dxfId="5218" priority="366" operator="between">
      <formula>50</formula>
      <formula>54.99</formula>
    </cfRule>
    <cfRule type="cellIs" dxfId="5217" priority="367" operator="between">
      <formula>65.01</formula>
      <formula>70</formula>
    </cfRule>
    <cfRule type="expression" dxfId="5216" priority="368">
      <formula>U70&lt;50</formula>
    </cfRule>
    <cfRule type="expression" dxfId="5215" priority="369">
      <formula>U70&gt;70</formula>
    </cfRule>
  </conditionalFormatting>
  <conditionalFormatting sqref="U72">
    <cfRule type="expression" dxfId="5214" priority="365" stopIfTrue="1">
      <formula>U72&lt;135</formula>
    </cfRule>
  </conditionalFormatting>
  <conditionalFormatting sqref="U72">
    <cfRule type="expression" dxfId="5213" priority="364" stopIfTrue="1">
      <formula>U72&gt;145</formula>
    </cfRule>
  </conditionalFormatting>
  <conditionalFormatting sqref="U73">
    <cfRule type="cellIs" dxfId="5212" priority="360" operator="between">
      <formula>6</formula>
      <formula>6.499</formula>
    </cfRule>
    <cfRule type="cellIs" dxfId="5211" priority="361" operator="between">
      <formula>7.51</formula>
      <formula>8</formula>
    </cfRule>
    <cfRule type="expression" dxfId="5210" priority="362">
      <formula>U73&lt;6</formula>
    </cfRule>
    <cfRule type="expression" dxfId="5209" priority="363">
      <formula>U73&gt;8</formula>
    </cfRule>
  </conditionalFormatting>
  <conditionalFormatting sqref="U74">
    <cfRule type="cellIs" dxfId="5208" priority="356" operator="between">
      <formula>5</formula>
      <formula>5.499</formula>
    </cfRule>
    <cfRule type="cellIs" dxfId="5207" priority="357" operator="between">
      <formula>6.51</formula>
      <formula>8</formula>
    </cfRule>
    <cfRule type="expression" dxfId="5206" priority="358">
      <formula>U74&lt;5</formula>
    </cfRule>
    <cfRule type="expression" dxfId="5205" priority="359">
      <formula>U74&gt;8</formula>
    </cfRule>
  </conditionalFormatting>
  <conditionalFormatting sqref="U75">
    <cfRule type="expression" dxfId="5204" priority="354">
      <formula>U75&lt;2</formula>
    </cfRule>
    <cfRule type="expression" dxfId="5203" priority="355">
      <formula>U75&gt;2.4</formula>
    </cfRule>
  </conditionalFormatting>
  <conditionalFormatting sqref="U76:U77">
    <cfRule type="expression" dxfId="5202" priority="352">
      <formula>U76&lt;40%</formula>
    </cfRule>
    <cfRule type="expression" dxfId="5201" priority="353">
      <formula>U76&gt;50%</formula>
    </cfRule>
  </conditionalFormatting>
  <conditionalFormatting sqref="U79">
    <cfRule type="cellIs" dxfId="5200" priority="348" operator="between">
      <formula>0.5%</formula>
      <formula>0.599%</formula>
    </cfRule>
    <cfRule type="cellIs" dxfId="5199" priority="349" operator="between">
      <formula>1.41%</formula>
      <formula>1.5%</formula>
    </cfRule>
    <cfRule type="expression" dxfId="5198" priority="350">
      <formula>U79&lt;0.5%</formula>
    </cfRule>
    <cfRule type="expression" dxfId="5197" priority="351">
      <formula>U79&gt;1.5%</formula>
    </cfRule>
  </conditionalFormatting>
  <conditionalFormatting sqref="U78">
    <cfRule type="cellIs" dxfId="5196" priority="344" operator="between">
      <formula>20%</formula>
      <formula>24.99%</formula>
    </cfRule>
    <cfRule type="cellIs" dxfId="5195" priority="345" operator="between">
      <formula>35.01%</formula>
      <formula>40%</formula>
    </cfRule>
    <cfRule type="expression" dxfId="5194" priority="346">
      <formula>U78&lt;20%</formula>
    </cfRule>
    <cfRule type="expression" dxfId="5193" priority="347">
      <formula>U78&gt;40%</formula>
    </cfRule>
  </conditionalFormatting>
  <conditionalFormatting sqref="U69">
    <cfRule type="cellIs" dxfId="5192" priority="340" operator="between">
      <formula>40</formula>
      <formula>44.99</formula>
    </cfRule>
    <cfRule type="cellIs" dxfId="5191" priority="341" operator="between">
      <formula>55.1</formula>
      <formula>60</formula>
    </cfRule>
    <cfRule type="expression" dxfId="5190" priority="342">
      <formula>U69&lt;40</formula>
    </cfRule>
    <cfRule type="expression" dxfId="5189" priority="343">
      <formula>U69&gt;60</formula>
    </cfRule>
  </conditionalFormatting>
  <conditionalFormatting sqref="U71">
    <cfRule type="cellIs" dxfId="5188" priority="336" operator="between">
      <formula>50</formula>
      <formula>54.99</formula>
    </cfRule>
    <cfRule type="cellIs" dxfId="5187" priority="337" operator="between">
      <formula>65.01</formula>
      <formula>70</formula>
    </cfRule>
    <cfRule type="expression" dxfId="5186" priority="338">
      <formula>U71&lt;50</formula>
    </cfRule>
    <cfRule type="expression" dxfId="5185" priority="339">
      <formula>U71&gt;70</formula>
    </cfRule>
  </conditionalFormatting>
  <conditionalFormatting sqref="AA68">
    <cfRule type="cellIs" dxfId="5184" priority="332" operator="between">
      <formula>40</formula>
      <formula>44.99</formula>
    </cfRule>
    <cfRule type="cellIs" dxfId="5183" priority="333" operator="between">
      <formula>55.1</formula>
      <formula>60</formula>
    </cfRule>
    <cfRule type="expression" dxfId="5182" priority="334">
      <formula>AA68&lt;40</formula>
    </cfRule>
    <cfRule type="expression" dxfId="5181" priority="335">
      <formula>AA68&gt;60</formula>
    </cfRule>
  </conditionalFormatting>
  <conditionalFormatting sqref="AA70">
    <cfRule type="cellIs" dxfId="5180" priority="328" operator="between">
      <formula>50</formula>
      <formula>54.99</formula>
    </cfRule>
    <cfRule type="cellIs" dxfId="5179" priority="329" operator="between">
      <formula>65.01</formula>
      <formula>70</formula>
    </cfRule>
    <cfRule type="expression" dxfId="5178" priority="330">
      <formula>AA70&lt;50</formula>
    </cfRule>
    <cfRule type="expression" dxfId="5177" priority="331">
      <formula>AA70&gt;70</formula>
    </cfRule>
  </conditionalFormatting>
  <conditionalFormatting sqref="AA72">
    <cfRule type="expression" dxfId="5176" priority="327" stopIfTrue="1">
      <formula>AA72&lt;135</formula>
    </cfRule>
  </conditionalFormatting>
  <conditionalFormatting sqref="AA72">
    <cfRule type="expression" dxfId="5175" priority="326" stopIfTrue="1">
      <formula>AA72&gt;145</formula>
    </cfRule>
  </conditionalFormatting>
  <conditionalFormatting sqref="AA73">
    <cfRule type="cellIs" dxfId="5174" priority="322" operator="between">
      <formula>6</formula>
      <formula>6.499</formula>
    </cfRule>
    <cfRule type="cellIs" dxfId="5173" priority="323" operator="between">
      <formula>7.51</formula>
      <formula>8</formula>
    </cfRule>
    <cfRule type="expression" dxfId="5172" priority="324">
      <formula>AA73&lt;6</formula>
    </cfRule>
    <cfRule type="expression" dxfId="5171" priority="325">
      <formula>AA73&gt;8</formula>
    </cfRule>
  </conditionalFormatting>
  <conditionalFormatting sqref="AA74">
    <cfRule type="cellIs" dxfId="5170" priority="318" operator="between">
      <formula>5</formula>
      <formula>5.499</formula>
    </cfRule>
    <cfRule type="cellIs" dxfId="5169" priority="319" operator="between">
      <formula>6.51</formula>
      <formula>8</formula>
    </cfRule>
    <cfRule type="expression" dxfId="5168" priority="320">
      <formula>AA74&lt;5</formula>
    </cfRule>
    <cfRule type="expression" dxfId="5167" priority="321">
      <formula>AA74&gt;8</formula>
    </cfRule>
  </conditionalFormatting>
  <conditionalFormatting sqref="AA75">
    <cfRule type="expression" dxfId="5166" priority="316">
      <formula>AA75&lt;2</formula>
    </cfRule>
    <cfRule type="expression" dxfId="5165" priority="317">
      <formula>AA75&gt;2.4</formula>
    </cfRule>
  </conditionalFormatting>
  <conditionalFormatting sqref="AA76:AA77">
    <cfRule type="expression" dxfId="5164" priority="314">
      <formula>AA76&lt;40%</formula>
    </cfRule>
    <cfRule type="expression" dxfId="5163" priority="315">
      <formula>AA76&gt;50%</formula>
    </cfRule>
  </conditionalFormatting>
  <conditionalFormatting sqref="AA79">
    <cfRule type="cellIs" dxfId="5162" priority="310" operator="between">
      <formula>0.5%</formula>
      <formula>0.599%</formula>
    </cfRule>
    <cfRule type="cellIs" dxfId="5161" priority="311" operator="between">
      <formula>1.41%</formula>
      <formula>1.5%</formula>
    </cfRule>
    <cfRule type="expression" dxfId="5160" priority="312">
      <formula>AA79&lt;0.5%</formula>
    </cfRule>
    <cfRule type="expression" dxfId="5159" priority="313">
      <formula>AA79&gt;1.5%</formula>
    </cfRule>
  </conditionalFormatting>
  <conditionalFormatting sqref="AA78">
    <cfRule type="cellIs" dxfId="5158" priority="306" operator="between">
      <formula>20%</formula>
      <formula>24.99%</formula>
    </cfRule>
    <cfRule type="cellIs" dxfId="5157" priority="307" operator="between">
      <formula>35.01%</formula>
      <formula>40%</formula>
    </cfRule>
    <cfRule type="expression" dxfId="5156" priority="308">
      <formula>AA78&lt;20%</formula>
    </cfRule>
    <cfRule type="expression" dxfId="5155" priority="309">
      <formula>AA78&gt;40%</formula>
    </cfRule>
  </conditionalFormatting>
  <conditionalFormatting sqref="AA69">
    <cfRule type="cellIs" dxfId="5154" priority="302" operator="between">
      <formula>40</formula>
      <formula>44.99</formula>
    </cfRule>
    <cfRule type="cellIs" dxfId="5153" priority="303" operator="between">
      <formula>55.1</formula>
      <formula>60</formula>
    </cfRule>
    <cfRule type="expression" dxfId="5152" priority="304">
      <formula>AA69&lt;40</formula>
    </cfRule>
    <cfRule type="expression" dxfId="5151" priority="305">
      <formula>AA69&gt;60</formula>
    </cfRule>
  </conditionalFormatting>
  <conditionalFormatting sqref="AA71">
    <cfRule type="cellIs" dxfId="5150" priority="298" operator="between">
      <formula>50</formula>
      <formula>54.99</formula>
    </cfRule>
    <cfRule type="cellIs" dxfId="5149" priority="299" operator="between">
      <formula>65.01</formula>
      <formula>70</formula>
    </cfRule>
    <cfRule type="expression" dxfId="5148" priority="300">
      <formula>AA71&lt;50</formula>
    </cfRule>
    <cfRule type="expression" dxfId="5147" priority="301">
      <formula>AA71&gt;70</formula>
    </cfRule>
  </conditionalFormatting>
  <conditionalFormatting sqref="AG68">
    <cfRule type="cellIs" dxfId="5146" priority="294" operator="between">
      <formula>40</formula>
      <formula>44.99</formula>
    </cfRule>
    <cfRule type="cellIs" dxfId="5145" priority="295" operator="between">
      <formula>55.1</formula>
      <formula>60</formula>
    </cfRule>
    <cfRule type="expression" dxfId="5144" priority="296">
      <formula>AG68&lt;40</formula>
    </cfRule>
    <cfRule type="expression" dxfId="5143" priority="297">
      <formula>AG68&gt;60</formula>
    </cfRule>
  </conditionalFormatting>
  <conditionalFormatting sqref="AG70">
    <cfRule type="cellIs" dxfId="5142" priority="290" operator="between">
      <formula>50</formula>
      <formula>54.99</formula>
    </cfRule>
    <cfRule type="cellIs" dxfId="5141" priority="291" operator="between">
      <formula>65.01</formula>
      <formula>70</formula>
    </cfRule>
    <cfRule type="expression" dxfId="5140" priority="292">
      <formula>AG70&lt;50</formula>
    </cfRule>
    <cfRule type="expression" dxfId="5139" priority="293">
      <formula>AG70&gt;70</formula>
    </cfRule>
  </conditionalFormatting>
  <conditionalFormatting sqref="AG72">
    <cfRule type="expression" dxfId="5138" priority="289" stopIfTrue="1">
      <formula>AG72&lt;135</formula>
    </cfRule>
  </conditionalFormatting>
  <conditionalFormatting sqref="AG72">
    <cfRule type="expression" dxfId="5137" priority="288" stopIfTrue="1">
      <formula>AG72&gt;145</formula>
    </cfRule>
  </conditionalFormatting>
  <conditionalFormatting sqref="AG73">
    <cfRule type="cellIs" dxfId="5136" priority="284" operator="between">
      <formula>6</formula>
      <formula>6.499</formula>
    </cfRule>
    <cfRule type="cellIs" dxfId="5135" priority="285" operator="between">
      <formula>7.51</formula>
      <formula>8</formula>
    </cfRule>
    <cfRule type="expression" dxfId="5134" priority="286">
      <formula>AG73&lt;6</formula>
    </cfRule>
    <cfRule type="expression" dxfId="5133" priority="287">
      <formula>AG73&gt;8</formula>
    </cfRule>
  </conditionalFormatting>
  <conditionalFormatting sqref="AG74">
    <cfRule type="cellIs" dxfId="5132" priority="280" operator="between">
      <formula>5</formula>
      <formula>5.499</formula>
    </cfRule>
    <cfRule type="cellIs" dxfId="5131" priority="281" operator="between">
      <formula>6.51</formula>
      <formula>8</formula>
    </cfRule>
    <cfRule type="expression" dxfId="5130" priority="282">
      <formula>AG74&lt;5</formula>
    </cfRule>
    <cfRule type="expression" dxfId="5129" priority="283">
      <formula>AG74&gt;8</formula>
    </cfRule>
  </conditionalFormatting>
  <conditionalFormatting sqref="AG75">
    <cfRule type="expression" dxfId="5128" priority="278">
      <formula>AG75&lt;2</formula>
    </cfRule>
    <cfRule type="expression" dxfId="5127" priority="279">
      <formula>AG75&gt;2.4</formula>
    </cfRule>
  </conditionalFormatting>
  <conditionalFormatting sqref="AG76:AG77">
    <cfRule type="expression" dxfId="5126" priority="276">
      <formula>AG76&lt;40%</formula>
    </cfRule>
    <cfRule type="expression" dxfId="5125" priority="277">
      <formula>AG76&gt;50%</formula>
    </cfRule>
  </conditionalFormatting>
  <conditionalFormatting sqref="AG79">
    <cfRule type="cellIs" dxfId="5124" priority="272" operator="between">
      <formula>0.5%</formula>
      <formula>0.599%</formula>
    </cfRule>
    <cfRule type="cellIs" dxfId="5123" priority="273" operator="between">
      <formula>1.41%</formula>
      <formula>1.5%</formula>
    </cfRule>
    <cfRule type="expression" dxfId="5122" priority="274">
      <formula>AG79&lt;0.5%</formula>
    </cfRule>
    <cfRule type="expression" dxfId="5121" priority="275">
      <formula>AG79&gt;1.5%</formula>
    </cfRule>
  </conditionalFormatting>
  <conditionalFormatting sqref="AG78">
    <cfRule type="cellIs" dxfId="5120" priority="268" operator="between">
      <formula>20%</formula>
      <formula>24.99%</formula>
    </cfRule>
    <cfRule type="cellIs" dxfId="5119" priority="269" operator="between">
      <formula>35.01%</formula>
      <formula>40%</formula>
    </cfRule>
    <cfRule type="expression" dxfId="5118" priority="270">
      <formula>AG78&lt;20%</formula>
    </cfRule>
    <cfRule type="expression" dxfId="5117" priority="271">
      <formula>AG78&gt;40%</formula>
    </cfRule>
  </conditionalFormatting>
  <conditionalFormatting sqref="AG69">
    <cfRule type="cellIs" dxfId="5116" priority="264" operator="between">
      <formula>40</formula>
      <formula>44.99</formula>
    </cfRule>
    <cfRule type="cellIs" dxfId="5115" priority="265" operator="between">
      <formula>55.1</formula>
      <formula>60</formula>
    </cfRule>
    <cfRule type="expression" dxfId="5114" priority="266">
      <formula>AG69&lt;40</formula>
    </cfRule>
    <cfRule type="expression" dxfId="5113" priority="267">
      <formula>AG69&gt;60</formula>
    </cfRule>
  </conditionalFormatting>
  <conditionalFormatting sqref="AG71">
    <cfRule type="cellIs" dxfId="5112" priority="260" operator="between">
      <formula>50</formula>
      <formula>54.99</formula>
    </cfRule>
    <cfRule type="cellIs" dxfId="5111" priority="261" operator="between">
      <formula>65.01</formula>
      <formula>70</formula>
    </cfRule>
    <cfRule type="expression" dxfId="5110" priority="262">
      <formula>AG71&lt;50</formula>
    </cfRule>
    <cfRule type="expression" dxfId="5109" priority="263">
      <formula>AG71&gt;70</formula>
    </cfRule>
  </conditionalFormatting>
  <conditionalFormatting sqref="AM68">
    <cfRule type="cellIs" dxfId="5108" priority="256" operator="between">
      <formula>40</formula>
      <formula>44.99</formula>
    </cfRule>
    <cfRule type="cellIs" dxfId="5107" priority="257" operator="between">
      <formula>55.1</formula>
      <formula>60</formula>
    </cfRule>
    <cfRule type="expression" dxfId="5106" priority="258">
      <formula>AM68&lt;40</formula>
    </cfRule>
    <cfRule type="expression" dxfId="5105" priority="259">
      <formula>AM68&gt;60</formula>
    </cfRule>
  </conditionalFormatting>
  <conditionalFormatting sqref="AM70">
    <cfRule type="cellIs" dxfId="5104" priority="252" operator="between">
      <formula>50</formula>
      <formula>54.99</formula>
    </cfRule>
    <cfRule type="cellIs" dxfId="5103" priority="253" operator="between">
      <formula>65.01</formula>
      <formula>70</formula>
    </cfRule>
    <cfRule type="expression" dxfId="5102" priority="254">
      <formula>AM70&lt;50</formula>
    </cfRule>
    <cfRule type="expression" dxfId="5101" priority="255">
      <formula>AM70&gt;70</formula>
    </cfRule>
  </conditionalFormatting>
  <conditionalFormatting sqref="AM72">
    <cfRule type="expression" dxfId="5100" priority="251" stopIfTrue="1">
      <formula>AM72&lt;135</formula>
    </cfRule>
  </conditionalFormatting>
  <conditionalFormatting sqref="AM72">
    <cfRule type="expression" dxfId="5099" priority="250" stopIfTrue="1">
      <formula>AM72&gt;145</formula>
    </cfRule>
  </conditionalFormatting>
  <conditionalFormatting sqref="AM73">
    <cfRule type="cellIs" dxfId="5098" priority="246" operator="between">
      <formula>6</formula>
      <formula>6.499</formula>
    </cfRule>
    <cfRule type="cellIs" dxfId="5097" priority="247" operator="between">
      <formula>7.51</formula>
      <formula>8</formula>
    </cfRule>
    <cfRule type="expression" dxfId="5096" priority="248">
      <formula>AM73&lt;6</formula>
    </cfRule>
    <cfRule type="expression" dxfId="5095" priority="249">
      <formula>AM73&gt;8</formula>
    </cfRule>
  </conditionalFormatting>
  <conditionalFormatting sqref="AM74">
    <cfRule type="cellIs" dxfId="5094" priority="242" operator="between">
      <formula>5</formula>
      <formula>5.499</formula>
    </cfRule>
    <cfRule type="cellIs" dxfId="5093" priority="243" operator="between">
      <formula>6.51</formula>
      <formula>8</formula>
    </cfRule>
    <cfRule type="expression" dxfId="5092" priority="244">
      <formula>AM74&lt;5</formula>
    </cfRule>
    <cfRule type="expression" dxfId="5091" priority="245">
      <formula>AM74&gt;8</formula>
    </cfRule>
  </conditionalFormatting>
  <conditionalFormatting sqref="AM75">
    <cfRule type="expression" dxfId="5090" priority="240">
      <formula>AM75&lt;2</formula>
    </cfRule>
    <cfRule type="expression" dxfId="5089" priority="241">
      <formula>AM75&gt;2.4</formula>
    </cfRule>
  </conditionalFormatting>
  <conditionalFormatting sqref="AM76:AM77">
    <cfRule type="expression" dxfId="5088" priority="238">
      <formula>AM76&lt;40%</formula>
    </cfRule>
    <cfRule type="expression" dxfId="5087" priority="239">
      <formula>AM76&gt;50%</formula>
    </cfRule>
  </conditionalFormatting>
  <conditionalFormatting sqref="AM79">
    <cfRule type="cellIs" dxfId="5086" priority="234" operator="between">
      <formula>0.5%</formula>
      <formula>0.599%</formula>
    </cfRule>
    <cfRule type="cellIs" dxfId="5085" priority="235" operator="between">
      <formula>1.41%</formula>
      <formula>1.5%</formula>
    </cfRule>
    <cfRule type="expression" dxfId="5084" priority="236">
      <formula>AM79&lt;0.5%</formula>
    </cfRule>
    <cfRule type="expression" dxfId="5083" priority="237">
      <formula>AM79&gt;1.5%</formula>
    </cfRule>
  </conditionalFormatting>
  <conditionalFormatting sqref="AM78">
    <cfRule type="cellIs" dxfId="5082" priority="230" operator="between">
      <formula>20%</formula>
      <formula>24.99%</formula>
    </cfRule>
    <cfRule type="cellIs" dxfId="5081" priority="231" operator="between">
      <formula>35.01%</formula>
      <formula>40%</formula>
    </cfRule>
    <cfRule type="expression" dxfId="5080" priority="232">
      <formula>AM78&lt;20%</formula>
    </cfRule>
    <cfRule type="expression" dxfId="5079" priority="233">
      <formula>AM78&gt;40%</formula>
    </cfRule>
  </conditionalFormatting>
  <conditionalFormatting sqref="AM69">
    <cfRule type="cellIs" dxfId="5078" priority="226" operator="between">
      <formula>40</formula>
      <formula>44.99</formula>
    </cfRule>
    <cfRule type="cellIs" dxfId="5077" priority="227" operator="between">
      <formula>55.1</formula>
      <formula>60</formula>
    </cfRule>
    <cfRule type="expression" dxfId="5076" priority="228">
      <formula>AM69&lt;40</formula>
    </cfRule>
    <cfRule type="expression" dxfId="5075" priority="229">
      <formula>AM69&gt;60</formula>
    </cfRule>
  </conditionalFormatting>
  <conditionalFormatting sqref="AM71">
    <cfRule type="cellIs" dxfId="5074" priority="222" operator="between">
      <formula>50</formula>
      <formula>54.99</formula>
    </cfRule>
    <cfRule type="cellIs" dxfId="5073" priority="223" operator="between">
      <formula>65.01</formula>
      <formula>70</formula>
    </cfRule>
    <cfRule type="expression" dxfId="5072" priority="224">
      <formula>AM71&lt;50</formula>
    </cfRule>
    <cfRule type="expression" dxfId="5071" priority="225">
      <formula>AM71&gt;70</formula>
    </cfRule>
  </conditionalFormatting>
  <conditionalFormatting sqref="I93">
    <cfRule type="cellIs" dxfId="5070" priority="218" operator="between">
      <formula>60</formula>
      <formula>61.9</formula>
    </cfRule>
    <cfRule type="cellIs" dxfId="5069" priority="219" operator="between">
      <formula>68.1</formula>
      <formula>70</formula>
    </cfRule>
    <cfRule type="expression" dxfId="5068" priority="220">
      <formula>I93&lt;60</formula>
    </cfRule>
    <cfRule type="expression" dxfId="5067" priority="221">
      <formula>I93&gt;70</formula>
    </cfRule>
  </conditionalFormatting>
  <conditionalFormatting sqref="I94">
    <cfRule type="cellIs" dxfId="5066" priority="214" operator="between">
      <formula>60</formula>
      <formula>61.9</formula>
    </cfRule>
    <cfRule type="cellIs" dxfId="5065" priority="215" operator="between">
      <formula>68.1</formula>
      <formula>70</formula>
    </cfRule>
    <cfRule type="expression" dxfId="5064" priority="216">
      <formula>I94&lt;60</formula>
    </cfRule>
    <cfRule type="expression" dxfId="5063" priority="217">
      <formula>I94&gt;70</formula>
    </cfRule>
  </conditionalFormatting>
  <conditionalFormatting sqref="L93 O93 R93 U93 X93 AA93 AD93 AG93 AJ93 AM93 AP93">
    <cfRule type="cellIs" dxfId="5062" priority="210" operator="between">
      <formula>60</formula>
      <formula>61.9</formula>
    </cfRule>
    <cfRule type="cellIs" dxfId="5061" priority="211" operator="between">
      <formula>68.1</formula>
      <formula>70</formula>
    </cfRule>
    <cfRule type="expression" dxfId="5060" priority="212">
      <formula>L93&lt;60</formula>
    </cfRule>
    <cfRule type="expression" dxfId="5059" priority="213">
      <formula>L93&gt;70</formula>
    </cfRule>
  </conditionalFormatting>
  <conditionalFormatting sqref="L94 O94 R94 U94 X94 AA94 AD94 AG94 AJ94 AM94 AP94">
    <cfRule type="cellIs" dxfId="5058" priority="206" operator="between">
      <formula>60</formula>
      <formula>61.9</formula>
    </cfRule>
    <cfRule type="cellIs" dxfId="5057" priority="207" operator="between">
      <formula>68.1</formula>
      <formula>70</formula>
    </cfRule>
    <cfRule type="expression" dxfId="5056" priority="208">
      <formula>L94&lt;60</formula>
    </cfRule>
    <cfRule type="expression" dxfId="5055" priority="209">
      <formula>L94&gt;70</formula>
    </cfRule>
  </conditionalFormatting>
  <conditionalFormatting sqref="I47">
    <cfRule type="expression" dxfId="5054" priority="204">
      <formula>I47&lt;5%</formula>
    </cfRule>
    <cfRule type="expression" dxfId="5053" priority="205">
      <formula>I47&gt;15%</formula>
    </cfRule>
  </conditionalFormatting>
  <conditionalFormatting sqref="I47">
    <cfRule type="cellIs" dxfId="5052" priority="202" operator="between">
      <formula>5%</formula>
      <formula>6.99%</formula>
    </cfRule>
    <cfRule type="cellIs" dxfId="5051" priority="203" operator="between">
      <formula>13.1%</formula>
      <formula>15%</formula>
    </cfRule>
  </conditionalFormatting>
  <conditionalFormatting sqref="O47">
    <cfRule type="expression" dxfId="5050" priority="200">
      <formula>O47&lt;5%</formula>
    </cfRule>
    <cfRule type="expression" dxfId="5049" priority="201">
      <formula>O47&gt;15%</formula>
    </cfRule>
  </conditionalFormatting>
  <conditionalFormatting sqref="O47">
    <cfRule type="cellIs" dxfId="5048" priority="198" operator="between">
      <formula>5%</formula>
      <formula>6.99%</formula>
    </cfRule>
    <cfRule type="cellIs" dxfId="5047" priority="199" operator="between">
      <formula>13.1%</formula>
      <formula>15%</formula>
    </cfRule>
  </conditionalFormatting>
  <conditionalFormatting sqref="U47">
    <cfRule type="expression" dxfId="5046" priority="196">
      <formula>U47&lt;5%</formula>
    </cfRule>
    <cfRule type="expression" dxfId="5045" priority="197">
      <formula>U47&gt;15%</formula>
    </cfRule>
  </conditionalFormatting>
  <conditionalFormatting sqref="U47">
    <cfRule type="cellIs" dxfId="5044" priority="194" operator="between">
      <formula>5%</formula>
      <formula>6.99%</formula>
    </cfRule>
    <cfRule type="cellIs" dxfId="5043" priority="195" operator="between">
      <formula>13.1%</formula>
      <formula>15%</formula>
    </cfRule>
  </conditionalFormatting>
  <conditionalFormatting sqref="AA47">
    <cfRule type="expression" dxfId="5042" priority="192">
      <formula>AA47&lt;5%</formula>
    </cfRule>
    <cfRule type="expression" dxfId="5041" priority="193">
      <formula>AA47&gt;15%</formula>
    </cfRule>
  </conditionalFormatting>
  <conditionalFormatting sqref="AA47">
    <cfRule type="cellIs" dxfId="5040" priority="190" operator="between">
      <formula>5%</formula>
      <formula>6.99%</formula>
    </cfRule>
    <cfRule type="cellIs" dxfId="5039" priority="191" operator="between">
      <formula>13.1%</formula>
      <formula>15%</formula>
    </cfRule>
  </conditionalFormatting>
  <conditionalFormatting sqref="AG47">
    <cfRule type="expression" dxfId="5038" priority="188">
      <formula>AG47&lt;5%</formula>
    </cfRule>
    <cfRule type="expression" dxfId="5037" priority="189">
      <formula>AG47&gt;15%</formula>
    </cfRule>
  </conditionalFormatting>
  <conditionalFormatting sqref="AG47">
    <cfRule type="cellIs" dxfId="5036" priority="186" operator="between">
      <formula>5%</formula>
      <formula>6.99%</formula>
    </cfRule>
    <cfRule type="cellIs" dxfId="5035" priority="187" operator="between">
      <formula>13.1%</formula>
      <formula>15%</formula>
    </cfRule>
  </conditionalFormatting>
  <conditionalFormatting sqref="AM47">
    <cfRule type="expression" dxfId="5034" priority="184">
      <formula>AM47&lt;5%</formula>
    </cfRule>
    <cfRule type="expression" dxfId="5033" priority="185">
      <formula>AM47&gt;15%</formula>
    </cfRule>
  </conditionalFormatting>
  <conditionalFormatting sqref="AM47">
    <cfRule type="cellIs" dxfId="5032" priority="182" operator="between">
      <formula>5%</formula>
      <formula>6.99%</formula>
    </cfRule>
    <cfRule type="cellIs" dxfId="5031" priority="183" operator="between">
      <formula>13.1%</formula>
      <formula>15%</formula>
    </cfRule>
  </conditionalFormatting>
  <conditionalFormatting sqref="AS6">
    <cfRule type="cellIs" dxfId="5030" priority="178" operator="between">
      <formula>25</formula>
      <formula>27.99</formula>
    </cfRule>
    <cfRule type="cellIs" dxfId="5029" priority="179" operator="between">
      <formula>32.1</formula>
      <formula>35</formula>
    </cfRule>
    <cfRule type="expression" dxfId="5028" priority="180">
      <formula>AS6&lt;25</formula>
    </cfRule>
    <cfRule type="expression" dxfId="5027" priority="181">
      <formula>AS6&gt;35</formula>
    </cfRule>
  </conditionalFormatting>
  <conditionalFormatting sqref="AS8:AS9">
    <cfRule type="expression" dxfId="5026" priority="176" stopIfTrue="1">
      <formula>AS8&gt;80</formula>
    </cfRule>
    <cfRule type="expression" dxfId="5025" priority="177" stopIfTrue="1">
      <formula>AS8&lt;60</formula>
    </cfRule>
  </conditionalFormatting>
  <conditionalFormatting sqref="AS10">
    <cfRule type="cellIs" dxfId="5024" priority="172" operator="between">
      <formula>130</formula>
      <formula>134.99</formula>
    </cfRule>
    <cfRule type="cellIs" dxfId="5023" priority="173" operator="between">
      <formula>145.1</formula>
      <formula>150</formula>
    </cfRule>
    <cfRule type="expression" dxfId="5022" priority="174">
      <formula>AS10&lt;130</formula>
    </cfRule>
    <cfRule type="expression" dxfId="5021" priority="175">
      <formula>AS10&gt;150</formula>
    </cfRule>
  </conditionalFormatting>
  <conditionalFormatting sqref="AS11">
    <cfRule type="cellIs" dxfId="5020" priority="168" operator="between">
      <formula>7</formula>
      <formula>7.99</formula>
    </cfRule>
    <cfRule type="cellIs" dxfId="5019" priority="169" operator="between">
      <formula>10.1</formula>
      <formula>12</formula>
    </cfRule>
    <cfRule type="expression" dxfId="5018" priority="170">
      <formula>AS11&lt;7</formula>
    </cfRule>
    <cfRule type="expression" dxfId="5017" priority="171">
      <formula>AS11&gt;12</formula>
    </cfRule>
  </conditionalFormatting>
  <conditionalFormatting sqref="AS12">
    <cfRule type="cellIs" dxfId="5016" priority="165" operator="between">
      <formula>16.1</formula>
      <formula>18</formula>
    </cfRule>
    <cfRule type="expression" dxfId="5015" priority="166">
      <formula>AS12&lt;12</formula>
    </cfRule>
    <cfRule type="expression" dxfId="5014" priority="167">
      <formula>AS12&gt;18</formula>
    </cfRule>
  </conditionalFormatting>
  <conditionalFormatting sqref="AS13">
    <cfRule type="cellIs" dxfId="5013" priority="161" operator="between">
      <formula>1.6</formula>
      <formula>1.699</formula>
    </cfRule>
    <cfRule type="cellIs" dxfId="5012" priority="162" operator="between">
      <formula>1.91</formula>
      <formula>2.2</formula>
    </cfRule>
    <cfRule type="expression" dxfId="5011" priority="163">
      <formula>AS13&lt;1.6</formula>
    </cfRule>
    <cfRule type="expression" dxfId="5010" priority="164">
      <formula>AS13&gt;2.2</formula>
    </cfRule>
  </conditionalFormatting>
  <conditionalFormatting sqref="AS14">
    <cfRule type="cellIs" dxfId="5009" priority="157" operator="between">
      <formula>30%</formula>
      <formula>39.99%</formula>
    </cfRule>
    <cfRule type="cellIs" dxfId="5008" priority="158" operator="between">
      <formula>50.01%</formula>
      <formula>60%</formula>
    </cfRule>
    <cfRule type="expression" dxfId="5007" priority="159">
      <formula>AS14&lt;30%</formula>
    </cfRule>
    <cfRule type="expression" dxfId="5006" priority="160">
      <formula>AS14&gt;60%</formula>
    </cfRule>
  </conditionalFormatting>
  <conditionalFormatting sqref="AS15">
    <cfRule type="cellIs" dxfId="5005" priority="153" operator="between">
      <formula>15%</formula>
      <formula>16.99%</formula>
    </cfRule>
    <cfRule type="cellIs" dxfId="5004" priority="154" operator="between">
      <formula>27.01%</formula>
      <formula>30%</formula>
    </cfRule>
    <cfRule type="expression" dxfId="5003" priority="155">
      <formula>AS15&lt;15%</formula>
    </cfRule>
    <cfRule type="expression" dxfId="5002" priority="156">
      <formula>AS15&gt;30%</formula>
    </cfRule>
  </conditionalFormatting>
  <conditionalFormatting sqref="AS16">
    <cfRule type="cellIs" dxfId="5001" priority="149" operator="between">
      <formula>5%</formula>
      <formula>6.99%</formula>
    </cfRule>
    <cfRule type="cellIs" dxfId="5000" priority="150" operator="between">
      <formula>12.99%</formula>
      <formula>15%</formula>
    </cfRule>
    <cfRule type="expression" dxfId="4999" priority="151">
      <formula>AS16&lt;5%</formula>
    </cfRule>
    <cfRule type="expression" dxfId="4998" priority="152">
      <formula>AS16&gt;15%</formula>
    </cfRule>
  </conditionalFormatting>
  <conditionalFormatting sqref="AS17">
    <cfRule type="cellIs" dxfId="4997" priority="145" operator="between">
      <formula>0.5%</formula>
      <formula>0.599%</formula>
    </cfRule>
    <cfRule type="cellIs" dxfId="4996" priority="146" operator="between">
      <formula>1.41%</formula>
      <formula>1.5%</formula>
    </cfRule>
    <cfRule type="expression" dxfId="4995" priority="147">
      <formula>AS17&lt;0.5%</formula>
    </cfRule>
    <cfRule type="expression" dxfId="4994" priority="148">
      <formula>AS17&gt;1.5%</formula>
    </cfRule>
  </conditionalFormatting>
  <conditionalFormatting sqref="AS7">
    <cfRule type="cellIs" dxfId="4993" priority="141" operator="between">
      <formula>25</formula>
      <formula>27.99</formula>
    </cfRule>
    <cfRule type="cellIs" dxfId="4992" priority="142" operator="between">
      <formula>32.1</formula>
      <formula>35</formula>
    </cfRule>
    <cfRule type="expression" dxfId="4991" priority="143">
      <formula>AS7&lt;25</formula>
    </cfRule>
    <cfRule type="expression" dxfId="4990" priority="144">
      <formula>AS7&gt;35</formula>
    </cfRule>
  </conditionalFormatting>
  <conditionalFormatting sqref="AS37">
    <cfRule type="cellIs" dxfId="4989" priority="137" operator="between">
      <formula>60</formula>
      <formula>64.99</formula>
    </cfRule>
    <cfRule type="cellIs" dxfId="4988" priority="138" operator="between">
      <formula>75.1</formula>
      <formula>80</formula>
    </cfRule>
    <cfRule type="expression" dxfId="4987" priority="139">
      <formula>AS37&lt;60</formula>
    </cfRule>
    <cfRule type="expression" dxfId="4986" priority="140">
      <formula>AS37&gt;80</formula>
    </cfRule>
  </conditionalFormatting>
  <conditionalFormatting sqref="AS38">
    <cfRule type="cellIs" dxfId="4985" priority="133" operator="between">
      <formula>60</formula>
      <formula>64.99</formula>
    </cfRule>
    <cfRule type="cellIs" dxfId="4984" priority="134" operator="between">
      <formula>75.1</formula>
      <formula>80</formula>
    </cfRule>
    <cfRule type="expression" dxfId="4983" priority="135">
      <formula>AS38&lt;60</formula>
    </cfRule>
    <cfRule type="expression" dxfId="4982" priority="136">
      <formula>AS38&gt;80</formula>
    </cfRule>
  </conditionalFormatting>
  <conditionalFormatting sqref="AS39">
    <cfRule type="cellIs" dxfId="4981" priority="129" operator="between">
      <formula>50</formula>
      <formula>54.99</formula>
    </cfRule>
    <cfRule type="cellIs" dxfId="4980" priority="130" operator="between">
      <formula>65.01</formula>
      <formula>70</formula>
    </cfRule>
    <cfRule type="expression" dxfId="4979" priority="131">
      <formula>AS39&lt;50</formula>
    </cfRule>
    <cfRule type="expression" dxfId="4978" priority="132">
      <formula>AS39&gt;70</formula>
    </cfRule>
  </conditionalFormatting>
  <conditionalFormatting sqref="AS40">
    <cfRule type="cellIs" dxfId="4977" priority="125" operator="between">
      <formula>50</formula>
      <formula>54.99</formula>
    </cfRule>
    <cfRule type="cellIs" dxfId="4976" priority="126" operator="between">
      <formula>65.01</formula>
      <formula>70</formula>
    </cfRule>
    <cfRule type="expression" dxfId="4975" priority="127">
      <formula>AS40&lt;50</formula>
    </cfRule>
    <cfRule type="expression" dxfId="4974" priority="128">
      <formula>AS40&gt;70</formula>
    </cfRule>
  </conditionalFormatting>
  <conditionalFormatting sqref="AS41">
    <cfRule type="expression" dxfId="4973" priority="124" stopIfTrue="1">
      <formula>AS41&lt;130</formula>
    </cfRule>
  </conditionalFormatting>
  <conditionalFormatting sqref="AS41">
    <cfRule type="expression" dxfId="4972" priority="123" stopIfTrue="1">
      <formula>AS41&gt;150</formula>
    </cfRule>
  </conditionalFormatting>
  <conditionalFormatting sqref="AS42">
    <cfRule type="cellIs" dxfId="4971" priority="119" operator="between">
      <formula>8</formula>
      <formula>8.99</formula>
    </cfRule>
    <cfRule type="cellIs" dxfId="4970" priority="120" operator="between">
      <formula>11.01</formula>
      <formula>12</formula>
    </cfRule>
    <cfRule type="expression" dxfId="4969" priority="121">
      <formula>AS42&lt;8</formula>
    </cfRule>
    <cfRule type="expression" dxfId="4968" priority="122">
      <formula>AS42&gt;12</formula>
    </cfRule>
  </conditionalFormatting>
  <conditionalFormatting sqref="AS43">
    <cfRule type="cellIs" dxfId="4967" priority="115" operator="between">
      <formula>6</formula>
      <formula>7.499</formula>
    </cfRule>
    <cfRule type="cellIs" dxfId="4966" priority="116" operator="between">
      <formula>8.51</formula>
      <formula>10</formula>
    </cfRule>
    <cfRule type="expression" dxfId="4965" priority="117">
      <formula>AS43&lt;6</formula>
    </cfRule>
    <cfRule type="expression" dxfId="4964" priority="118">
      <formula>AS43&gt;10</formula>
    </cfRule>
  </conditionalFormatting>
  <conditionalFormatting sqref="AS44">
    <cfRule type="cellIs" dxfId="4963" priority="111" operator="between">
      <formula>2</formula>
      <formula>2.199</formula>
    </cfRule>
    <cfRule type="cellIs" dxfId="4962" priority="112" operator="between">
      <formula>2.41</formula>
      <formula>2.5</formula>
    </cfRule>
    <cfRule type="expression" dxfId="4961" priority="113">
      <formula>AS44&lt;2</formula>
    </cfRule>
    <cfRule type="expression" dxfId="4960" priority="114">
      <formula>AS44&gt;2.5</formula>
    </cfRule>
  </conditionalFormatting>
  <conditionalFormatting sqref="AS45">
    <cfRule type="cellIs" dxfId="4959" priority="107" operator="between">
      <formula>30%</formula>
      <formula>39.99%</formula>
    </cfRule>
    <cfRule type="cellIs" dxfId="4958" priority="108" operator="between">
      <formula>50.01%</formula>
      <formula>60%</formula>
    </cfRule>
    <cfRule type="expression" dxfId="4957" priority="109">
      <formula>AS45&lt;30%</formula>
    </cfRule>
    <cfRule type="expression" dxfId="4956" priority="110">
      <formula>AS45&gt;60%</formula>
    </cfRule>
  </conditionalFormatting>
  <conditionalFormatting sqref="AS46">
    <cfRule type="cellIs" dxfId="4955" priority="103" operator="between">
      <formula>15%</formula>
      <formula>16.99%</formula>
    </cfRule>
    <cfRule type="cellIs" dxfId="4954" priority="104" operator="between">
      <formula>27.01%</formula>
      <formula>30%</formula>
    </cfRule>
    <cfRule type="expression" dxfId="4953" priority="105">
      <formula>AS46&lt;15%</formula>
    </cfRule>
    <cfRule type="expression" dxfId="4952" priority="106">
      <formula>AS46&gt;30%</formula>
    </cfRule>
  </conditionalFormatting>
  <conditionalFormatting sqref="AS48">
    <cfRule type="cellIs" dxfId="4951" priority="99" operator="between">
      <formula>0.5%</formula>
      <formula>0.799%</formula>
    </cfRule>
    <cfRule type="cellIs" dxfId="4950" priority="100" operator="between">
      <formula>1.21%</formula>
      <formula>1.5%</formula>
    </cfRule>
    <cfRule type="expression" dxfId="4949" priority="101">
      <formula>AS48&lt;0.5%</formula>
    </cfRule>
    <cfRule type="expression" dxfId="4948" priority="102">
      <formula>AS48&gt;1.5%</formula>
    </cfRule>
  </conditionalFormatting>
  <conditionalFormatting sqref="AS37">
    <cfRule type="cellIs" dxfId="4947" priority="95" operator="between">
      <formula>60</formula>
      <formula>64.99</formula>
    </cfRule>
    <cfRule type="cellIs" dxfId="4946" priority="96" operator="between">
      <formula>75.1</formula>
      <formula>80</formula>
    </cfRule>
    <cfRule type="expression" dxfId="4945" priority="97">
      <formula>AS37&lt;60</formula>
    </cfRule>
    <cfRule type="expression" dxfId="4944" priority="98">
      <formula>AS37&gt;80</formula>
    </cfRule>
  </conditionalFormatting>
  <conditionalFormatting sqref="AS39">
    <cfRule type="cellIs" dxfId="4943" priority="91" operator="between">
      <formula>50</formula>
      <formula>54.99</formula>
    </cfRule>
    <cfRule type="cellIs" dxfId="4942" priority="92" operator="between">
      <formula>65.01</formula>
      <formula>70</formula>
    </cfRule>
    <cfRule type="expression" dxfId="4941" priority="93">
      <formula>AS39&lt;50</formula>
    </cfRule>
    <cfRule type="expression" dxfId="4940" priority="94">
      <formula>AS39&gt;70</formula>
    </cfRule>
  </conditionalFormatting>
  <conditionalFormatting sqref="AS41">
    <cfRule type="expression" dxfId="4939" priority="90" stopIfTrue="1">
      <formula>AS41&lt;130</formula>
    </cfRule>
  </conditionalFormatting>
  <conditionalFormatting sqref="AS41">
    <cfRule type="expression" dxfId="4938" priority="89" stopIfTrue="1">
      <formula>AS41&gt;150</formula>
    </cfRule>
  </conditionalFormatting>
  <conditionalFormatting sqref="AS42">
    <cfRule type="cellIs" dxfId="4937" priority="85" operator="between">
      <formula>8</formula>
      <formula>8.99</formula>
    </cfRule>
    <cfRule type="cellIs" dxfId="4936" priority="86" operator="between">
      <formula>11.01</formula>
      <formula>12</formula>
    </cfRule>
    <cfRule type="expression" dxfId="4935" priority="87">
      <formula>AS42&lt;8</formula>
    </cfRule>
    <cfRule type="expression" dxfId="4934" priority="88">
      <formula>AS42&gt;12</formula>
    </cfRule>
  </conditionalFormatting>
  <conditionalFormatting sqref="AS43">
    <cfRule type="cellIs" dxfId="4933" priority="81" operator="between">
      <formula>6</formula>
      <formula>7.499</formula>
    </cfRule>
    <cfRule type="cellIs" dxfId="4932" priority="82" operator="between">
      <formula>8.51</formula>
      <formula>10</formula>
    </cfRule>
    <cfRule type="expression" dxfId="4931" priority="83">
      <formula>AS43&lt;6</formula>
    </cfRule>
    <cfRule type="expression" dxfId="4930" priority="84">
      <formula>AS43&gt;10</formula>
    </cfRule>
  </conditionalFormatting>
  <conditionalFormatting sqref="AS44">
    <cfRule type="cellIs" dxfId="4929" priority="77" operator="between">
      <formula>2</formula>
      <formula>2.199</formula>
    </cfRule>
    <cfRule type="cellIs" dxfId="4928" priority="78" operator="between">
      <formula>2.41</formula>
      <formula>2.5</formula>
    </cfRule>
    <cfRule type="expression" dxfId="4927" priority="79">
      <formula>AS44&lt;2</formula>
    </cfRule>
    <cfRule type="expression" dxfId="4926" priority="80">
      <formula>AS44&gt;2.5</formula>
    </cfRule>
  </conditionalFormatting>
  <conditionalFormatting sqref="AS45">
    <cfRule type="cellIs" dxfId="4925" priority="73" operator="between">
      <formula>30%</formula>
      <formula>39.99%</formula>
    </cfRule>
    <cfRule type="cellIs" dxfId="4924" priority="74" operator="between">
      <formula>50.01%</formula>
      <formula>60%</formula>
    </cfRule>
    <cfRule type="expression" dxfId="4923" priority="75">
      <formula>AS45&lt;30%</formula>
    </cfRule>
    <cfRule type="expression" dxfId="4922" priority="76">
      <formula>AS45&gt;60%</formula>
    </cfRule>
  </conditionalFormatting>
  <conditionalFormatting sqref="AS46">
    <cfRule type="cellIs" dxfId="4921" priority="69" operator="between">
      <formula>15%</formula>
      <formula>16.99%</formula>
    </cfRule>
    <cfRule type="cellIs" dxfId="4920" priority="70" operator="between">
      <formula>27.01%</formula>
      <formula>30%</formula>
    </cfRule>
    <cfRule type="expression" dxfId="4919" priority="71">
      <formula>AS46&lt;15%</formula>
    </cfRule>
    <cfRule type="expression" dxfId="4918" priority="72">
      <formula>AS46&gt;30%</formula>
    </cfRule>
  </conditionalFormatting>
  <conditionalFormatting sqref="AS48">
    <cfRule type="cellIs" dxfId="4917" priority="65" operator="between">
      <formula>0.5%</formula>
      <formula>0.799%</formula>
    </cfRule>
    <cfRule type="cellIs" dxfId="4916" priority="66" operator="between">
      <formula>1.21%</formula>
      <formula>1.5%</formula>
    </cfRule>
    <cfRule type="expression" dxfId="4915" priority="67">
      <formula>AS48&lt;0.5%</formula>
    </cfRule>
    <cfRule type="expression" dxfId="4914" priority="68">
      <formula>AS48&gt;1.5%</formula>
    </cfRule>
  </conditionalFormatting>
  <conditionalFormatting sqref="AS38">
    <cfRule type="cellIs" dxfId="4913" priority="61" operator="between">
      <formula>60</formula>
      <formula>64.99</formula>
    </cfRule>
    <cfRule type="cellIs" dxfId="4912" priority="62" operator="between">
      <formula>75.1</formula>
      <formula>80</formula>
    </cfRule>
    <cfRule type="expression" dxfId="4911" priority="63">
      <formula>AS38&lt;60</formula>
    </cfRule>
    <cfRule type="expression" dxfId="4910" priority="64">
      <formula>AS38&gt;80</formula>
    </cfRule>
  </conditionalFormatting>
  <conditionalFormatting sqref="AS40">
    <cfRule type="cellIs" dxfId="4909" priority="57" operator="between">
      <formula>50</formula>
      <formula>54.99</formula>
    </cfRule>
    <cfRule type="cellIs" dxfId="4908" priority="58" operator="between">
      <formula>65.01</formula>
      <formula>70</formula>
    </cfRule>
    <cfRule type="expression" dxfId="4907" priority="59">
      <formula>AS40&lt;50</formula>
    </cfRule>
    <cfRule type="expression" dxfId="4906" priority="60">
      <formula>AS40&gt;70</formula>
    </cfRule>
  </conditionalFormatting>
  <conditionalFormatting sqref="AS47">
    <cfRule type="expression" dxfId="4905" priority="55">
      <formula>AS47&lt;5%</formula>
    </cfRule>
    <cfRule type="expression" dxfId="4904" priority="56">
      <formula>AS47&gt;15%</formula>
    </cfRule>
  </conditionalFormatting>
  <conditionalFormatting sqref="AS47">
    <cfRule type="cellIs" dxfId="4903" priority="53" operator="between">
      <formula>5%</formula>
      <formula>6.99%</formula>
    </cfRule>
    <cfRule type="cellIs" dxfId="4902" priority="54" operator="between">
      <formula>13.1%</formula>
      <formula>15%</formula>
    </cfRule>
  </conditionalFormatting>
  <conditionalFormatting sqref="AS86">
    <cfRule type="expression" dxfId="4901" priority="51" stopIfTrue="1">
      <formula>AS86&gt;130</formula>
    </cfRule>
    <cfRule type="expression" dxfId="4900" priority="52" stopIfTrue="1">
      <formula>AS86&lt;120</formula>
    </cfRule>
  </conditionalFormatting>
  <conditionalFormatting sqref="AS88">
    <cfRule type="cellIs" dxfId="4899" priority="48" operator="between">
      <formula>3</formula>
      <formula>4.099</formula>
    </cfRule>
    <cfRule type="expression" dxfId="4898" priority="49">
      <formula>AS88&lt;3</formula>
    </cfRule>
    <cfRule type="expression" dxfId="4897" priority="50">
      <formula>AS88&gt;4.5</formula>
    </cfRule>
  </conditionalFormatting>
  <conditionalFormatting sqref="AS84">
    <cfRule type="expression" dxfId="4896" priority="46">
      <formula>AS84&lt;5</formula>
    </cfRule>
    <cfRule type="expression" dxfId="4895" priority="47">
      <formula>AS84&gt;6</formula>
    </cfRule>
  </conditionalFormatting>
  <conditionalFormatting sqref="AS83">
    <cfRule type="cellIs" dxfId="4894" priority="43" operator="between">
      <formula>2.21</formula>
      <formula>2.4</formula>
    </cfRule>
    <cfRule type="expression" dxfId="4893" priority="44">
      <formula>AS83&lt;1.8</formula>
    </cfRule>
    <cfRule type="expression" dxfId="4892" priority="45">
      <formula>AS83&gt;2.4</formula>
    </cfRule>
  </conditionalFormatting>
  <conditionalFormatting sqref="AS82">
    <cfRule type="cellIs" dxfId="4891" priority="39" operator="between">
      <formula>8</formula>
      <formula>9.99</formula>
    </cfRule>
    <cfRule type="cellIs" dxfId="4890" priority="40" operator="between">
      <formula>14.1</formula>
      <formula>16</formula>
    </cfRule>
    <cfRule type="expression" dxfId="4889" priority="41">
      <formula>AS82&lt;8</formula>
    </cfRule>
    <cfRule type="expression" dxfId="4888" priority="42">
      <formula>AS82&gt;16</formula>
    </cfRule>
  </conditionalFormatting>
  <conditionalFormatting sqref="AS68">
    <cfRule type="cellIs" dxfId="4887" priority="35" operator="between">
      <formula>40</formula>
      <formula>44.99</formula>
    </cfRule>
    <cfRule type="cellIs" dxfId="4886" priority="36" operator="between">
      <formula>55.1</formula>
      <formula>60</formula>
    </cfRule>
    <cfRule type="expression" dxfId="4885" priority="37">
      <formula>AS68&lt;40</formula>
    </cfRule>
    <cfRule type="expression" dxfId="4884" priority="38">
      <formula>AS68&gt;60</formula>
    </cfRule>
  </conditionalFormatting>
  <conditionalFormatting sqref="AS70">
    <cfRule type="cellIs" dxfId="4883" priority="31" operator="between">
      <formula>50</formula>
      <formula>54.99</formula>
    </cfRule>
    <cfRule type="cellIs" dxfId="4882" priority="32" operator="between">
      <formula>65.01</formula>
      <formula>70</formula>
    </cfRule>
    <cfRule type="expression" dxfId="4881" priority="33">
      <formula>AS70&lt;50</formula>
    </cfRule>
    <cfRule type="expression" dxfId="4880" priority="34">
      <formula>AS70&gt;70</formula>
    </cfRule>
  </conditionalFormatting>
  <conditionalFormatting sqref="AS72">
    <cfRule type="expression" dxfId="4879" priority="30" stopIfTrue="1">
      <formula>AS72&lt;135</formula>
    </cfRule>
  </conditionalFormatting>
  <conditionalFormatting sqref="AS72">
    <cfRule type="expression" dxfId="4878" priority="29" stopIfTrue="1">
      <formula>AS72&gt;145</formula>
    </cfRule>
  </conditionalFormatting>
  <conditionalFormatting sqref="AS73">
    <cfRule type="cellIs" dxfId="4877" priority="25" operator="between">
      <formula>6</formula>
      <formula>6.499</formula>
    </cfRule>
    <cfRule type="cellIs" dxfId="4876" priority="26" operator="between">
      <formula>7.51</formula>
      <formula>8</formula>
    </cfRule>
    <cfRule type="expression" dxfId="4875" priority="27">
      <formula>AS73&lt;6</formula>
    </cfRule>
    <cfRule type="expression" dxfId="4874" priority="28">
      <formula>AS73&gt;8</formula>
    </cfRule>
  </conditionalFormatting>
  <conditionalFormatting sqref="AS74">
    <cfRule type="cellIs" dxfId="4873" priority="21" operator="between">
      <formula>5</formula>
      <formula>5.499</formula>
    </cfRule>
    <cfRule type="cellIs" dxfId="4872" priority="22" operator="between">
      <formula>6.51</formula>
      <formula>8</formula>
    </cfRule>
    <cfRule type="expression" dxfId="4871" priority="23">
      <formula>AS74&lt;5</formula>
    </cfRule>
    <cfRule type="expression" dxfId="4870" priority="24">
      <formula>AS74&gt;8</formula>
    </cfRule>
  </conditionalFormatting>
  <conditionalFormatting sqref="AS75">
    <cfRule type="expression" dxfId="4869" priority="19">
      <formula>AS75&lt;2</formula>
    </cfRule>
    <cfRule type="expression" dxfId="4868" priority="20">
      <formula>AS75&gt;2.4</formula>
    </cfRule>
  </conditionalFormatting>
  <conditionalFormatting sqref="AS76:AS77">
    <cfRule type="expression" dxfId="4867" priority="17">
      <formula>AS76&lt;40%</formula>
    </cfRule>
    <cfRule type="expression" dxfId="4866" priority="18">
      <formula>AS76&gt;50%</formula>
    </cfRule>
  </conditionalFormatting>
  <conditionalFormatting sqref="AS79">
    <cfRule type="cellIs" dxfId="4865" priority="13" operator="between">
      <formula>0.5%</formula>
      <formula>0.599%</formula>
    </cfRule>
    <cfRule type="cellIs" dxfId="4864" priority="14" operator="between">
      <formula>1.41%</formula>
      <formula>1.5%</formula>
    </cfRule>
    <cfRule type="expression" dxfId="4863" priority="15">
      <formula>AS79&lt;0.5%</formula>
    </cfRule>
    <cfRule type="expression" dxfId="4862" priority="16">
      <formula>AS79&gt;1.5%</formula>
    </cfRule>
  </conditionalFormatting>
  <conditionalFormatting sqref="AS78">
    <cfRule type="cellIs" dxfId="4861" priority="9" operator="between">
      <formula>20%</formula>
      <formula>24.99%</formula>
    </cfRule>
    <cfRule type="cellIs" dxfId="4860" priority="10" operator="between">
      <formula>35.01%</formula>
      <formula>40%</formula>
    </cfRule>
    <cfRule type="expression" dxfId="4859" priority="11">
      <formula>AS78&lt;20%</formula>
    </cfRule>
    <cfRule type="expression" dxfId="4858" priority="12">
      <formula>AS78&gt;40%</formula>
    </cfRule>
  </conditionalFormatting>
  <conditionalFormatting sqref="AS69">
    <cfRule type="cellIs" dxfId="4857" priority="5" operator="between">
      <formula>40</formula>
      <formula>44.99</formula>
    </cfRule>
    <cfRule type="cellIs" dxfId="4856" priority="6" operator="between">
      <formula>55.1</formula>
      <formula>60</formula>
    </cfRule>
    <cfRule type="expression" dxfId="4855" priority="7">
      <formula>AS69&lt;40</formula>
    </cfRule>
    <cfRule type="expression" dxfId="4854" priority="8">
      <formula>AS69&gt;60</formula>
    </cfRule>
  </conditionalFormatting>
  <conditionalFormatting sqref="AS71">
    <cfRule type="cellIs" dxfId="4853" priority="1" operator="between">
      <formula>50</formula>
      <formula>54.99</formula>
    </cfRule>
    <cfRule type="cellIs" dxfId="4852" priority="2" operator="between">
      <formula>65.01</formula>
      <formula>70</formula>
    </cfRule>
    <cfRule type="expression" dxfId="4851" priority="3">
      <formula>AS71&lt;50</formula>
    </cfRule>
    <cfRule type="expression" dxfId="4850" priority="4">
      <formula>AS71&gt;70</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5"/>
  <sheetViews>
    <sheetView view="pageBreakPreview" zoomScale="55" zoomScaleNormal="55" zoomScaleSheetLayoutView="55" workbookViewId="0">
      <selection activeCell="O6" sqref="O6"/>
    </sheetView>
  </sheetViews>
  <sheetFormatPr defaultRowHeight="15"/>
  <cols>
    <col min="1" max="1" width="3.5" style="1071" customWidth="1"/>
    <col min="2" max="2" width="7.375" style="1071" customWidth="1"/>
    <col min="3" max="3" width="4.375" style="1071" customWidth="1"/>
    <col min="4" max="4" width="7" style="1071" customWidth="1"/>
    <col min="5" max="5" width="6" style="1071" customWidth="1"/>
    <col min="6" max="6" width="7.875" style="1071" customWidth="1"/>
    <col min="7" max="7" width="13" style="1077" customWidth="1"/>
    <col min="8" max="8" width="10.25" style="1077" customWidth="1"/>
    <col min="9" max="9" width="8.375" style="1071" customWidth="1"/>
    <col min="10" max="10" width="3.625" style="15" customWidth="1"/>
    <col min="11" max="11" width="7.125" style="15" customWidth="1"/>
    <col min="12" max="12" width="3.875" style="15" customWidth="1"/>
    <col min="13" max="13" width="8.5" style="1040" customWidth="1"/>
    <col min="14" max="14" width="3" style="1040" customWidth="1"/>
    <col min="15" max="15" width="8.375" style="1040" customWidth="1"/>
    <col min="16" max="16" width="4.75" style="1040" customWidth="1"/>
    <col min="17" max="17" width="7.625" style="1071" customWidth="1"/>
    <col min="18" max="18" width="3.375" style="1071" customWidth="1"/>
    <col min="19" max="19" width="7.875" style="1071" customWidth="1"/>
    <col min="20" max="20" width="4.375" style="1071" customWidth="1"/>
    <col min="21" max="21" width="7.625" style="1040" customWidth="1"/>
    <col min="22" max="22" width="3.875" style="1040" customWidth="1"/>
    <col min="23" max="23" width="7" style="1040" customWidth="1"/>
    <col min="24" max="24" width="4.375" style="1040" customWidth="1"/>
    <col min="25" max="25" width="7.5" style="1071" customWidth="1"/>
    <col min="26" max="26" width="3.125" style="1071" customWidth="1"/>
    <col min="27" max="27" width="7.625" style="1071" customWidth="1"/>
    <col min="28" max="28" width="4.5" style="1071" customWidth="1"/>
    <col min="29" max="29" width="7" style="1040" customWidth="1"/>
    <col min="30" max="30" width="3.75" style="1040" customWidth="1"/>
    <col min="31" max="31" width="6.5" style="1040" customWidth="1"/>
    <col min="32" max="32" width="4.75" style="1040" customWidth="1"/>
    <col min="33" max="33" width="9.5" style="15" customWidth="1"/>
    <col min="34" max="16384" width="9" style="15"/>
  </cols>
  <sheetData>
    <row r="1" spans="1:33" ht="33.75" customHeight="1">
      <c r="A1" s="2127" t="s">
        <v>146</v>
      </c>
      <c r="B1" s="2127"/>
      <c r="C1" s="2127"/>
      <c r="D1" s="2127"/>
      <c r="E1" s="2127"/>
      <c r="F1" s="2127"/>
      <c r="G1" s="2127"/>
      <c r="H1" s="2127"/>
      <c r="I1" s="2127"/>
      <c r="J1" s="2127"/>
      <c r="K1" s="2127"/>
      <c r="L1" s="2127"/>
      <c r="M1" s="2127"/>
      <c r="N1" s="2127"/>
      <c r="O1" s="2127"/>
      <c r="P1" s="2127"/>
      <c r="Q1" s="2127"/>
      <c r="R1" s="2127"/>
      <c r="S1" s="2127"/>
      <c r="T1" s="2127"/>
      <c r="U1" s="2127"/>
      <c r="V1" s="2127"/>
      <c r="W1" s="2127"/>
      <c r="X1" s="2127"/>
      <c r="Y1" s="2127"/>
      <c r="Z1" s="2127"/>
      <c r="AA1" s="93"/>
      <c r="AB1" s="93"/>
      <c r="AC1" s="1041"/>
      <c r="AD1" s="1041"/>
      <c r="AE1" s="1041"/>
      <c r="AF1" s="1041"/>
      <c r="AG1" s="1005"/>
    </row>
    <row r="2" spans="1:33" ht="54.75" customHeight="1">
      <c r="A2" s="2186" t="s">
        <v>238</v>
      </c>
      <c r="B2" s="2186"/>
      <c r="C2" s="2186"/>
      <c r="D2" s="2186"/>
      <c r="E2" s="2186"/>
      <c r="F2" s="2186"/>
      <c r="G2" s="2186"/>
      <c r="H2" s="2186"/>
      <c r="I2" s="2186"/>
      <c r="J2" s="2186"/>
      <c r="K2" s="2186"/>
      <c r="L2" s="2186"/>
      <c r="M2" s="2186"/>
      <c r="N2" s="2186"/>
      <c r="O2" s="2186"/>
      <c r="P2" s="2186"/>
      <c r="Q2" s="2186"/>
      <c r="R2" s="2186"/>
      <c r="S2" s="2186"/>
      <c r="T2" s="2186"/>
      <c r="U2" s="2186"/>
      <c r="V2" s="2186"/>
      <c r="W2" s="2186"/>
      <c r="X2" s="2186"/>
      <c r="Y2" s="2186"/>
      <c r="Z2" s="2186"/>
      <c r="AA2" s="2186"/>
      <c r="AB2" s="2186"/>
      <c r="AC2" s="2187"/>
      <c r="AD2" s="2188" t="s">
        <v>96</v>
      </c>
      <c r="AE2" s="2188"/>
      <c r="AF2" s="2162" t="s">
        <v>97</v>
      </c>
      <c r="AG2" s="2165"/>
    </row>
    <row r="3" spans="1:33" ht="42.75" customHeight="1">
      <c r="B3" s="2154" t="s">
        <v>232</v>
      </c>
      <c r="C3" s="2154"/>
      <c r="D3" s="2154"/>
      <c r="E3" s="2154"/>
      <c r="F3" s="1635"/>
      <c r="G3" s="1636" t="str">
        <f>MENU!AC9</f>
        <v>2023/03/21</v>
      </c>
      <c r="H3" s="1634"/>
      <c r="I3" s="2140" t="str">
        <f>G3</f>
        <v>2023/03/21</v>
      </c>
      <c r="J3" s="2141"/>
      <c r="K3" s="2141"/>
      <c r="L3" s="2141"/>
      <c r="M3" s="1008"/>
      <c r="N3" s="1008"/>
      <c r="O3" s="1008"/>
      <c r="P3" s="1008"/>
      <c r="Q3" s="1061"/>
      <c r="R3" s="1061"/>
      <c r="S3" s="1061"/>
      <c r="T3" s="1061"/>
      <c r="U3" s="1008"/>
      <c r="V3" s="1008"/>
      <c r="W3" s="1008"/>
      <c r="X3" s="1008"/>
      <c r="Y3" s="1061"/>
      <c r="Z3" s="1061"/>
      <c r="AD3" s="2196" t="str">
        <f>MENU!AD6</f>
        <v>Trang</v>
      </c>
      <c r="AE3" s="2196"/>
      <c r="AF3" s="2197" t="s">
        <v>11</v>
      </c>
      <c r="AG3" s="2198"/>
    </row>
    <row r="4" spans="1:33" s="16" customFormat="1" ht="44.25" customHeight="1">
      <c r="A4" s="2123" t="s">
        <v>7</v>
      </c>
      <c r="B4" s="2148" t="s">
        <v>79</v>
      </c>
      <c r="C4" s="2149"/>
      <c r="D4" s="2149"/>
      <c r="E4" s="2150"/>
      <c r="F4" s="2191" t="s">
        <v>136</v>
      </c>
      <c r="G4" s="2125" t="s">
        <v>1424</v>
      </c>
      <c r="H4" s="2173" t="s">
        <v>1412</v>
      </c>
      <c r="I4" s="2128">
        <v>0.26041666666666669</v>
      </c>
      <c r="J4" s="2129"/>
      <c r="K4" s="2129"/>
      <c r="L4" s="2130"/>
      <c r="M4" s="2155" t="s">
        <v>995</v>
      </c>
      <c r="N4" s="2156"/>
      <c r="O4" s="2156"/>
      <c r="P4" s="2157"/>
      <c r="Q4" s="2131">
        <v>0.42708333333333331</v>
      </c>
      <c r="R4" s="2132"/>
      <c r="S4" s="2132"/>
      <c r="T4" s="2133"/>
      <c r="U4" s="2155" t="s">
        <v>995</v>
      </c>
      <c r="V4" s="2156"/>
      <c r="W4" s="2156"/>
      <c r="X4" s="2157"/>
      <c r="Y4" s="2131">
        <v>0.59375</v>
      </c>
      <c r="Z4" s="2132"/>
      <c r="AA4" s="2132"/>
      <c r="AB4" s="2133"/>
      <c r="AC4" s="2155" t="s">
        <v>993</v>
      </c>
      <c r="AD4" s="2156"/>
      <c r="AE4" s="2156"/>
      <c r="AF4" s="2157"/>
      <c r="AG4" s="1004" t="s">
        <v>98</v>
      </c>
    </row>
    <row r="5" spans="1:33" s="16" customFormat="1" ht="44.25" customHeight="1">
      <c r="A5" s="2124"/>
      <c r="B5" s="2151"/>
      <c r="C5" s="2152"/>
      <c r="D5" s="2152"/>
      <c r="E5" s="2153"/>
      <c r="F5" s="2192"/>
      <c r="G5" s="2126"/>
      <c r="H5" s="2174"/>
      <c r="I5" s="1062" t="s">
        <v>145</v>
      </c>
      <c r="J5" s="2134" t="s">
        <v>1</v>
      </c>
      <c r="K5" s="2135"/>
      <c r="L5" s="2136"/>
      <c r="M5" s="1009" t="s">
        <v>996</v>
      </c>
      <c r="N5" s="2158" t="s">
        <v>1</v>
      </c>
      <c r="O5" s="2158"/>
      <c r="P5" s="2159"/>
      <c r="Q5" s="1062" t="s">
        <v>145</v>
      </c>
      <c r="R5" s="2137" t="s">
        <v>1</v>
      </c>
      <c r="S5" s="2138"/>
      <c r="T5" s="2139"/>
      <c r="U5" s="1009" t="s">
        <v>996</v>
      </c>
      <c r="V5" s="2158" t="s">
        <v>1</v>
      </c>
      <c r="W5" s="2158"/>
      <c r="X5" s="2159"/>
      <c r="Y5" s="1062" t="s">
        <v>145</v>
      </c>
      <c r="Z5" s="2137" t="s">
        <v>1</v>
      </c>
      <c r="AA5" s="2138"/>
      <c r="AB5" s="2139"/>
      <c r="AC5" s="1009" t="s">
        <v>997</v>
      </c>
      <c r="AD5" s="2158" t="s">
        <v>1</v>
      </c>
      <c r="AE5" s="2158"/>
      <c r="AF5" s="2159"/>
      <c r="AG5" s="4" t="s">
        <v>99</v>
      </c>
    </row>
    <row r="6" spans="1:33" ht="48" customHeight="1">
      <c r="A6" s="2123">
        <v>1</v>
      </c>
      <c r="B6" s="2148" t="s">
        <v>147</v>
      </c>
      <c r="C6" s="2166"/>
      <c r="D6" s="2144" t="s">
        <v>108</v>
      </c>
      <c r="E6" s="2145"/>
      <c r="F6" s="54" t="s">
        <v>4</v>
      </c>
      <c r="G6" s="1000" t="str">
        <f>'XM.FILE GOC'!$E$6</f>
        <v>25~35</v>
      </c>
      <c r="H6" s="1000" t="str">
        <f>'XM.FILE GOC'!$F$6</f>
        <v>(30±2)</v>
      </c>
      <c r="I6" s="333">
        <f>'XM.FILE GOC'!I6</f>
        <v>0</v>
      </c>
      <c r="J6" s="17" t="s">
        <v>8</v>
      </c>
      <c r="K6" s="27">
        <f>'XM.FILE GOC'!L6</f>
        <v>80.790000000000006</v>
      </c>
      <c r="L6" s="18" t="s">
        <v>9</v>
      </c>
      <c r="M6" s="1010"/>
      <c r="N6" s="1011" t="s">
        <v>8</v>
      </c>
      <c r="O6" s="1012">
        <f>('XM.FILE GOC'!$G$6-M6)*2693/1000</f>
        <v>80.790000000000006</v>
      </c>
      <c r="P6" s="1013" t="s">
        <v>9</v>
      </c>
      <c r="Q6" s="333">
        <f>'XM.FILE GOC'!O6</f>
        <v>0</v>
      </c>
      <c r="R6" s="1063" t="s">
        <v>8</v>
      </c>
      <c r="S6" s="1064">
        <f>'XM.FILE GOC'!R6</f>
        <v>80.790000000000006</v>
      </c>
      <c r="T6" s="1065" t="s">
        <v>9</v>
      </c>
      <c r="U6" s="1010"/>
      <c r="V6" s="1011" t="s">
        <v>8</v>
      </c>
      <c r="W6" s="1012">
        <f>('XM.FILE GOC'!$G$6-U6)*2693/1000</f>
        <v>80.790000000000006</v>
      </c>
      <c r="X6" s="1013" t="s">
        <v>9</v>
      </c>
      <c r="Y6" s="333">
        <f>'XM.FILE GOC'!U6</f>
        <v>0</v>
      </c>
      <c r="Z6" s="1063" t="s">
        <v>8</v>
      </c>
      <c r="AA6" s="1064">
        <f>'XM.FILE GOC'!X6</f>
        <v>80.790000000000006</v>
      </c>
      <c r="AB6" s="1065" t="s">
        <v>9</v>
      </c>
      <c r="AC6" s="1010"/>
      <c r="AD6" s="1011" t="s">
        <v>8</v>
      </c>
      <c r="AE6" s="1012">
        <f>('XM.FILE GOC'!$G$6-AC6)*2693/1000</f>
        <v>80.790000000000006</v>
      </c>
      <c r="AF6" s="1013" t="s">
        <v>9</v>
      </c>
      <c r="AG6" s="91" t="s">
        <v>42</v>
      </c>
    </row>
    <row r="7" spans="1:33" ht="48" customHeight="1">
      <c r="A7" s="2160"/>
      <c r="B7" s="2167"/>
      <c r="C7" s="2168"/>
      <c r="D7" s="2146" t="s">
        <v>109</v>
      </c>
      <c r="E7" s="2147"/>
      <c r="F7" s="54" t="s">
        <v>58</v>
      </c>
      <c r="G7" s="1000" t="s">
        <v>110</v>
      </c>
      <c r="H7" s="1000"/>
      <c r="I7" s="333"/>
      <c r="J7" s="62" t="s">
        <v>8</v>
      </c>
      <c r="K7" s="65">
        <f>K6/25*840/1000</f>
        <v>2.7145440000000005</v>
      </c>
      <c r="L7" s="64" t="s">
        <v>10</v>
      </c>
      <c r="M7" s="1010"/>
      <c r="N7" s="1014" t="s">
        <v>8</v>
      </c>
      <c r="O7" s="1015">
        <f>O6/25*840/1000</f>
        <v>2.7145440000000005</v>
      </c>
      <c r="P7" s="1016" t="s">
        <v>10</v>
      </c>
      <c r="Q7" s="333"/>
      <c r="R7" s="66" t="s">
        <v>8</v>
      </c>
      <c r="S7" s="1066">
        <f>S6/25*840/1000</f>
        <v>2.7145440000000005</v>
      </c>
      <c r="T7" s="657" t="s">
        <v>10</v>
      </c>
      <c r="U7" s="1010"/>
      <c r="V7" s="1014" t="s">
        <v>8</v>
      </c>
      <c r="W7" s="1015">
        <f>W6/25*840/1000</f>
        <v>2.7145440000000005</v>
      </c>
      <c r="X7" s="1016" t="s">
        <v>10</v>
      </c>
      <c r="Y7" s="333"/>
      <c r="Z7" s="66" t="s">
        <v>8</v>
      </c>
      <c r="AA7" s="1066">
        <f>AA6/25*840/1000</f>
        <v>2.7145440000000005</v>
      </c>
      <c r="AB7" s="657" t="s">
        <v>10</v>
      </c>
      <c r="AC7" s="1010"/>
      <c r="AD7" s="1014" t="s">
        <v>8</v>
      </c>
      <c r="AE7" s="1015">
        <f>AE6/25*840/1000</f>
        <v>2.7145440000000005</v>
      </c>
      <c r="AF7" s="1016" t="s">
        <v>10</v>
      </c>
      <c r="AG7" s="121"/>
    </row>
    <row r="8" spans="1:33" ht="48" customHeight="1">
      <c r="A8" s="2124"/>
      <c r="B8" s="2169"/>
      <c r="C8" s="2170"/>
      <c r="D8" s="2146" t="s">
        <v>111</v>
      </c>
      <c r="E8" s="2147"/>
      <c r="F8" s="54" t="s">
        <v>58</v>
      </c>
      <c r="G8" s="1000" t="s">
        <v>110</v>
      </c>
      <c r="H8" s="1000"/>
      <c r="I8" s="333"/>
      <c r="J8" s="62" t="s">
        <v>8</v>
      </c>
      <c r="K8" s="65">
        <f>K7*10</f>
        <v>27.145440000000004</v>
      </c>
      <c r="L8" s="64" t="s">
        <v>10</v>
      </c>
      <c r="M8" s="1010"/>
      <c r="N8" s="1011" t="s">
        <v>8</v>
      </c>
      <c r="O8" s="1015">
        <f>O7*10</f>
        <v>27.145440000000004</v>
      </c>
      <c r="P8" s="1013" t="s">
        <v>10</v>
      </c>
      <c r="Q8" s="333"/>
      <c r="R8" s="66" t="s">
        <v>8</v>
      </c>
      <c r="S8" s="1066">
        <f>S7*10</f>
        <v>27.145440000000004</v>
      </c>
      <c r="T8" s="657" t="s">
        <v>10</v>
      </c>
      <c r="U8" s="1010"/>
      <c r="V8" s="1011" t="s">
        <v>8</v>
      </c>
      <c r="W8" s="1015">
        <f>W7*10</f>
        <v>27.145440000000004</v>
      </c>
      <c r="X8" s="1013" t="s">
        <v>10</v>
      </c>
      <c r="Y8" s="333"/>
      <c r="Z8" s="66" t="s">
        <v>8</v>
      </c>
      <c r="AA8" s="1066">
        <f>AA7*10</f>
        <v>27.145440000000004</v>
      </c>
      <c r="AB8" s="657" t="s">
        <v>10</v>
      </c>
      <c r="AC8" s="1010"/>
      <c r="AD8" s="1011" t="s">
        <v>8</v>
      </c>
      <c r="AE8" s="1015">
        <f>AE7*10</f>
        <v>27.145440000000004</v>
      </c>
      <c r="AF8" s="1013" t="s">
        <v>10</v>
      </c>
      <c r="AG8" s="91"/>
    </row>
    <row r="9" spans="1:33" ht="48" customHeight="1">
      <c r="A9" s="2123">
        <v>2</v>
      </c>
      <c r="B9" s="2148" t="s">
        <v>148</v>
      </c>
      <c r="C9" s="2166"/>
      <c r="D9" s="2144" t="s">
        <v>108</v>
      </c>
      <c r="E9" s="2145"/>
      <c r="F9" s="54" t="s">
        <v>4</v>
      </c>
      <c r="G9" s="1000" t="str">
        <f>'XM.FILE GOC'!$E$7</f>
        <v>25~35</v>
      </c>
      <c r="H9" s="1000" t="str">
        <f>'XM.FILE GOC'!$F$7</f>
        <v>(30±2)</v>
      </c>
      <c r="I9" s="333">
        <f>'XM.FILE GOC'!I7</f>
        <v>0</v>
      </c>
      <c r="J9" s="17" t="s">
        <v>8</v>
      </c>
      <c r="K9" s="27">
        <f>'XM.FILE GOC'!L7</f>
        <v>99.15</v>
      </c>
      <c r="L9" s="18" t="s">
        <v>9</v>
      </c>
      <c r="M9" s="1010"/>
      <c r="N9" s="1014" t="s">
        <v>8</v>
      </c>
      <c r="O9" s="1012">
        <f>('XM.FILE GOC'!$G$7-M9)*3305/1000</f>
        <v>99.15</v>
      </c>
      <c r="P9" s="1016" t="s">
        <v>9</v>
      </c>
      <c r="Q9" s="333">
        <f>'XM.FILE GOC'!O7</f>
        <v>0</v>
      </c>
      <c r="R9" s="1063" t="s">
        <v>8</v>
      </c>
      <c r="S9" s="1064">
        <f>'XM.FILE GOC'!R7</f>
        <v>99.15</v>
      </c>
      <c r="T9" s="1065" t="s">
        <v>9</v>
      </c>
      <c r="U9" s="1010"/>
      <c r="V9" s="1014" t="s">
        <v>8</v>
      </c>
      <c r="W9" s="1012">
        <f>('XM.FILE GOC'!$G$7-U9)*3305/1000</f>
        <v>99.15</v>
      </c>
      <c r="X9" s="1016" t="s">
        <v>9</v>
      </c>
      <c r="Y9" s="333">
        <f>'XM.FILE GOC'!U7</f>
        <v>0</v>
      </c>
      <c r="Z9" s="1063" t="s">
        <v>8</v>
      </c>
      <c r="AA9" s="1064">
        <f>'XM.FILE GOC'!X7</f>
        <v>99.15</v>
      </c>
      <c r="AB9" s="1065" t="s">
        <v>9</v>
      </c>
      <c r="AC9" s="1010"/>
      <c r="AD9" s="1014" t="s">
        <v>8</v>
      </c>
      <c r="AE9" s="1012">
        <f>('XM.FILE GOC'!$G$7-AC9)*3305/1000</f>
        <v>99.15</v>
      </c>
      <c r="AF9" s="1016" t="s">
        <v>9</v>
      </c>
      <c r="AG9" s="91" t="s">
        <v>42</v>
      </c>
    </row>
    <row r="10" spans="1:33" ht="48" customHeight="1">
      <c r="A10" s="2160"/>
      <c r="B10" s="2167"/>
      <c r="C10" s="2168"/>
      <c r="D10" s="2146" t="s">
        <v>109</v>
      </c>
      <c r="E10" s="2147"/>
      <c r="F10" s="54" t="s">
        <v>58</v>
      </c>
      <c r="G10" s="1000" t="s">
        <v>110</v>
      </c>
      <c r="H10" s="1000"/>
      <c r="I10" s="333"/>
      <c r="J10" s="62" t="s">
        <v>8</v>
      </c>
      <c r="K10" s="65">
        <f>K9/25*840/1000</f>
        <v>3.3314400000000002</v>
      </c>
      <c r="L10" s="64" t="s">
        <v>10</v>
      </c>
      <c r="M10" s="1010"/>
      <c r="N10" s="1011" t="s">
        <v>8</v>
      </c>
      <c r="O10" s="1015">
        <f>O9/25*840/1000</f>
        <v>3.3314400000000002</v>
      </c>
      <c r="P10" s="1013" t="s">
        <v>10</v>
      </c>
      <c r="Q10" s="333"/>
      <c r="R10" s="66" t="s">
        <v>8</v>
      </c>
      <c r="S10" s="1066">
        <f>S9/25*840/1000</f>
        <v>3.3314400000000002</v>
      </c>
      <c r="T10" s="657" t="s">
        <v>10</v>
      </c>
      <c r="U10" s="1010"/>
      <c r="V10" s="1014" t="s">
        <v>8</v>
      </c>
      <c r="W10" s="1015">
        <f>W9/25*840/1000</f>
        <v>3.3314400000000002</v>
      </c>
      <c r="X10" s="1016" t="s">
        <v>10</v>
      </c>
      <c r="Y10" s="333"/>
      <c r="Z10" s="66" t="s">
        <v>8</v>
      </c>
      <c r="AA10" s="1066">
        <f>AA9/25*840/1000</f>
        <v>3.3314400000000002</v>
      </c>
      <c r="AB10" s="657" t="s">
        <v>10</v>
      </c>
      <c r="AC10" s="1010"/>
      <c r="AD10" s="1014" t="s">
        <v>8</v>
      </c>
      <c r="AE10" s="1015">
        <f>AE9/25*840/1000</f>
        <v>3.3314400000000002</v>
      </c>
      <c r="AF10" s="1016" t="s">
        <v>10</v>
      </c>
      <c r="AG10" s="121"/>
    </row>
    <row r="11" spans="1:33" ht="48" customHeight="1">
      <c r="A11" s="2124"/>
      <c r="B11" s="2169"/>
      <c r="C11" s="2170"/>
      <c r="D11" s="2146" t="s">
        <v>111</v>
      </c>
      <c r="E11" s="2147"/>
      <c r="F11" s="54" t="s">
        <v>58</v>
      </c>
      <c r="G11" s="1000" t="s">
        <v>110</v>
      </c>
      <c r="H11" s="1000"/>
      <c r="I11" s="333"/>
      <c r="J11" s="62" t="s">
        <v>8</v>
      </c>
      <c r="K11" s="65">
        <f>K10*10</f>
        <v>33.314399999999999</v>
      </c>
      <c r="L11" s="64" t="s">
        <v>10</v>
      </c>
      <c r="M11" s="1010"/>
      <c r="N11" s="1014" t="s">
        <v>8</v>
      </c>
      <c r="O11" s="1015">
        <f>O10*10</f>
        <v>33.314399999999999</v>
      </c>
      <c r="P11" s="1016" t="s">
        <v>10</v>
      </c>
      <c r="Q11" s="333"/>
      <c r="R11" s="66" t="s">
        <v>8</v>
      </c>
      <c r="S11" s="1066">
        <f>S10*10</f>
        <v>33.314399999999999</v>
      </c>
      <c r="T11" s="657" t="s">
        <v>10</v>
      </c>
      <c r="U11" s="1010"/>
      <c r="V11" s="1011" t="s">
        <v>8</v>
      </c>
      <c r="W11" s="1015">
        <f>W10*10</f>
        <v>33.314399999999999</v>
      </c>
      <c r="X11" s="1013" t="s">
        <v>10</v>
      </c>
      <c r="Y11" s="333"/>
      <c r="Z11" s="66" t="s">
        <v>8</v>
      </c>
      <c r="AA11" s="1066">
        <f>AA10*10</f>
        <v>33.314399999999999</v>
      </c>
      <c r="AB11" s="657" t="s">
        <v>10</v>
      </c>
      <c r="AC11" s="1010"/>
      <c r="AD11" s="1011" t="s">
        <v>8</v>
      </c>
      <c r="AE11" s="1015">
        <f>AE10*10</f>
        <v>33.314399999999999</v>
      </c>
      <c r="AF11" s="1013" t="s">
        <v>10</v>
      </c>
      <c r="AG11" s="121"/>
    </row>
    <row r="12" spans="1:33" ht="48" customHeight="1">
      <c r="A12" s="2123">
        <v>3</v>
      </c>
      <c r="B12" s="2142" t="s">
        <v>149</v>
      </c>
      <c r="C12" s="2143"/>
      <c r="D12" s="2144" t="s">
        <v>108</v>
      </c>
      <c r="E12" s="2145"/>
      <c r="F12" s="54" t="s">
        <v>4</v>
      </c>
      <c r="G12" s="1000" t="str">
        <f>'XM.FILE GOC'!$E$8</f>
        <v>60~80</v>
      </c>
      <c r="H12" s="1000" t="str">
        <f>'XM.FILE GOC'!$F$8</f>
        <v>(70±10)</v>
      </c>
      <c r="I12" s="333">
        <f>'XM.FILE GOC'!I8</f>
        <v>0</v>
      </c>
      <c r="J12" s="17" t="s">
        <v>8</v>
      </c>
      <c r="K12" s="27">
        <f>'XM.FILE GOC'!L8</f>
        <v>80.92</v>
      </c>
      <c r="L12" s="18" t="s">
        <v>9</v>
      </c>
      <c r="M12" s="1010"/>
      <c r="N12" s="1011" t="s">
        <v>8</v>
      </c>
      <c r="O12" s="1012">
        <f>('XM.FILE GOC'!$G$8-M12)*1156/1000</f>
        <v>80.92</v>
      </c>
      <c r="P12" s="1013" t="s">
        <v>9</v>
      </c>
      <c r="Q12" s="333">
        <f>'XM.FILE GOC'!O8</f>
        <v>0</v>
      </c>
      <c r="R12" s="1063" t="s">
        <v>8</v>
      </c>
      <c r="S12" s="1064">
        <f>'XM.FILE GOC'!R8</f>
        <v>80.92</v>
      </c>
      <c r="T12" s="1065" t="s">
        <v>9</v>
      </c>
      <c r="U12" s="1010"/>
      <c r="V12" s="1011" t="s">
        <v>8</v>
      </c>
      <c r="W12" s="1012">
        <f>('XM.FILE GOC'!$G$8-U12)*1156/1000</f>
        <v>80.92</v>
      </c>
      <c r="X12" s="1013" t="s">
        <v>9</v>
      </c>
      <c r="Y12" s="333">
        <f>'XM.FILE GOC'!U8</f>
        <v>0</v>
      </c>
      <c r="Z12" s="1063" t="s">
        <v>8</v>
      </c>
      <c r="AA12" s="1064">
        <f>'XM.FILE GOC'!X8</f>
        <v>80.92</v>
      </c>
      <c r="AB12" s="1065" t="s">
        <v>9</v>
      </c>
      <c r="AC12" s="1010"/>
      <c r="AD12" s="1011" t="s">
        <v>8</v>
      </c>
      <c r="AE12" s="1012">
        <f>('XM.FILE GOC'!$G$8-AC12)*1156/1000</f>
        <v>80.92</v>
      </c>
      <c r="AF12" s="1013" t="s">
        <v>9</v>
      </c>
      <c r="AG12" s="91" t="s">
        <v>42</v>
      </c>
    </row>
    <row r="13" spans="1:33" ht="48" customHeight="1">
      <c r="A13" s="2124"/>
      <c r="B13" s="2143"/>
      <c r="C13" s="2143"/>
      <c r="D13" s="2146" t="s">
        <v>112</v>
      </c>
      <c r="E13" s="2147"/>
      <c r="F13" s="54" t="s">
        <v>58</v>
      </c>
      <c r="G13" s="1000" t="s">
        <v>110</v>
      </c>
      <c r="H13" s="1000"/>
      <c r="I13" s="333"/>
      <c r="J13" s="62" t="s">
        <v>8</v>
      </c>
      <c r="K13" s="65">
        <f>K12/25*7.5</f>
        <v>24.276</v>
      </c>
      <c r="L13" s="64" t="s">
        <v>10</v>
      </c>
      <c r="M13" s="1010"/>
      <c r="N13" s="1014" t="s">
        <v>8</v>
      </c>
      <c r="O13" s="1015">
        <f>O12/25*7.5</f>
        <v>24.276</v>
      </c>
      <c r="P13" s="1016" t="s">
        <v>10</v>
      </c>
      <c r="Q13" s="333"/>
      <c r="R13" s="66" t="s">
        <v>8</v>
      </c>
      <c r="S13" s="1066">
        <f>S12/25*7.5</f>
        <v>24.276</v>
      </c>
      <c r="T13" s="657" t="s">
        <v>10</v>
      </c>
      <c r="U13" s="1010"/>
      <c r="V13" s="1014" t="s">
        <v>8</v>
      </c>
      <c r="W13" s="1015">
        <f>W12/25*7.5</f>
        <v>24.276</v>
      </c>
      <c r="X13" s="1016" t="s">
        <v>10</v>
      </c>
      <c r="Y13" s="333"/>
      <c r="Z13" s="66" t="s">
        <v>8</v>
      </c>
      <c r="AA13" s="1066">
        <f>AA12/25*7.5</f>
        <v>24.276</v>
      </c>
      <c r="AB13" s="657" t="s">
        <v>10</v>
      </c>
      <c r="AC13" s="1010"/>
      <c r="AD13" s="1014" t="s">
        <v>8</v>
      </c>
      <c r="AE13" s="1015">
        <f>AE12/25*7.5</f>
        <v>24.276</v>
      </c>
      <c r="AF13" s="1016" t="s">
        <v>10</v>
      </c>
      <c r="AG13" s="91"/>
    </row>
    <row r="14" spans="1:33" ht="48" customHeight="1">
      <c r="A14" s="2123">
        <v>4</v>
      </c>
      <c r="B14" s="2142" t="s">
        <v>150</v>
      </c>
      <c r="C14" s="2143"/>
      <c r="D14" s="2144" t="s">
        <v>108</v>
      </c>
      <c r="E14" s="2145"/>
      <c r="F14" s="54" t="s">
        <v>4</v>
      </c>
      <c r="G14" s="1000" t="str">
        <f>'XM.FILE GOC'!$E$9</f>
        <v>60~80</v>
      </c>
      <c r="H14" s="1000" t="str">
        <f>'XM.FILE GOC'!$F$9</f>
        <v>(70±10)</v>
      </c>
      <c r="I14" s="333">
        <f>'XM.FILE GOC'!I9</f>
        <v>0</v>
      </c>
      <c r="J14" s="17" t="s">
        <v>8</v>
      </c>
      <c r="K14" s="27">
        <f>'XM.FILE GOC'!L9</f>
        <v>102.13</v>
      </c>
      <c r="L14" s="18" t="s">
        <v>9</v>
      </c>
      <c r="M14" s="1010"/>
      <c r="N14" s="1011" t="s">
        <v>8</v>
      </c>
      <c r="O14" s="1012">
        <f>('XM.FILE GOC'!$G$9-M14)*1459/1000</f>
        <v>102.13</v>
      </c>
      <c r="P14" s="1013" t="s">
        <v>9</v>
      </c>
      <c r="Q14" s="333">
        <f>'XM.FILE GOC'!O9</f>
        <v>0</v>
      </c>
      <c r="R14" s="1063" t="s">
        <v>8</v>
      </c>
      <c r="S14" s="1064">
        <f>'XM.FILE GOC'!R9</f>
        <v>102.13</v>
      </c>
      <c r="T14" s="1065" t="s">
        <v>9</v>
      </c>
      <c r="U14" s="1010"/>
      <c r="V14" s="1011" t="s">
        <v>8</v>
      </c>
      <c r="W14" s="1012">
        <f>('XM.FILE GOC'!$G$9-U14)*1459/1000</f>
        <v>102.13</v>
      </c>
      <c r="X14" s="1013" t="s">
        <v>9</v>
      </c>
      <c r="Y14" s="333">
        <f>'XM.FILE GOC'!U9</f>
        <v>0</v>
      </c>
      <c r="Z14" s="1063" t="s">
        <v>8</v>
      </c>
      <c r="AA14" s="1064">
        <f>'XM.FILE GOC'!X9</f>
        <v>102.13</v>
      </c>
      <c r="AB14" s="1065" t="s">
        <v>9</v>
      </c>
      <c r="AC14" s="1010"/>
      <c r="AD14" s="1011" t="s">
        <v>8</v>
      </c>
      <c r="AE14" s="1012">
        <f>('XM.FILE GOC'!$G$9-AC14)*1459/1000</f>
        <v>102.13</v>
      </c>
      <c r="AF14" s="1013" t="s">
        <v>9</v>
      </c>
      <c r="AG14" s="91" t="s">
        <v>42</v>
      </c>
    </row>
    <row r="15" spans="1:33" ht="48" customHeight="1">
      <c r="A15" s="2124"/>
      <c r="B15" s="2143"/>
      <c r="C15" s="2143"/>
      <c r="D15" s="2146" t="s">
        <v>112</v>
      </c>
      <c r="E15" s="2147"/>
      <c r="F15" s="54" t="s">
        <v>58</v>
      </c>
      <c r="G15" s="1000" t="s">
        <v>110</v>
      </c>
      <c r="H15" s="1000"/>
      <c r="I15" s="333"/>
      <c r="J15" s="62" t="s">
        <v>8</v>
      </c>
      <c r="K15" s="65">
        <f>K14/25*7.5</f>
        <v>30.638999999999996</v>
      </c>
      <c r="L15" s="64" t="s">
        <v>10</v>
      </c>
      <c r="M15" s="1010"/>
      <c r="N15" s="1011" t="s">
        <v>8</v>
      </c>
      <c r="O15" s="1015">
        <f>O14/25*7.5</f>
        <v>30.638999999999996</v>
      </c>
      <c r="P15" s="1013" t="s">
        <v>10</v>
      </c>
      <c r="Q15" s="333"/>
      <c r="R15" s="66" t="s">
        <v>8</v>
      </c>
      <c r="S15" s="1066">
        <f>S14/25*7.5</f>
        <v>30.638999999999996</v>
      </c>
      <c r="T15" s="657" t="s">
        <v>10</v>
      </c>
      <c r="U15" s="1010"/>
      <c r="V15" s="1014" t="s">
        <v>8</v>
      </c>
      <c r="W15" s="1015">
        <f>W14/25*7.5</f>
        <v>30.638999999999996</v>
      </c>
      <c r="X15" s="1016" t="s">
        <v>10</v>
      </c>
      <c r="Y15" s="333"/>
      <c r="Z15" s="66" t="s">
        <v>8</v>
      </c>
      <c r="AA15" s="1066">
        <f>AA14/25*7.5</f>
        <v>30.638999999999996</v>
      </c>
      <c r="AB15" s="657" t="s">
        <v>10</v>
      </c>
      <c r="AC15" s="1010"/>
      <c r="AD15" s="1014" t="s">
        <v>8</v>
      </c>
      <c r="AE15" s="1015">
        <f>AE14/25*7.5</f>
        <v>30.638999999999996</v>
      </c>
      <c r="AF15" s="1016" t="s">
        <v>10</v>
      </c>
      <c r="AG15" s="91"/>
    </row>
    <row r="16" spans="1:33" ht="48" customHeight="1">
      <c r="A16" s="2123">
        <v>5</v>
      </c>
      <c r="B16" s="2146" t="s">
        <v>82</v>
      </c>
      <c r="C16" s="2180"/>
      <c r="D16" s="2180"/>
      <c r="E16" s="2147"/>
      <c r="F16" s="54" t="s">
        <v>4</v>
      </c>
      <c r="G16" s="1000" t="str">
        <f>'XM.FILE GOC'!$E$10</f>
        <v>130 - 150</v>
      </c>
      <c r="H16" s="1000" t="str">
        <f>'XM.FILE GOC'!$F$10</f>
        <v>(140±5L)</v>
      </c>
      <c r="I16" s="334">
        <f>'XM.FILE GOC'!I10</f>
        <v>0</v>
      </c>
      <c r="J16" s="17" t="s">
        <v>8</v>
      </c>
      <c r="K16" s="27">
        <f>'XM.FILE GOC'!L10</f>
        <v>2793.14</v>
      </c>
      <c r="L16" s="18" t="s">
        <v>9</v>
      </c>
      <c r="M16" s="1010"/>
      <c r="N16" s="1014" t="s">
        <v>8</v>
      </c>
      <c r="O16" s="1012">
        <f>('XM.FILE GOC'!$G$10-M16)*19951/1000</f>
        <v>2793.14</v>
      </c>
      <c r="P16" s="1016" t="s">
        <v>9</v>
      </c>
      <c r="Q16" s="334">
        <f>'XM.FILE GOC'!O10</f>
        <v>0</v>
      </c>
      <c r="R16" s="1063" t="s">
        <v>8</v>
      </c>
      <c r="S16" s="1064">
        <f>'XM.FILE GOC'!R10</f>
        <v>2793.14</v>
      </c>
      <c r="T16" s="1065" t="s">
        <v>9</v>
      </c>
      <c r="U16" s="1010"/>
      <c r="V16" s="1014" t="s">
        <v>8</v>
      </c>
      <c r="W16" s="1012">
        <f>('XM.FILE GOC'!$G$10-U16)*19951/1000</f>
        <v>2793.14</v>
      </c>
      <c r="X16" s="1016" t="s">
        <v>9</v>
      </c>
      <c r="Y16" s="334">
        <f>'XM.FILE GOC'!U10</f>
        <v>0</v>
      </c>
      <c r="Z16" s="1063" t="s">
        <v>8</v>
      </c>
      <c r="AA16" s="1064">
        <f>'XM.FILE GOC'!X10</f>
        <v>2793.14</v>
      </c>
      <c r="AB16" s="1065" t="s">
        <v>9</v>
      </c>
      <c r="AC16" s="1010"/>
      <c r="AD16" s="1014" t="s">
        <v>8</v>
      </c>
      <c r="AE16" s="1012">
        <f>('XM.FILE GOC'!$G$10-AC16)*19951/1000</f>
        <v>2793.14</v>
      </c>
      <c r="AF16" s="1016" t="s">
        <v>9</v>
      </c>
      <c r="AG16" s="91" t="s">
        <v>43</v>
      </c>
    </row>
    <row r="17" spans="1:33" ht="48" customHeight="1">
      <c r="A17" s="2124"/>
      <c r="B17" s="2146" t="s">
        <v>60</v>
      </c>
      <c r="C17" s="2180"/>
      <c r="D17" s="2180"/>
      <c r="E17" s="2147"/>
      <c r="F17" s="54" t="s">
        <v>4</v>
      </c>
      <c r="G17" s="1000" t="str">
        <f>'XM.FILE GOC'!$E$11</f>
        <v>7~12</v>
      </c>
      <c r="H17" s="1000" t="str">
        <f>'XM.FILE GOC'!$F$11</f>
        <v>(9g±1)</v>
      </c>
      <c r="I17" s="333">
        <f>'XM.FILE GOC'!I11</f>
        <v>0</v>
      </c>
      <c r="J17" s="17" t="s">
        <v>8</v>
      </c>
      <c r="K17" s="27">
        <f>'XM.FILE GOC'!L11</f>
        <v>179.559</v>
      </c>
      <c r="L17" s="18" t="s">
        <v>9</v>
      </c>
      <c r="M17" s="1010"/>
      <c r="N17" s="1017" t="s">
        <v>8</v>
      </c>
      <c r="O17" s="1012">
        <f>('XM.FILE GOC'!$G$11-M17)*19951/1000</f>
        <v>179.559</v>
      </c>
      <c r="P17" s="1018" t="s">
        <v>49</v>
      </c>
      <c r="Q17" s="333">
        <f>'XM.FILE GOC'!O11</f>
        <v>0</v>
      </c>
      <c r="R17" s="1063" t="s">
        <v>8</v>
      </c>
      <c r="S17" s="1064">
        <f>'XM.FILE GOC'!R11</f>
        <v>179.559</v>
      </c>
      <c r="T17" s="18" t="s">
        <v>9</v>
      </c>
      <c r="U17" s="1010"/>
      <c r="V17" s="1017" t="s">
        <v>8</v>
      </c>
      <c r="W17" s="1012">
        <f>('XM.FILE GOC'!$G$11-U17)*19951/1000</f>
        <v>179.559</v>
      </c>
      <c r="X17" s="1018" t="s">
        <v>49</v>
      </c>
      <c r="Y17" s="333">
        <f>'XM.FILE GOC'!U11</f>
        <v>0</v>
      </c>
      <c r="Z17" s="1063" t="s">
        <v>8</v>
      </c>
      <c r="AA17" s="1064">
        <f>'XM.FILE GOC'!X11</f>
        <v>179.559</v>
      </c>
      <c r="AB17" s="18" t="s">
        <v>9</v>
      </c>
      <c r="AC17" s="1010"/>
      <c r="AD17" s="1017" t="s">
        <v>8</v>
      </c>
      <c r="AE17" s="1012">
        <f>('XM.FILE GOC'!$G$11-AC17)*19951/1000</f>
        <v>179.559</v>
      </c>
      <c r="AF17" s="1018" t="s">
        <v>49</v>
      </c>
      <c r="AG17" s="91" t="s">
        <v>44</v>
      </c>
    </row>
    <row r="18" spans="1:33" ht="48" customHeight="1">
      <c r="A18" s="2123">
        <v>6</v>
      </c>
      <c r="B18" s="2148" t="s">
        <v>1000</v>
      </c>
      <c r="C18" s="2149"/>
      <c r="D18" s="2149"/>
      <c r="E18" s="2150"/>
      <c r="F18" s="54" t="s">
        <v>3</v>
      </c>
      <c r="G18" s="1000" t="str">
        <f>'XM.FILE GOC'!$E$12</f>
        <v xml:space="preserve">12~18 </v>
      </c>
      <c r="H18" s="1000" t="str">
        <f>'XM.FILE GOC'!$F$12</f>
        <v>(14±2)</v>
      </c>
      <c r="I18" s="333">
        <f>'XM.FILE GOC'!I12</f>
        <v>0</v>
      </c>
      <c r="J18" s="62" t="s">
        <v>8</v>
      </c>
      <c r="K18" s="63">
        <f>'XM.FILE GOC'!L12</f>
        <v>80.5</v>
      </c>
      <c r="L18" s="64" t="s">
        <v>10</v>
      </c>
      <c r="M18" s="1010"/>
      <c r="N18" s="1011" t="s">
        <v>8</v>
      </c>
      <c r="O18" s="1019">
        <f>('XM.FILE GOC'!$G$12-M18)*575/95-4</f>
        <v>80.736842105263165</v>
      </c>
      <c r="P18" s="1013" t="s">
        <v>10</v>
      </c>
      <c r="Q18" s="333">
        <f>'XM.FILE GOC'!O12</f>
        <v>0</v>
      </c>
      <c r="R18" s="66" t="s">
        <v>8</v>
      </c>
      <c r="S18" s="656">
        <f>'XM.FILE GOC'!R12</f>
        <v>80.5</v>
      </c>
      <c r="T18" s="657" t="s">
        <v>10</v>
      </c>
      <c r="U18" s="1010"/>
      <c r="V18" s="1011" t="s">
        <v>8</v>
      </c>
      <c r="W18" s="1019">
        <f>('XM.FILE GOC'!$G$12-U18)*575/95-4</f>
        <v>80.736842105263165</v>
      </c>
      <c r="X18" s="1013" t="s">
        <v>10</v>
      </c>
      <c r="Y18" s="333">
        <f>'XM.FILE GOC'!U12</f>
        <v>0</v>
      </c>
      <c r="Z18" s="66" t="s">
        <v>8</v>
      </c>
      <c r="AA18" s="656">
        <f>'XM.FILE GOC'!X12</f>
        <v>80.5</v>
      </c>
      <c r="AB18" s="657" t="s">
        <v>10</v>
      </c>
      <c r="AC18" s="1010"/>
      <c r="AD18" s="1011" t="s">
        <v>8</v>
      </c>
      <c r="AE18" s="1019">
        <f>('XM.FILE GOC'!$G$12-AC18)*575/95-4</f>
        <v>80.736842105263165</v>
      </c>
      <c r="AF18" s="1013" t="s">
        <v>10</v>
      </c>
      <c r="AG18" s="91" t="s">
        <v>45</v>
      </c>
    </row>
    <row r="19" spans="1:33" ht="48" customHeight="1">
      <c r="A19" s="2124"/>
      <c r="B19" s="2151"/>
      <c r="C19" s="2152"/>
      <c r="D19" s="2152"/>
      <c r="E19" s="2153"/>
      <c r="F19" s="54" t="s">
        <v>5</v>
      </c>
      <c r="G19" s="1000" t="str">
        <f>'XM.FILE GOC'!$E$13</f>
        <v>1.6~2.2</v>
      </c>
      <c r="H19" s="1000" t="str">
        <f>'XM.FILE GOC'!$F$13</f>
        <v>(1.8±0.1 )</v>
      </c>
      <c r="I19" s="336">
        <f>'XM.FILE GOC'!I13</f>
        <v>0</v>
      </c>
      <c r="J19" s="5"/>
      <c r="K19" s="27">
        <f>'XM.FILE GOC'!L13</f>
        <v>0</v>
      </c>
      <c r="L19" s="6"/>
      <c r="M19" s="1010"/>
      <c r="N19" s="1014"/>
      <c r="O19" s="1012"/>
      <c r="P19" s="1016"/>
      <c r="Q19" s="336">
        <f>'XM.FILE GOC'!O13</f>
        <v>0</v>
      </c>
      <c r="R19" s="1067"/>
      <c r="S19" s="1064">
        <f>'XM.FILE GOC'!R13</f>
        <v>0</v>
      </c>
      <c r="T19" s="1068"/>
      <c r="U19" s="1010"/>
      <c r="V19" s="1014"/>
      <c r="W19" s="1012"/>
      <c r="X19" s="1016"/>
      <c r="Y19" s="336">
        <f>'XM.FILE GOC'!U13</f>
        <v>0</v>
      </c>
      <c r="Z19" s="1067"/>
      <c r="AA19" s="1064">
        <f>'XM.FILE GOC'!X13</f>
        <v>0</v>
      </c>
      <c r="AB19" s="1068"/>
      <c r="AC19" s="1010"/>
      <c r="AD19" s="1014"/>
      <c r="AE19" s="1012"/>
      <c r="AF19" s="1016"/>
      <c r="AG19" s="91"/>
    </row>
    <row r="20" spans="1:33" ht="48" customHeight="1">
      <c r="A20" s="1072">
        <v>7</v>
      </c>
      <c r="B20" s="2146" t="s">
        <v>61</v>
      </c>
      <c r="C20" s="2180"/>
      <c r="D20" s="2180"/>
      <c r="E20" s="2147"/>
      <c r="F20" s="1073" t="s">
        <v>6</v>
      </c>
      <c r="G20" s="1000" t="str">
        <f>'XM.FILE GOC'!$E$14</f>
        <v>30~60</v>
      </c>
      <c r="H20" s="1000" t="str">
        <f>'XM.FILE GOC'!$F$14</f>
        <v>(45±5)</v>
      </c>
      <c r="I20" s="337">
        <f>'XM.FILE GOC'!I14</f>
        <v>0</v>
      </c>
      <c r="J20" s="17" t="s">
        <v>8</v>
      </c>
      <c r="K20" s="27">
        <f>'XM.FILE GOC'!L14</f>
        <v>954.9</v>
      </c>
      <c r="L20" s="18" t="s">
        <v>10</v>
      </c>
      <c r="M20" s="1020"/>
      <c r="N20" s="1011" t="s">
        <v>8</v>
      </c>
      <c r="O20" s="1012">
        <f>('XM.FILE GOC'!$G$14-M20)*2122</f>
        <v>954.9</v>
      </c>
      <c r="P20" s="1013" t="s">
        <v>10</v>
      </c>
      <c r="Q20" s="337">
        <f>'XM.FILE GOC'!O14</f>
        <v>0</v>
      </c>
      <c r="R20" s="1063" t="s">
        <v>8</v>
      </c>
      <c r="S20" s="1064">
        <f>'XM.FILE GOC'!R14</f>
        <v>954.9</v>
      </c>
      <c r="T20" s="1065" t="s">
        <v>10</v>
      </c>
      <c r="U20" s="1020"/>
      <c r="V20" s="1011" t="s">
        <v>8</v>
      </c>
      <c r="W20" s="1012">
        <f>('XM.FILE GOC'!$G$14-U20)*2122</f>
        <v>954.9</v>
      </c>
      <c r="X20" s="1013" t="s">
        <v>10</v>
      </c>
      <c r="Y20" s="337">
        <f>'XM.FILE GOC'!U14</f>
        <v>0</v>
      </c>
      <c r="Z20" s="1063" t="s">
        <v>8</v>
      </c>
      <c r="AA20" s="1064">
        <f>'XM.FILE GOC'!X14</f>
        <v>954.9</v>
      </c>
      <c r="AB20" s="1065" t="s">
        <v>10</v>
      </c>
      <c r="AC20" s="1020"/>
      <c r="AD20" s="1011" t="s">
        <v>8</v>
      </c>
      <c r="AE20" s="1012">
        <f>('XM.FILE GOC'!$G$14-AC20)*2122</f>
        <v>954.9</v>
      </c>
      <c r="AF20" s="1013" t="s">
        <v>10</v>
      </c>
      <c r="AG20" s="91" t="s">
        <v>46</v>
      </c>
    </row>
    <row r="21" spans="1:33" ht="48" customHeight="1">
      <c r="A21" s="1072">
        <v>8</v>
      </c>
      <c r="B21" s="2146" t="s">
        <v>62</v>
      </c>
      <c r="C21" s="2180"/>
      <c r="D21" s="2180"/>
      <c r="E21" s="2147"/>
      <c r="F21" s="1073" t="s">
        <v>6</v>
      </c>
      <c r="G21" s="1000" t="str">
        <f>'XM.FILE GOC'!$E$15</f>
        <v>15~30</v>
      </c>
      <c r="H21" s="1000" t="str">
        <f>'XM.FILE GOC'!$F$15</f>
        <v>(22±5)</v>
      </c>
      <c r="I21" s="337">
        <f>'XM.FILE GOC'!I15</f>
        <v>0</v>
      </c>
      <c r="J21" s="66" t="s">
        <v>8</v>
      </c>
      <c r="K21" s="63">
        <f>'XM.FILE GOC'!L15</f>
        <v>134.64000000000001</v>
      </c>
      <c r="L21" s="64" t="s">
        <v>10</v>
      </c>
      <c r="M21" s="1020"/>
      <c r="N21" s="1011" t="s">
        <v>8</v>
      </c>
      <c r="O21" s="1019">
        <f>('XM.FILE GOC'!$G$15-M21)*612</f>
        <v>134.64000000000001</v>
      </c>
      <c r="P21" s="1013" t="s">
        <v>10</v>
      </c>
      <c r="Q21" s="337">
        <f>'XM.FILE GOC'!O15</f>
        <v>0</v>
      </c>
      <c r="R21" s="66" t="s">
        <v>8</v>
      </c>
      <c r="S21" s="656">
        <f>'XM.FILE GOC'!R15</f>
        <v>134.64000000000001</v>
      </c>
      <c r="T21" s="657" t="s">
        <v>10</v>
      </c>
      <c r="U21" s="1020"/>
      <c r="V21" s="1011" t="s">
        <v>8</v>
      </c>
      <c r="W21" s="1019">
        <f>('XM.FILE GOC'!$G$15-U21)*612</f>
        <v>134.64000000000001</v>
      </c>
      <c r="X21" s="1013" t="s">
        <v>10</v>
      </c>
      <c r="Y21" s="337">
        <f>'XM.FILE GOC'!U15</f>
        <v>0</v>
      </c>
      <c r="Z21" s="66" t="s">
        <v>8</v>
      </c>
      <c r="AA21" s="656">
        <f>'XM.FILE GOC'!X15</f>
        <v>134.64000000000001</v>
      </c>
      <c r="AB21" s="1065" t="s">
        <v>10</v>
      </c>
      <c r="AC21" s="1020"/>
      <c r="AD21" s="1011" t="s">
        <v>8</v>
      </c>
      <c r="AE21" s="1019">
        <f>('XM.FILE GOC'!$G$15-AC21)*612</f>
        <v>134.64000000000001</v>
      </c>
      <c r="AF21" s="1013" t="s">
        <v>10</v>
      </c>
      <c r="AG21" s="91" t="s">
        <v>46</v>
      </c>
    </row>
    <row r="22" spans="1:33" ht="48" customHeight="1">
      <c r="A22" s="1072">
        <v>9</v>
      </c>
      <c r="B22" s="2146" t="s">
        <v>116</v>
      </c>
      <c r="C22" s="2180"/>
      <c r="D22" s="2180"/>
      <c r="E22" s="2147"/>
      <c r="F22" s="1073" t="s">
        <v>6</v>
      </c>
      <c r="G22" s="1000" t="str">
        <f>'XM.FILE GOC'!$E$16</f>
        <v>5~15</v>
      </c>
      <c r="H22" s="1000" t="str">
        <f>'XM.FILE GOC'!$F$16</f>
        <v>(10±3)</v>
      </c>
      <c r="I22" s="337">
        <f>'XM.FILE GOC'!I16</f>
        <v>0</v>
      </c>
      <c r="J22" s="17" t="s">
        <v>8</v>
      </c>
      <c r="K22" s="27">
        <f>'XM.FILE GOC'!L16</f>
        <v>57.5</v>
      </c>
      <c r="L22" s="18" t="s">
        <v>10</v>
      </c>
      <c r="M22" s="1020"/>
      <c r="N22" s="1011" t="s">
        <v>8</v>
      </c>
      <c r="O22" s="1012">
        <f>('XM.FILE GOC'!$G$16-M22)*575</f>
        <v>57.5</v>
      </c>
      <c r="P22" s="1013" t="s">
        <v>10</v>
      </c>
      <c r="Q22" s="337">
        <f>'XM.FILE GOC'!O16</f>
        <v>0</v>
      </c>
      <c r="R22" s="1063" t="s">
        <v>8</v>
      </c>
      <c r="S22" s="1064">
        <f>'XM.FILE GOC'!R16</f>
        <v>57.5</v>
      </c>
      <c r="T22" s="1065" t="s">
        <v>10</v>
      </c>
      <c r="U22" s="1020"/>
      <c r="V22" s="1011" t="s">
        <v>8</v>
      </c>
      <c r="W22" s="1012">
        <f>('XM.FILE GOC'!$G$16-U22)*575</f>
        <v>57.5</v>
      </c>
      <c r="X22" s="1013" t="s">
        <v>10</v>
      </c>
      <c r="Y22" s="337">
        <f>'XM.FILE GOC'!U16</f>
        <v>0</v>
      </c>
      <c r="Z22" s="1063" t="s">
        <v>8</v>
      </c>
      <c r="AA22" s="1064">
        <f>'XM.FILE GOC'!X16</f>
        <v>57.5</v>
      </c>
      <c r="AB22" s="1065" t="s">
        <v>10</v>
      </c>
      <c r="AC22" s="1020"/>
      <c r="AD22" s="1011" t="s">
        <v>8</v>
      </c>
      <c r="AE22" s="1012">
        <f>('XM.FILE GOC'!$G$16-AC22)*575</f>
        <v>57.5</v>
      </c>
      <c r="AF22" s="1013" t="s">
        <v>10</v>
      </c>
      <c r="AG22" s="91" t="s">
        <v>47</v>
      </c>
    </row>
    <row r="23" spans="1:33" ht="48" customHeight="1">
      <c r="A23" s="1072">
        <v>10</v>
      </c>
      <c r="B23" s="2146" t="s">
        <v>1001</v>
      </c>
      <c r="C23" s="2180"/>
      <c r="D23" s="2180"/>
      <c r="E23" s="2147"/>
      <c r="F23" s="1073" t="s">
        <v>3</v>
      </c>
      <c r="G23" s="1000" t="str">
        <f>'XM.FILE GOC'!$E$17</f>
        <v>0.5~1.5</v>
      </c>
      <c r="H23" s="1000" t="str">
        <f>'XM.FILE GOC'!$F$17</f>
        <v>(1±0.4)</v>
      </c>
      <c r="I23" s="340">
        <f>'XM.FILE GOC'!I17</f>
        <v>0</v>
      </c>
      <c r="J23" s="17" t="s">
        <v>8</v>
      </c>
      <c r="K23" s="51">
        <f>'XM.FILE GOC'!L17</f>
        <v>8.1538461538461533</v>
      </c>
      <c r="L23" s="18" t="s">
        <v>10</v>
      </c>
      <c r="M23" s="1021"/>
      <c r="N23" s="1022" t="s">
        <v>8</v>
      </c>
      <c r="O23" s="1023">
        <f>('XM.FILE GOC'!$G$17-M23)*530/65%</f>
        <v>8.1538461538461533</v>
      </c>
      <c r="P23" s="1024" t="s">
        <v>10</v>
      </c>
      <c r="Q23" s="340">
        <f>'XM.FILE GOC'!O17</f>
        <v>0</v>
      </c>
      <c r="R23" s="1063" t="s">
        <v>8</v>
      </c>
      <c r="S23" s="1069">
        <f>'XM.FILE GOC'!R17</f>
        <v>8.1538461538461533</v>
      </c>
      <c r="T23" s="1065" t="s">
        <v>10</v>
      </c>
      <c r="U23" s="1021"/>
      <c r="V23" s="1022" t="s">
        <v>8</v>
      </c>
      <c r="W23" s="1023">
        <f>('XM.FILE GOC'!$G$17-U23)*530/65%</f>
        <v>8.1538461538461533</v>
      </c>
      <c r="X23" s="1024" t="s">
        <v>10</v>
      </c>
      <c r="Y23" s="340">
        <f>'XM.FILE GOC'!U17</f>
        <v>0</v>
      </c>
      <c r="Z23" s="1063" t="s">
        <v>8</v>
      </c>
      <c r="AA23" s="1069">
        <f>'XM.FILE GOC'!X17</f>
        <v>8.1538461538461533</v>
      </c>
      <c r="AB23" s="1065" t="s">
        <v>10</v>
      </c>
      <c r="AC23" s="1021"/>
      <c r="AD23" s="1022" t="s">
        <v>8</v>
      </c>
      <c r="AE23" s="1023">
        <f>('XM.FILE GOC'!$G$17-AC23)*530/65%</f>
        <v>8.1538461538461533</v>
      </c>
      <c r="AF23" s="1024" t="s">
        <v>10</v>
      </c>
      <c r="AG23" s="91" t="s">
        <v>47</v>
      </c>
    </row>
    <row r="24" spans="1:33" ht="48" customHeight="1">
      <c r="A24" s="2162" t="s">
        <v>76</v>
      </c>
      <c r="B24" s="2163"/>
      <c r="C24" s="2163"/>
      <c r="D24" s="2163"/>
      <c r="E24" s="2163"/>
      <c r="F24" s="2163"/>
      <c r="G24" s="2163"/>
      <c r="H24" s="2163"/>
      <c r="I24" s="2163"/>
      <c r="J24" s="2163"/>
      <c r="K24" s="2163"/>
      <c r="L24" s="2163"/>
      <c r="M24" s="2164"/>
      <c r="N24" s="2164"/>
      <c r="O24" s="2164"/>
      <c r="P24" s="2164"/>
      <c r="Q24" s="2163"/>
      <c r="R24" s="2163"/>
      <c r="S24" s="2163"/>
      <c r="T24" s="2163"/>
      <c r="U24" s="2163"/>
      <c r="V24" s="2163"/>
      <c r="W24" s="2163"/>
      <c r="X24" s="2163"/>
      <c r="Y24" s="2163"/>
      <c r="Z24" s="2163"/>
      <c r="AA24" s="2163"/>
      <c r="AB24" s="2163"/>
      <c r="AC24" s="2163"/>
      <c r="AD24" s="2163"/>
      <c r="AE24" s="2163"/>
      <c r="AF24" s="2163"/>
      <c r="AG24" s="2165"/>
    </row>
    <row r="25" spans="1:33" ht="48" customHeight="1">
      <c r="A25" s="1072" t="s">
        <v>7</v>
      </c>
      <c r="B25" s="2146" t="s">
        <v>64</v>
      </c>
      <c r="C25" s="2180"/>
      <c r="D25" s="2180"/>
      <c r="E25" s="2147"/>
      <c r="F25" s="275" t="s">
        <v>66</v>
      </c>
      <c r="G25" s="1094" t="s">
        <v>1424</v>
      </c>
      <c r="H25" s="1618" t="s">
        <v>1412</v>
      </c>
      <c r="I25" s="2171" t="s">
        <v>48</v>
      </c>
      <c r="J25" s="2171"/>
      <c r="K25" s="2171" t="s">
        <v>65</v>
      </c>
      <c r="L25" s="2172"/>
      <c r="M25" s="1025"/>
      <c r="N25" s="1026"/>
      <c r="O25" s="1026"/>
      <c r="P25" s="1027"/>
      <c r="Q25" s="2175" t="s">
        <v>48</v>
      </c>
      <c r="R25" s="2161"/>
      <c r="S25" s="2161" t="s">
        <v>65</v>
      </c>
      <c r="T25" s="2161"/>
      <c r="U25" s="1025"/>
      <c r="V25" s="1026"/>
      <c r="W25" s="1026"/>
      <c r="X25" s="1027"/>
      <c r="Y25" s="2161" t="s">
        <v>48</v>
      </c>
      <c r="Z25" s="2161"/>
      <c r="AA25" s="2161" t="s">
        <v>65</v>
      </c>
      <c r="AB25" s="2161"/>
      <c r="AC25" s="1025"/>
      <c r="AD25" s="1026"/>
      <c r="AE25" s="1026"/>
      <c r="AF25" s="1027"/>
      <c r="AG25" s="90"/>
    </row>
    <row r="26" spans="1:33" ht="48" customHeight="1">
      <c r="A26" s="1072">
        <v>1</v>
      </c>
      <c r="B26" s="2146" t="s">
        <v>68</v>
      </c>
      <c r="C26" s="2180"/>
      <c r="D26" s="2180"/>
      <c r="E26" s="2147"/>
      <c r="F26" s="274" t="s">
        <v>214</v>
      </c>
      <c r="G26" s="1519" t="s">
        <v>1430</v>
      </c>
      <c r="H26" s="1519" t="s">
        <v>1460</v>
      </c>
      <c r="I26" s="2088">
        <f>'XM.FILE GOC'!I22</f>
        <v>0</v>
      </c>
      <c r="J26" s="2090"/>
      <c r="K26" s="2088">
        <f>'XM.FILE GOC'!L22</f>
        <v>0</v>
      </c>
      <c r="L26" s="2090"/>
      <c r="M26" s="1028"/>
      <c r="N26" s="1029"/>
      <c r="O26" s="1029"/>
      <c r="P26" s="1030"/>
      <c r="Q26" s="2088">
        <f>'XM.FILE GOC'!O22</f>
        <v>0</v>
      </c>
      <c r="R26" s="2090"/>
      <c r="S26" s="2088">
        <f>'XM.FILE GOC'!R22</f>
        <v>0</v>
      </c>
      <c r="T26" s="2090"/>
      <c r="U26" s="1028"/>
      <c r="V26" s="1029"/>
      <c r="W26" s="1029"/>
      <c r="X26" s="1030"/>
      <c r="Y26" s="2088">
        <f>'XM.FILE GOC'!U22</f>
        <v>0</v>
      </c>
      <c r="Z26" s="2090"/>
      <c r="AA26" s="2088">
        <f>'XM.FILE GOC'!X22</f>
        <v>0</v>
      </c>
      <c r="AB26" s="2090"/>
      <c r="AC26" s="1028"/>
      <c r="AD26" s="1029"/>
      <c r="AE26" s="1029"/>
      <c r="AF26" s="1030"/>
      <c r="AG26" s="91"/>
    </row>
    <row r="27" spans="1:33" ht="48" customHeight="1">
      <c r="A27" s="1072">
        <v>2</v>
      </c>
      <c r="B27" s="2146" t="s">
        <v>69</v>
      </c>
      <c r="C27" s="2180" t="s">
        <v>69</v>
      </c>
      <c r="D27" s="2180" t="s">
        <v>69</v>
      </c>
      <c r="E27" s="2147" t="s">
        <v>69</v>
      </c>
      <c r="F27" s="274" t="s">
        <v>214</v>
      </c>
      <c r="G27" s="1519" t="s">
        <v>1430</v>
      </c>
      <c r="H27" s="1519" t="s">
        <v>1460</v>
      </c>
      <c r="I27" s="2088">
        <f>'XM.FILE GOC'!I23</f>
        <v>0</v>
      </c>
      <c r="J27" s="2090"/>
      <c r="K27" s="2088">
        <f>'XM.FILE GOC'!L23</f>
        <v>0</v>
      </c>
      <c r="L27" s="2090"/>
      <c r="M27" s="1028"/>
      <c r="N27" s="1029"/>
      <c r="O27" s="1029"/>
      <c r="P27" s="1030"/>
      <c r="Q27" s="2088">
        <f>'XM.FILE GOC'!O23</f>
        <v>0</v>
      </c>
      <c r="R27" s="2090"/>
      <c r="S27" s="2088">
        <f>'XM.FILE GOC'!R23</f>
        <v>0</v>
      </c>
      <c r="T27" s="2090"/>
      <c r="U27" s="1028"/>
      <c r="V27" s="1029"/>
      <c r="W27" s="1029"/>
      <c r="X27" s="1030"/>
      <c r="Y27" s="2088">
        <f>'XM.FILE GOC'!U23</f>
        <v>0</v>
      </c>
      <c r="Z27" s="2090"/>
      <c r="AA27" s="2088">
        <f>'XM.FILE GOC'!X23</f>
        <v>0</v>
      </c>
      <c r="AB27" s="2090"/>
      <c r="AC27" s="1028"/>
      <c r="AD27" s="1029"/>
      <c r="AE27" s="1029"/>
      <c r="AF27" s="1030"/>
      <c r="AG27" s="91"/>
    </row>
    <row r="28" spans="1:33" ht="48" customHeight="1">
      <c r="A28" s="1072">
        <v>3</v>
      </c>
      <c r="B28" s="2146" t="s">
        <v>71</v>
      </c>
      <c r="C28" s="2180" t="s">
        <v>71</v>
      </c>
      <c r="D28" s="2180" t="s">
        <v>71</v>
      </c>
      <c r="E28" s="2147" t="s">
        <v>71</v>
      </c>
      <c r="F28" s="274" t="s">
        <v>214</v>
      </c>
      <c r="G28" s="1000" t="str">
        <f>'XM.FILE GOC'!$E$24</f>
        <v>50~60</v>
      </c>
      <c r="H28" s="1000" t="str">
        <f>'XM.FILE GOC'!$F$24</f>
        <v>(55±3)</v>
      </c>
      <c r="I28" s="2088">
        <f>'XM.FILE GOC'!I24</f>
        <v>0</v>
      </c>
      <c r="J28" s="2089"/>
      <c r="K28" s="2088">
        <f>'XM.FILE GOC'!L24</f>
        <v>0</v>
      </c>
      <c r="L28" s="2089"/>
      <c r="M28" s="1028"/>
      <c r="N28" s="1029"/>
      <c r="O28" s="1029"/>
      <c r="P28" s="1030"/>
      <c r="Q28" s="2088">
        <f>'XM.FILE GOC'!O24</f>
        <v>0</v>
      </c>
      <c r="R28" s="2089"/>
      <c r="S28" s="2088">
        <f>'XM.FILE GOC'!R24</f>
        <v>0</v>
      </c>
      <c r="T28" s="2089"/>
      <c r="U28" s="1028"/>
      <c r="V28" s="1029"/>
      <c r="W28" s="1029"/>
      <c r="X28" s="1030"/>
      <c r="Y28" s="2088">
        <f>'XM.FILE GOC'!U24</f>
        <v>0</v>
      </c>
      <c r="Z28" s="2089"/>
      <c r="AA28" s="2088">
        <f>'XM.FILE GOC'!X24</f>
        <v>0</v>
      </c>
      <c r="AB28" s="2089"/>
      <c r="AC28" s="1028"/>
      <c r="AD28" s="1029"/>
      <c r="AE28" s="1029"/>
      <c r="AF28" s="1030"/>
      <c r="AG28" s="91"/>
    </row>
    <row r="29" spans="1:33" ht="48" customHeight="1">
      <c r="A29" s="1072">
        <v>4</v>
      </c>
      <c r="B29" s="2146" t="s">
        <v>70</v>
      </c>
      <c r="C29" s="2180" t="s">
        <v>70</v>
      </c>
      <c r="D29" s="2180" t="s">
        <v>70</v>
      </c>
      <c r="E29" s="2147" t="s">
        <v>70</v>
      </c>
      <c r="F29" s="274" t="s">
        <v>214</v>
      </c>
      <c r="G29" s="1000" t="str">
        <f>'XM.FILE GOC'!$E$25</f>
        <v>50~60</v>
      </c>
      <c r="H29" s="1000" t="str">
        <f>'XM.FILE GOC'!$F$25</f>
        <v>(55±3)</v>
      </c>
      <c r="I29" s="2088">
        <f>'XM.FILE GOC'!I25</f>
        <v>0</v>
      </c>
      <c r="J29" s="2089"/>
      <c r="K29" s="2088">
        <f>'XM.FILE GOC'!L25</f>
        <v>0</v>
      </c>
      <c r="L29" s="2089"/>
      <c r="M29" s="1028"/>
      <c r="N29" s="1029"/>
      <c r="O29" s="1029"/>
      <c r="P29" s="1030"/>
      <c r="Q29" s="2088">
        <f>'XM.FILE GOC'!O25</f>
        <v>0</v>
      </c>
      <c r="R29" s="2089"/>
      <c r="S29" s="2088">
        <f>'XM.FILE GOC'!R25</f>
        <v>0</v>
      </c>
      <c r="T29" s="2089"/>
      <c r="U29" s="1028"/>
      <c r="V29" s="1029"/>
      <c r="W29" s="1029"/>
      <c r="X29" s="1030"/>
      <c r="Y29" s="2088">
        <f>'XM.FILE GOC'!U25</f>
        <v>0</v>
      </c>
      <c r="Z29" s="2089"/>
      <c r="AA29" s="2088">
        <f>'XM.FILE GOC'!X25</f>
        <v>0</v>
      </c>
      <c r="AB29" s="2089"/>
      <c r="AC29" s="1028"/>
      <c r="AD29" s="1029"/>
      <c r="AE29" s="1029"/>
      <c r="AF29" s="1030"/>
      <c r="AG29" s="91"/>
    </row>
    <row r="30" spans="1:33" ht="48" customHeight="1">
      <c r="A30" s="1072">
        <v>5</v>
      </c>
      <c r="B30" s="2146" t="s">
        <v>72</v>
      </c>
      <c r="C30" s="2180" t="s">
        <v>72</v>
      </c>
      <c r="D30" s="2180" t="s">
        <v>72</v>
      </c>
      <c r="E30" s="2147" t="s">
        <v>72</v>
      </c>
      <c r="F30" s="274" t="s">
        <v>214</v>
      </c>
      <c r="G30" s="1519" t="s">
        <v>1439</v>
      </c>
      <c r="H30" s="1519" t="s">
        <v>1461</v>
      </c>
      <c r="I30" s="2088">
        <f>'XM.FILE GOC'!I26</f>
        <v>0</v>
      </c>
      <c r="J30" s="2090"/>
      <c r="K30" s="2088">
        <f>'XM.FILE GOC'!L26</f>
        <v>0</v>
      </c>
      <c r="L30" s="2090"/>
      <c r="M30" s="1028"/>
      <c r="N30" s="1029"/>
      <c r="O30" s="1029"/>
      <c r="P30" s="1030"/>
      <c r="Q30" s="2088">
        <f>'XM.FILE GOC'!O26</f>
        <v>0</v>
      </c>
      <c r="R30" s="2090"/>
      <c r="S30" s="2088">
        <f>'XM.FILE GOC'!R26</f>
        <v>0</v>
      </c>
      <c r="T30" s="2090"/>
      <c r="U30" s="1028"/>
      <c r="V30" s="1029"/>
      <c r="W30" s="1029"/>
      <c r="X30" s="1030"/>
      <c r="Y30" s="2088">
        <f>'XM.FILE GOC'!U26</f>
        <v>0</v>
      </c>
      <c r="Z30" s="2090"/>
      <c r="AA30" s="2088">
        <f>'XM.FILE GOC'!X26</f>
        <v>0</v>
      </c>
      <c r="AB30" s="2090"/>
      <c r="AC30" s="1028"/>
      <c r="AD30" s="1029"/>
      <c r="AE30" s="1029"/>
      <c r="AF30" s="1030"/>
      <c r="AG30" s="91"/>
    </row>
    <row r="31" spans="1:33" ht="48" customHeight="1">
      <c r="A31" s="1072">
        <v>6</v>
      </c>
      <c r="B31" s="2146" t="s">
        <v>1002</v>
      </c>
      <c r="C31" s="2180" t="s">
        <v>1002</v>
      </c>
      <c r="D31" s="2180" t="s">
        <v>1002</v>
      </c>
      <c r="E31" s="2147" t="s">
        <v>1002</v>
      </c>
      <c r="F31" s="274" t="s">
        <v>214</v>
      </c>
      <c r="G31" s="1000" t="str">
        <f>'XM.FILE GOC'!$E$27</f>
        <v>35-45</v>
      </c>
      <c r="H31" s="1000" t="str">
        <f>'XM.FILE GOC'!$F$27</f>
        <v>(40±3)</v>
      </c>
      <c r="I31" s="2088">
        <f>'XM.FILE GOC'!I27</f>
        <v>0</v>
      </c>
      <c r="J31" s="2089"/>
      <c r="K31" s="2088">
        <f>'XM.FILE GOC'!L27</f>
        <v>0</v>
      </c>
      <c r="L31" s="2089"/>
      <c r="M31" s="1028"/>
      <c r="N31" s="1029"/>
      <c r="O31" s="1029"/>
      <c r="P31" s="1030"/>
      <c r="Q31" s="2088">
        <f>'XM.FILE GOC'!O27</f>
        <v>0</v>
      </c>
      <c r="R31" s="2089"/>
      <c r="S31" s="2088">
        <f>'XM.FILE GOC'!R27</f>
        <v>0</v>
      </c>
      <c r="T31" s="2089"/>
      <c r="U31" s="1028"/>
      <c r="V31" s="1029"/>
      <c r="W31" s="1029"/>
      <c r="X31" s="1030"/>
      <c r="Y31" s="2088">
        <f>'XM.FILE GOC'!U27</f>
        <v>0</v>
      </c>
      <c r="Z31" s="2089"/>
      <c r="AA31" s="2088">
        <f>'XM.FILE GOC'!X27</f>
        <v>0</v>
      </c>
      <c r="AB31" s="2089"/>
      <c r="AC31" s="1028"/>
      <c r="AD31" s="1029"/>
      <c r="AE31" s="1029"/>
      <c r="AF31" s="1030"/>
      <c r="AG31" s="91"/>
    </row>
    <row r="32" spans="1:33" ht="48" customHeight="1">
      <c r="A32" s="1072">
        <v>7</v>
      </c>
      <c r="B32" s="2146" t="s">
        <v>73</v>
      </c>
      <c r="C32" s="2180" t="s">
        <v>73</v>
      </c>
      <c r="D32" s="2180" t="s">
        <v>73</v>
      </c>
      <c r="E32" s="2147" t="s">
        <v>73</v>
      </c>
      <c r="F32" s="274" t="s">
        <v>214</v>
      </c>
      <c r="G32" s="1519" t="s">
        <v>1411</v>
      </c>
      <c r="H32" s="1519" t="s">
        <v>1462</v>
      </c>
      <c r="I32" s="2088">
        <f>'XM.FILE GOC'!I28</f>
        <v>0</v>
      </c>
      <c r="J32" s="2090"/>
      <c r="K32" s="2088">
        <f>'XM.FILE GOC'!L28</f>
        <v>0</v>
      </c>
      <c r="L32" s="2090"/>
      <c r="M32" s="1028"/>
      <c r="N32" s="1029"/>
      <c r="O32" s="1029"/>
      <c r="P32" s="1030"/>
      <c r="Q32" s="2088">
        <f>'XM.FILE GOC'!O28</f>
        <v>0</v>
      </c>
      <c r="R32" s="2090"/>
      <c r="S32" s="2088">
        <f>'XM.FILE GOC'!R28</f>
        <v>0</v>
      </c>
      <c r="T32" s="2090"/>
      <c r="U32" s="1028"/>
      <c r="V32" s="1029"/>
      <c r="W32" s="1029"/>
      <c r="X32" s="1030"/>
      <c r="Y32" s="2088">
        <f>'XM.FILE GOC'!U28</f>
        <v>0</v>
      </c>
      <c r="Z32" s="2090"/>
      <c r="AA32" s="2088">
        <f>'XM.FILE GOC'!X28</f>
        <v>0</v>
      </c>
      <c r="AB32" s="2090"/>
      <c r="AC32" s="1028"/>
      <c r="AD32" s="1029"/>
      <c r="AE32" s="1029"/>
      <c r="AF32" s="1030"/>
      <c r="AG32" s="91"/>
    </row>
    <row r="33" spans="1:33" ht="48" customHeight="1">
      <c r="A33" s="1072">
        <v>8</v>
      </c>
      <c r="B33" s="2193" t="s">
        <v>74</v>
      </c>
      <c r="C33" s="2194" t="s">
        <v>74</v>
      </c>
      <c r="D33" s="2194" t="s">
        <v>74</v>
      </c>
      <c r="E33" s="2195" t="s">
        <v>74</v>
      </c>
      <c r="F33" s="274" t="s">
        <v>214</v>
      </c>
      <c r="G33" s="1000" t="str">
        <f>'XM.FILE GOC'!$E$29</f>
        <v>65~75</v>
      </c>
      <c r="H33" s="1000" t="str">
        <f>'XM.FILE GOC'!$F$29</f>
        <v>(70±3)</v>
      </c>
      <c r="I33" s="2171" t="str">
        <f>'XM.FILE GOC'!I29</f>
        <v>\</v>
      </c>
      <c r="J33" s="2171"/>
      <c r="K33" s="2088">
        <f>'XM.FILE GOC'!L29</f>
        <v>0</v>
      </c>
      <c r="L33" s="2089"/>
      <c r="M33" s="1031"/>
      <c r="N33" s="1032"/>
      <c r="O33" s="1032"/>
      <c r="P33" s="1033"/>
      <c r="Q33" s="2175" t="str">
        <f>'XM.FILE GOC'!O29</f>
        <v>\</v>
      </c>
      <c r="R33" s="2161"/>
      <c r="S33" s="2088">
        <f>'XM.FILE GOC'!R29</f>
        <v>0</v>
      </c>
      <c r="T33" s="2089"/>
      <c r="U33" s="1031"/>
      <c r="V33" s="1032"/>
      <c r="W33" s="1032"/>
      <c r="X33" s="1033"/>
      <c r="Y33" s="2161" t="str">
        <f>'XM.FILE GOC'!U29</f>
        <v>\</v>
      </c>
      <c r="Z33" s="2161"/>
      <c r="AA33" s="2088">
        <f>'XM.FILE GOC'!X29</f>
        <v>0</v>
      </c>
      <c r="AB33" s="2089"/>
      <c r="AC33" s="1031"/>
      <c r="AD33" s="1032"/>
      <c r="AE33" s="1032"/>
      <c r="AF33" s="1033"/>
      <c r="AG33" s="91"/>
    </row>
    <row r="34" spans="1:33" ht="52.5" customHeight="1">
      <c r="A34" s="2162" t="s">
        <v>215</v>
      </c>
      <c r="B34" s="2163"/>
      <c r="C34" s="2163"/>
      <c r="D34" s="2163"/>
      <c r="E34" s="2163"/>
      <c r="F34" s="2163"/>
      <c r="G34" s="2163"/>
      <c r="H34" s="2163"/>
      <c r="I34" s="2163"/>
      <c r="J34" s="2163"/>
      <c r="K34" s="2163"/>
      <c r="L34" s="2163"/>
      <c r="M34" s="2179"/>
      <c r="N34" s="2179"/>
      <c r="O34" s="2179"/>
      <c r="P34" s="2179"/>
      <c r="Q34" s="2163"/>
      <c r="R34" s="2163"/>
      <c r="S34" s="2163"/>
      <c r="T34" s="2163"/>
      <c r="U34" s="2163"/>
      <c r="V34" s="2163"/>
      <c r="W34" s="2163"/>
      <c r="X34" s="2163"/>
      <c r="Y34" s="2163"/>
      <c r="Z34" s="2163"/>
      <c r="AA34" s="2163"/>
      <c r="AB34" s="2163"/>
      <c r="AC34" s="2163"/>
      <c r="AD34" s="2163"/>
      <c r="AE34" s="2163"/>
      <c r="AF34" s="2163"/>
      <c r="AG34" s="2165"/>
    </row>
    <row r="35" spans="1:33" ht="52.5" customHeight="1">
      <c r="A35" s="1072" t="s">
        <v>7</v>
      </c>
      <c r="B35" s="2146" t="s">
        <v>100</v>
      </c>
      <c r="C35" s="2180"/>
      <c r="D35" s="2180"/>
      <c r="E35" s="2147"/>
      <c r="F35" s="642" t="s">
        <v>101</v>
      </c>
      <c r="G35" s="1094" t="s">
        <v>1424</v>
      </c>
      <c r="H35" s="1618" t="s">
        <v>1412</v>
      </c>
      <c r="I35" s="2172" t="s">
        <v>119</v>
      </c>
      <c r="J35" s="2178"/>
      <c r="K35" s="2178"/>
      <c r="L35" s="2178"/>
      <c r="M35" s="1025"/>
      <c r="N35" s="1026"/>
      <c r="O35" s="1026"/>
      <c r="P35" s="1027"/>
      <c r="Q35" s="2176" t="s">
        <v>119</v>
      </c>
      <c r="R35" s="2176"/>
      <c r="S35" s="2176"/>
      <c r="T35" s="2175"/>
      <c r="U35" s="1025"/>
      <c r="V35" s="1026"/>
      <c r="W35" s="1026"/>
      <c r="X35" s="1027"/>
      <c r="Y35" s="2177" t="s">
        <v>119</v>
      </c>
      <c r="Z35" s="2176"/>
      <c r="AA35" s="2176"/>
      <c r="AB35" s="2175"/>
      <c r="AC35" s="1025"/>
      <c r="AD35" s="1026"/>
      <c r="AE35" s="1026"/>
      <c r="AF35" s="1027"/>
      <c r="AG35" s="90"/>
    </row>
    <row r="36" spans="1:33" ht="56.25" customHeight="1">
      <c r="A36" s="1072">
        <v>1</v>
      </c>
      <c r="B36" s="2146" t="s">
        <v>54</v>
      </c>
      <c r="C36" s="2180"/>
      <c r="D36" s="2180"/>
      <c r="E36" s="2147"/>
      <c r="F36" s="1074" t="s">
        <v>51</v>
      </c>
      <c r="G36" s="1000" t="str">
        <f>'XM.FILE GOC'!$E$31</f>
        <v>300-360</v>
      </c>
      <c r="H36" s="1000" t="str">
        <f>'XM.FILE GOC'!$F$31</f>
        <v>300-360</v>
      </c>
      <c r="I36" s="2094">
        <f>'XM.FILE GOC'!I31</f>
        <v>0</v>
      </c>
      <c r="J36" s="2094"/>
      <c r="K36" s="2094"/>
      <c r="L36" s="2091"/>
      <c r="M36" s="1034"/>
      <c r="N36" s="1007"/>
      <c r="O36" s="1007"/>
      <c r="P36" s="1035"/>
      <c r="Q36" s="2184">
        <f>'XM.FILE GOC'!O31</f>
        <v>0</v>
      </c>
      <c r="R36" s="2185"/>
      <c r="S36" s="2185"/>
      <c r="T36" s="2185"/>
      <c r="U36" s="1034"/>
      <c r="V36" s="1007"/>
      <c r="W36" s="1007"/>
      <c r="X36" s="1035"/>
      <c r="Y36" s="2185">
        <f>'XM.FILE GOC'!U31</f>
        <v>0</v>
      </c>
      <c r="Z36" s="2185"/>
      <c r="AA36" s="2185"/>
      <c r="AB36" s="2185"/>
      <c r="AC36" s="1034"/>
      <c r="AD36" s="1007"/>
      <c r="AE36" s="1007"/>
      <c r="AF36" s="1035"/>
      <c r="AG36" s="91"/>
    </row>
    <row r="37" spans="1:33" ht="56.25" customHeight="1">
      <c r="A37" s="1072">
        <v>2</v>
      </c>
      <c r="B37" s="2146" t="s">
        <v>94</v>
      </c>
      <c r="C37" s="2180"/>
      <c r="D37" s="2180"/>
      <c r="E37" s="2147"/>
      <c r="F37" s="1074" t="s">
        <v>51</v>
      </c>
      <c r="G37" s="1000" t="str">
        <f>'XM.FILE GOC'!$E$32</f>
        <v>30-50</v>
      </c>
      <c r="H37" s="1000" t="str">
        <f>'XM.FILE GOC'!$F$32</f>
        <v>30-50</v>
      </c>
      <c r="I37" s="2094">
        <f>'XM.FILE GOC'!I32</f>
        <v>0</v>
      </c>
      <c r="J37" s="2094"/>
      <c r="K37" s="2094"/>
      <c r="L37" s="2091"/>
      <c r="M37" s="1036"/>
      <c r="N37" s="1037"/>
      <c r="O37" s="1037"/>
      <c r="P37" s="1038"/>
      <c r="Q37" s="2184">
        <f>'XM.FILE GOC'!O32</f>
        <v>0</v>
      </c>
      <c r="R37" s="2185"/>
      <c r="S37" s="2185"/>
      <c r="T37" s="2185"/>
      <c r="U37" s="1036"/>
      <c r="V37" s="1037"/>
      <c r="W37" s="1037"/>
      <c r="X37" s="1038"/>
      <c r="Y37" s="2185">
        <f>'XM.FILE GOC'!U32</f>
        <v>0</v>
      </c>
      <c r="Z37" s="2185"/>
      <c r="AA37" s="2185"/>
      <c r="AB37" s="2185"/>
      <c r="AC37" s="1036"/>
      <c r="AD37" s="1037"/>
      <c r="AE37" s="1037"/>
      <c r="AF37" s="1038"/>
      <c r="AG37" s="91"/>
    </row>
    <row r="38" spans="1:33" ht="20.25" customHeight="1">
      <c r="A38" s="1075"/>
      <c r="B38" s="1076"/>
      <c r="C38" s="1076"/>
      <c r="D38" s="1076"/>
      <c r="E38" s="1076"/>
      <c r="F38" s="1070"/>
      <c r="G38" s="1070"/>
      <c r="H38" s="1070"/>
      <c r="I38" s="1070"/>
      <c r="J38" s="1002"/>
      <c r="K38" s="1002"/>
      <c r="L38" s="1002"/>
      <c r="M38" s="1039"/>
      <c r="N38" s="1039"/>
      <c r="O38" s="1039"/>
      <c r="P38" s="1039"/>
      <c r="Q38" s="1070"/>
      <c r="R38" s="1070"/>
      <c r="S38" s="1070"/>
      <c r="T38" s="1070"/>
      <c r="U38" s="1039"/>
      <c r="V38" s="1039"/>
      <c r="W38" s="1039"/>
      <c r="X38" s="1039"/>
      <c r="Y38" s="1070"/>
      <c r="Z38" s="1070"/>
      <c r="AA38" s="1070"/>
      <c r="AB38" s="1070"/>
      <c r="AC38" s="1039"/>
      <c r="AD38" s="1039"/>
      <c r="AE38" s="1039"/>
      <c r="AF38" s="1039"/>
      <c r="AG38" s="1002"/>
    </row>
    <row r="39" spans="1:33" ht="40.5" customHeight="1">
      <c r="A39" s="2127" t="s">
        <v>146</v>
      </c>
      <c r="B39" s="2127"/>
      <c r="C39" s="2127"/>
      <c r="D39" s="2127"/>
      <c r="E39" s="2127"/>
      <c r="F39" s="2127"/>
      <c r="G39" s="2127"/>
      <c r="H39" s="2127"/>
      <c r="I39" s="2127"/>
      <c r="J39" s="2127"/>
      <c r="K39" s="2127"/>
      <c r="L39" s="2127"/>
      <c r="M39" s="2127"/>
      <c r="N39" s="2127"/>
      <c r="O39" s="2127"/>
      <c r="P39" s="2127"/>
      <c r="Q39" s="2127"/>
      <c r="R39" s="2127"/>
      <c r="S39" s="2127"/>
      <c r="T39" s="2127"/>
      <c r="U39" s="2127"/>
      <c r="V39" s="2127"/>
      <c r="W39" s="2127"/>
      <c r="X39" s="2127"/>
      <c r="Y39" s="2127"/>
      <c r="Z39" s="2127"/>
      <c r="AA39" s="93"/>
      <c r="AB39" s="93"/>
      <c r="AC39" s="1041"/>
      <c r="AD39" s="1041"/>
      <c r="AE39" s="1041"/>
      <c r="AF39" s="1041"/>
      <c r="AG39" s="1005"/>
    </row>
    <row r="40" spans="1:33" ht="60.75" customHeight="1">
      <c r="A40" s="2186" t="s">
        <v>238</v>
      </c>
      <c r="B40" s="2186"/>
      <c r="C40" s="2186"/>
      <c r="D40" s="2186"/>
      <c r="E40" s="2186"/>
      <c r="F40" s="2186"/>
      <c r="G40" s="2186"/>
      <c r="H40" s="2186"/>
      <c r="I40" s="2186"/>
      <c r="J40" s="2186"/>
      <c r="K40" s="2186"/>
      <c r="L40" s="2186"/>
      <c r="M40" s="2186"/>
      <c r="N40" s="2186"/>
      <c r="O40" s="2186"/>
      <c r="P40" s="2186"/>
      <c r="Q40" s="2186"/>
      <c r="R40" s="2186"/>
      <c r="S40" s="2186"/>
      <c r="T40" s="2186"/>
      <c r="U40" s="2186"/>
      <c r="V40" s="2186"/>
      <c r="W40" s="2186"/>
      <c r="X40" s="2186"/>
      <c r="Y40" s="2186"/>
      <c r="Z40" s="2186"/>
      <c r="AA40" s="2186"/>
      <c r="AB40" s="2186"/>
      <c r="AC40" s="2187"/>
      <c r="AD40" s="2188" t="s">
        <v>96</v>
      </c>
      <c r="AE40" s="2188"/>
      <c r="AF40" s="2162" t="s">
        <v>97</v>
      </c>
      <c r="AG40" s="2165"/>
    </row>
    <row r="41" spans="1:33" ht="45" customHeight="1">
      <c r="B41" s="2154" t="s">
        <v>232</v>
      </c>
      <c r="C41" s="2154"/>
      <c r="D41" s="2154"/>
      <c r="E41" s="2154"/>
      <c r="F41" s="1637"/>
      <c r="G41" s="1638"/>
      <c r="H41" s="1639"/>
      <c r="I41" s="2189" t="str">
        <f>I3</f>
        <v>2023/03/21</v>
      </c>
      <c r="J41" s="2190"/>
      <c r="K41" s="2190"/>
      <c r="L41" s="2190"/>
      <c r="M41" s="1008"/>
      <c r="N41" s="1008"/>
      <c r="O41" s="1008"/>
      <c r="P41" s="1008"/>
      <c r="Q41" s="1061"/>
      <c r="R41" s="1061"/>
      <c r="S41" s="1061"/>
      <c r="T41" s="1061"/>
      <c r="U41" s="1008"/>
      <c r="V41" s="1008"/>
      <c r="W41" s="1008"/>
      <c r="X41" s="1008"/>
      <c r="Y41" s="1061"/>
      <c r="Z41" s="1061"/>
      <c r="AD41" s="2196" t="str">
        <f>MENU!AD7</f>
        <v>L.Yen</v>
      </c>
      <c r="AE41" s="2196"/>
      <c r="AF41" s="2197" t="s">
        <v>11</v>
      </c>
      <c r="AG41" s="2198"/>
    </row>
    <row r="42" spans="1:33" s="16" customFormat="1" ht="45" customHeight="1">
      <c r="A42" s="2123" t="s">
        <v>7</v>
      </c>
      <c r="B42" s="2148" t="s">
        <v>79</v>
      </c>
      <c r="C42" s="2149"/>
      <c r="D42" s="2149"/>
      <c r="E42" s="2150"/>
      <c r="F42" s="2191" t="s">
        <v>136</v>
      </c>
      <c r="G42" s="2125" t="s">
        <v>1424</v>
      </c>
      <c r="H42" s="2173" t="s">
        <v>1412</v>
      </c>
      <c r="I42" s="2128">
        <v>0.76041666666666663</v>
      </c>
      <c r="J42" s="2129"/>
      <c r="K42" s="2129"/>
      <c r="L42" s="2130"/>
      <c r="M42" s="2155" t="s">
        <v>995</v>
      </c>
      <c r="N42" s="2156"/>
      <c r="O42" s="2156"/>
      <c r="P42" s="2157"/>
      <c r="Q42" s="2131">
        <v>0.92708333333333337</v>
      </c>
      <c r="R42" s="2132"/>
      <c r="S42" s="2132"/>
      <c r="T42" s="2133"/>
      <c r="U42" s="2155" t="s">
        <v>995</v>
      </c>
      <c r="V42" s="2156"/>
      <c r="W42" s="2156"/>
      <c r="X42" s="2157"/>
      <c r="Y42" s="2131">
        <v>9.375E-2</v>
      </c>
      <c r="Z42" s="2132"/>
      <c r="AA42" s="2132"/>
      <c r="AB42" s="2133"/>
      <c r="AC42" s="2155" t="s">
        <v>998</v>
      </c>
      <c r="AD42" s="2156"/>
      <c r="AE42" s="2156"/>
      <c r="AF42" s="2157"/>
      <c r="AG42" s="92" t="s">
        <v>98</v>
      </c>
    </row>
    <row r="43" spans="1:33" s="16" customFormat="1" ht="45" customHeight="1">
      <c r="A43" s="2124"/>
      <c r="B43" s="2151"/>
      <c r="C43" s="2152"/>
      <c r="D43" s="2152"/>
      <c r="E43" s="2153"/>
      <c r="F43" s="2192"/>
      <c r="G43" s="2126"/>
      <c r="H43" s="2174"/>
      <c r="I43" s="1062" t="s">
        <v>145</v>
      </c>
      <c r="J43" s="2134" t="s">
        <v>1</v>
      </c>
      <c r="K43" s="2135"/>
      <c r="L43" s="2136"/>
      <c r="M43" s="1009" t="s">
        <v>996</v>
      </c>
      <c r="N43" s="2158" t="s">
        <v>1</v>
      </c>
      <c r="O43" s="2158"/>
      <c r="P43" s="2159"/>
      <c r="Q43" s="1062" t="s">
        <v>145</v>
      </c>
      <c r="R43" s="2137" t="s">
        <v>1</v>
      </c>
      <c r="S43" s="2138"/>
      <c r="T43" s="2139"/>
      <c r="U43" s="1009" t="s">
        <v>996</v>
      </c>
      <c r="V43" s="2158" t="s">
        <v>1</v>
      </c>
      <c r="W43" s="2158"/>
      <c r="X43" s="2159"/>
      <c r="Y43" s="1062" t="s">
        <v>145</v>
      </c>
      <c r="Z43" s="2137" t="s">
        <v>1</v>
      </c>
      <c r="AA43" s="2138"/>
      <c r="AB43" s="2139"/>
      <c r="AC43" s="1009" t="s">
        <v>999</v>
      </c>
      <c r="AD43" s="2158" t="s">
        <v>1</v>
      </c>
      <c r="AE43" s="2158"/>
      <c r="AF43" s="2159"/>
      <c r="AG43" s="4" t="s">
        <v>99</v>
      </c>
    </row>
    <row r="44" spans="1:33" ht="48" customHeight="1">
      <c r="A44" s="2123">
        <v>1</v>
      </c>
      <c r="B44" s="2148" t="s">
        <v>147</v>
      </c>
      <c r="C44" s="2166"/>
      <c r="D44" s="2144" t="s">
        <v>108</v>
      </c>
      <c r="E44" s="2145"/>
      <c r="F44" s="54" t="s">
        <v>4</v>
      </c>
      <c r="G44" s="1000" t="str">
        <f>'XM.FILE GOC'!$E$6</f>
        <v>25~35</v>
      </c>
      <c r="H44" s="1000" t="str">
        <f>'XM.FILE GOC'!$F$6</f>
        <v>(30±2)</v>
      </c>
      <c r="I44" s="333">
        <f>'XM.FILE GOC'!AA6</f>
        <v>0</v>
      </c>
      <c r="J44" s="17" t="s">
        <v>8</v>
      </c>
      <c r="K44" s="27">
        <f>'XM.FILE GOC'!AD6</f>
        <v>80.790000000000006</v>
      </c>
      <c r="L44" s="18" t="s">
        <v>9</v>
      </c>
      <c r="M44" s="1010"/>
      <c r="N44" s="1011" t="s">
        <v>8</v>
      </c>
      <c r="O44" s="1012">
        <f>('XM.FILE GOC'!$G$6-M44)*2693/1000</f>
        <v>80.790000000000006</v>
      </c>
      <c r="P44" s="1013" t="s">
        <v>9</v>
      </c>
      <c r="Q44" s="333">
        <f>'XM.FILE GOC'!AG6</f>
        <v>0</v>
      </c>
      <c r="R44" s="1063" t="s">
        <v>8</v>
      </c>
      <c r="S44" s="1064">
        <f>'XM.FILE GOC'!AJ6</f>
        <v>80.790000000000006</v>
      </c>
      <c r="T44" s="1065" t="s">
        <v>9</v>
      </c>
      <c r="U44" s="1010"/>
      <c r="V44" s="1011" t="s">
        <v>8</v>
      </c>
      <c r="W44" s="1012">
        <f>('XM.FILE GOC'!$G$6-U44)*2693/1000</f>
        <v>80.790000000000006</v>
      </c>
      <c r="X44" s="1013" t="s">
        <v>9</v>
      </c>
      <c r="Y44" s="333">
        <f>'XM.FILE GOC'!AM6</f>
        <v>0</v>
      </c>
      <c r="Z44" s="1063" t="s">
        <v>8</v>
      </c>
      <c r="AA44" s="1064">
        <f>'XM.FILE GOC'!AP6</f>
        <v>80.790000000000006</v>
      </c>
      <c r="AB44" s="1065" t="s">
        <v>9</v>
      </c>
      <c r="AC44" s="1010"/>
      <c r="AD44" s="1011" t="s">
        <v>8</v>
      </c>
      <c r="AE44" s="1012">
        <f>('XM.FILE GOC'!$G$6-AC44)*2693/1000</f>
        <v>80.790000000000006</v>
      </c>
      <c r="AF44" s="1013" t="s">
        <v>9</v>
      </c>
      <c r="AG44" s="91" t="s">
        <v>42</v>
      </c>
    </row>
    <row r="45" spans="1:33" ht="48" customHeight="1">
      <c r="A45" s="2160"/>
      <c r="B45" s="2167"/>
      <c r="C45" s="2168"/>
      <c r="D45" s="2146" t="s">
        <v>109</v>
      </c>
      <c r="E45" s="2147"/>
      <c r="F45" s="54" t="s">
        <v>58</v>
      </c>
      <c r="G45" s="1000" t="s">
        <v>110</v>
      </c>
      <c r="H45" s="1000"/>
      <c r="I45" s="333"/>
      <c r="J45" s="62" t="s">
        <v>8</v>
      </c>
      <c r="K45" s="65">
        <f>K44/25*840/1000</f>
        <v>2.7145440000000005</v>
      </c>
      <c r="L45" s="64" t="s">
        <v>10</v>
      </c>
      <c r="M45" s="1010"/>
      <c r="N45" s="1014" t="s">
        <v>8</v>
      </c>
      <c r="O45" s="1015">
        <f>O44/25*840/1000</f>
        <v>2.7145440000000005</v>
      </c>
      <c r="P45" s="1016" t="s">
        <v>10</v>
      </c>
      <c r="Q45" s="333"/>
      <c r="R45" s="66" t="s">
        <v>8</v>
      </c>
      <c r="S45" s="1066">
        <f>S44/25*840/1000</f>
        <v>2.7145440000000005</v>
      </c>
      <c r="T45" s="657" t="s">
        <v>10</v>
      </c>
      <c r="U45" s="1010"/>
      <c r="V45" s="1014" t="s">
        <v>8</v>
      </c>
      <c r="W45" s="1015">
        <f>W44/25*840/1000</f>
        <v>2.7145440000000005</v>
      </c>
      <c r="X45" s="1016" t="s">
        <v>10</v>
      </c>
      <c r="Y45" s="333"/>
      <c r="Z45" s="66" t="s">
        <v>8</v>
      </c>
      <c r="AA45" s="1066">
        <f>AA44/25*840/1000</f>
        <v>2.7145440000000005</v>
      </c>
      <c r="AB45" s="657" t="s">
        <v>10</v>
      </c>
      <c r="AC45" s="1010"/>
      <c r="AD45" s="1014" t="s">
        <v>8</v>
      </c>
      <c r="AE45" s="1015">
        <f>AE44/25*840/1000</f>
        <v>2.7145440000000005</v>
      </c>
      <c r="AF45" s="1016" t="s">
        <v>10</v>
      </c>
      <c r="AG45" s="121"/>
    </row>
    <row r="46" spans="1:33" ht="48" customHeight="1">
      <c r="A46" s="2124"/>
      <c r="B46" s="2169"/>
      <c r="C46" s="2170"/>
      <c r="D46" s="2146" t="s">
        <v>111</v>
      </c>
      <c r="E46" s="2147"/>
      <c r="F46" s="54" t="s">
        <v>58</v>
      </c>
      <c r="G46" s="1000" t="s">
        <v>110</v>
      </c>
      <c r="H46" s="1000"/>
      <c r="I46" s="333"/>
      <c r="J46" s="62" t="s">
        <v>8</v>
      </c>
      <c r="K46" s="65">
        <f>K45*10</f>
        <v>27.145440000000004</v>
      </c>
      <c r="L46" s="64" t="s">
        <v>10</v>
      </c>
      <c r="M46" s="1010"/>
      <c r="N46" s="1011" t="s">
        <v>8</v>
      </c>
      <c r="O46" s="1015">
        <f>O45*10</f>
        <v>27.145440000000004</v>
      </c>
      <c r="P46" s="1013" t="s">
        <v>10</v>
      </c>
      <c r="Q46" s="333"/>
      <c r="R46" s="66" t="s">
        <v>8</v>
      </c>
      <c r="S46" s="1066">
        <f>S45*10</f>
        <v>27.145440000000004</v>
      </c>
      <c r="T46" s="657" t="s">
        <v>10</v>
      </c>
      <c r="U46" s="1010"/>
      <c r="V46" s="1011" t="s">
        <v>8</v>
      </c>
      <c r="W46" s="1015">
        <f>W45*10</f>
        <v>27.145440000000004</v>
      </c>
      <c r="X46" s="1013" t="s">
        <v>10</v>
      </c>
      <c r="Y46" s="333"/>
      <c r="Z46" s="66" t="s">
        <v>8</v>
      </c>
      <c r="AA46" s="1066">
        <f>AA45*10</f>
        <v>27.145440000000004</v>
      </c>
      <c r="AB46" s="657" t="s">
        <v>10</v>
      </c>
      <c r="AC46" s="1010"/>
      <c r="AD46" s="1011" t="s">
        <v>8</v>
      </c>
      <c r="AE46" s="1015">
        <f>AE45*10</f>
        <v>27.145440000000004</v>
      </c>
      <c r="AF46" s="1013" t="s">
        <v>10</v>
      </c>
      <c r="AG46" s="91"/>
    </row>
    <row r="47" spans="1:33" ht="48" customHeight="1">
      <c r="A47" s="2123">
        <v>2</v>
      </c>
      <c r="B47" s="2148" t="s">
        <v>148</v>
      </c>
      <c r="C47" s="2166"/>
      <c r="D47" s="2144" t="s">
        <v>108</v>
      </c>
      <c r="E47" s="2145"/>
      <c r="F47" s="54" t="s">
        <v>4</v>
      </c>
      <c r="G47" s="1000" t="str">
        <f>'XM.FILE GOC'!$E$7</f>
        <v>25~35</v>
      </c>
      <c r="H47" s="1000" t="str">
        <f>'XM.FILE GOC'!$F$7</f>
        <v>(30±2)</v>
      </c>
      <c r="I47" s="333">
        <f>'XM.FILE GOC'!AA7</f>
        <v>0</v>
      </c>
      <c r="J47" s="17" t="s">
        <v>8</v>
      </c>
      <c r="K47" s="27">
        <f>'XM.FILE GOC'!AD7</f>
        <v>99.15</v>
      </c>
      <c r="L47" s="18" t="s">
        <v>9</v>
      </c>
      <c r="M47" s="1010"/>
      <c r="N47" s="1014" t="s">
        <v>8</v>
      </c>
      <c r="O47" s="1012">
        <f>('XM.FILE GOC'!$G$7-M47)*3305/1000</f>
        <v>99.15</v>
      </c>
      <c r="P47" s="1016" t="s">
        <v>9</v>
      </c>
      <c r="Q47" s="333">
        <f>'XM.FILE GOC'!AG7</f>
        <v>0</v>
      </c>
      <c r="R47" s="1063" t="s">
        <v>8</v>
      </c>
      <c r="S47" s="1064">
        <f>'XM.FILE GOC'!AJ7</f>
        <v>99.15</v>
      </c>
      <c r="T47" s="1065" t="s">
        <v>9</v>
      </c>
      <c r="U47" s="1010"/>
      <c r="V47" s="1014" t="s">
        <v>8</v>
      </c>
      <c r="W47" s="1012">
        <f>('XM.FILE GOC'!$G$7-U47)*3305/1000</f>
        <v>99.15</v>
      </c>
      <c r="X47" s="1016" t="s">
        <v>9</v>
      </c>
      <c r="Y47" s="333">
        <f>'XM.FILE GOC'!AM7</f>
        <v>0</v>
      </c>
      <c r="Z47" s="1063" t="s">
        <v>8</v>
      </c>
      <c r="AA47" s="1064">
        <f>'XM.FILE GOC'!AP7</f>
        <v>99.15</v>
      </c>
      <c r="AB47" s="1065" t="s">
        <v>9</v>
      </c>
      <c r="AC47" s="1010"/>
      <c r="AD47" s="1014" t="s">
        <v>8</v>
      </c>
      <c r="AE47" s="1012">
        <f>('XM.FILE GOC'!$G$7-AC47)*3305/1000</f>
        <v>99.15</v>
      </c>
      <c r="AF47" s="1016" t="s">
        <v>9</v>
      </c>
      <c r="AG47" s="91" t="s">
        <v>42</v>
      </c>
    </row>
    <row r="48" spans="1:33" ht="48" customHeight="1">
      <c r="A48" s="2160"/>
      <c r="B48" s="2167"/>
      <c r="C48" s="2168"/>
      <c r="D48" s="2146" t="s">
        <v>109</v>
      </c>
      <c r="E48" s="2147"/>
      <c r="F48" s="54" t="s">
        <v>58</v>
      </c>
      <c r="G48" s="1000" t="s">
        <v>110</v>
      </c>
      <c r="H48" s="1000"/>
      <c r="I48" s="333"/>
      <c r="J48" s="62" t="s">
        <v>8</v>
      </c>
      <c r="K48" s="65">
        <f>K47/25*840/1000</f>
        <v>3.3314400000000002</v>
      </c>
      <c r="L48" s="64" t="s">
        <v>10</v>
      </c>
      <c r="M48" s="1010"/>
      <c r="N48" s="1014" t="s">
        <v>8</v>
      </c>
      <c r="O48" s="1015">
        <f>O47/25*840/1000</f>
        <v>3.3314400000000002</v>
      </c>
      <c r="P48" s="1016" t="s">
        <v>10</v>
      </c>
      <c r="Q48" s="333"/>
      <c r="R48" s="66" t="s">
        <v>8</v>
      </c>
      <c r="S48" s="1066">
        <f>S47/25*840/1000</f>
        <v>3.3314400000000002</v>
      </c>
      <c r="T48" s="657" t="s">
        <v>10</v>
      </c>
      <c r="U48" s="1010"/>
      <c r="V48" s="1014" t="s">
        <v>8</v>
      </c>
      <c r="W48" s="1015">
        <f>W47/25*840/1000</f>
        <v>3.3314400000000002</v>
      </c>
      <c r="X48" s="1016" t="s">
        <v>10</v>
      </c>
      <c r="Y48" s="333"/>
      <c r="Z48" s="66" t="s">
        <v>8</v>
      </c>
      <c r="AA48" s="1066">
        <f>AA47/25*840/1000</f>
        <v>3.3314400000000002</v>
      </c>
      <c r="AB48" s="657" t="s">
        <v>10</v>
      </c>
      <c r="AC48" s="1010"/>
      <c r="AD48" s="1014" t="s">
        <v>8</v>
      </c>
      <c r="AE48" s="1015">
        <f>AE47/25*840/1000</f>
        <v>3.3314400000000002</v>
      </c>
      <c r="AF48" s="1016" t="s">
        <v>10</v>
      </c>
      <c r="AG48" s="121"/>
    </row>
    <row r="49" spans="1:33" ht="48" customHeight="1">
      <c r="A49" s="2124"/>
      <c r="B49" s="2169"/>
      <c r="C49" s="2170"/>
      <c r="D49" s="2146" t="s">
        <v>111</v>
      </c>
      <c r="E49" s="2147"/>
      <c r="F49" s="54" t="s">
        <v>58</v>
      </c>
      <c r="G49" s="1000" t="s">
        <v>110</v>
      </c>
      <c r="H49" s="1000"/>
      <c r="I49" s="333"/>
      <c r="J49" s="62" t="s">
        <v>8</v>
      </c>
      <c r="K49" s="65">
        <f>K48*10</f>
        <v>33.314399999999999</v>
      </c>
      <c r="L49" s="64" t="s">
        <v>10</v>
      </c>
      <c r="M49" s="1010"/>
      <c r="N49" s="1011" t="s">
        <v>8</v>
      </c>
      <c r="O49" s="1015">
        <f>O48*10</f>
        <v>33.314399999999999</v>
      </c>
      <c r="P49" s="1013" t="s">
        <v>10</v>
      </c>
      <c r="Q49" s="333"/>
      <c r="R49" s="66" t="s">
        <v>8</v>
      </c>
      <c r="S49" s="1066">
        <f>S48*10</f>
        <v>33.314399999999999</v>
      </c>
      <c r="T49" s="657" t="s">
        <v>10</v>
      </c>
      <c r="U49" s="1010"/>
      <c r="V49" s="1011" t="s">
        <v>8</v>
      </c>
      <c r="W49" s="1015">
        <f>W48*10</f>
        <v>33.314399999999999</v>
      </c>
      <c r="X49" s="1013" t="s">
        <v>10</v>
      </c>
      <c r="Y49" s="333"/>
      <c r="Z49" s="66" t="s">
        <v>8</v>
      </c>
      <c r="AA49" s="1066">
        <f>AA48*10</f>
        <v>33.314399999999999</v>
      </c>
      <c r="AB49" s="657" t="s">
        <v>10</v>
      </c>
      <c r="AC49" s="1010"/>
      <c r="AD49" s="1011" t="s">
        <v>8</v>
      </c>
      <c r="AE49" s="1015">
        <f>AE48*10</f>
        <v>33.314399999999999</v>
      </c>
      <c r="AF49" s="1013" t="s">
        <v>10</v>
      </c>
      <c r="AG49" s="91"/>
    </row>
    <row r="50" spans="1:33" ht="48" customHeight="1">
      <c r="A50" s="2123">
        <v>3</v>
      </c>
      <c r="B50" s="2142" t="s">
        <v>149</v>
      </c>
      <c r="C50" s="2143"/>
      <c r="D50" s="2144" t="s">
        <v>108</v>
      </c>
      <c r="E50" s="2145"/>
      <c r="F50" s="54" t="s">
        <v>4</v>
      </c>
      <c r="G50" s="1000" t="str">
        <f>'XM.FILE GOC'!$E$8</f>
        <v>60~80</v>
      </c>
      <c r="H50" s="1000" t="str">
        <f>'XM.FILE GOC'!$F$8</f>
        <v>(70±10)</v>
      </c>
      <c r="I50" s="333">
        <f>'XM.FILE GOC'!AA8</f>
        <v>0</v>
      </c>
      <c r="J50" s="17" t="s">
        <v>8</v>
      </c>
      <c r="K50" s="27">
        <f>'XM.FILE GOC'!AD8</f>
        <v>80.92</v>
      </c>
      <c r="L50" s="18" t="s">
        <v>9</v>
      </c>
      <c r="M50" s="1010"/>
      <c r="N50" s="1011" t="s">
        <v>8</v>
      </c>
      <c r="O50" s="1012">
        <f>('XM.FILE GOC'!$G$8-M50)*1156/1000</f>
        <v>80.92</v>
      </c>
      <c r="P50" s="1013" t="s">
        <v>9</v>
      </c>
      <c r="Q50" s="333">
        <f>'XM.FILE GOC'!AG8</f>
        <v>0</v>
      </c>
      <c r="R50" s="1063" t="s">
        <v>8</v>
      </c>
      <c r="S50" s="1064">
        <f>'XM.FILE GOC'!AJ8</f>
        <v>80.92</v>
      </c>
      <c r="T50" s="1065" t="s">
        <v>9</v>
      </c>
      <c r="U50" s="1010"/>
      <c r="V50" s="1011" t="s">
        <v>8</v>
      </c>
      <c r="W50" s="1012">
        <f>('XM.FILE GOC'!$G$8-U50)*1156/1000</f>
        <v>80.92</v>
      </c>
      <c r="X50" s="1013" t="s">
        <v>9</v>
      </c>
      <c r="Y50" s="333">
        <f>'XM.FILE GOC'!AM8</f>
        <v>0</v>
      </c>
      <c r="Z50" s="1063" t="s">
        <v>8</v>
      </c>
      <c r="AA50" s="1064">
        <f>'XM.FILE GOC'!AP8</f>
        <v>80.92</v>
      </c>
      <c r="AB50" s="1065" t="s">
        <v>9</v>
      </c>
      <c r="AC50" s="1010"/>
      <c r="AD50" s="1011" t="s">
        <v>8</v>
      </c>
      <c r="AE50" s="1012">
        <f>('XM.FILE GOC'!$G$8-AC50)*1156/1000</f>
        <v>80.92</v>
      </c>
      <c r="AF50" s="1013" t="s">
        <v>9</v>
      </c>
      <c r="AG50" s="91" t="s">
        <v>42</v>
      </c>
    </row>
    <row r="51" spans="1:33" ht="48" customHeight="1">
      <c r="A51" s="2124"/>
      <c r="B51" s="2143"/>
      <c r="C51" s="2143"/>
      <c r="D51" s="2146" t="s">
        <v>112</v>
      </c>
      <c r="E51" s="2147"/>
      <c r="F51" s="54" t="s">
        <v>58</v>
      </c>
      <c r="G51" s="1000" t="s">
        <v>110</v>
      </c>
      <c r="H51" s="1000"/>
      <c r="I51" s="333"/>
      <c r="J51" s="62" t="s">
        <v>8</v>
      </c>
      <c r="K51" s="65">
        <f>K50/25*7.5</f>
        <v>24.276</v>
      </c>
      <c r="L51" s="64" t="s">
        <v>10</v>
      </c>
      <c r="M51" s="1010"/>
      <c r="N51" s="1014" t="s">
        <v>8</v>
      </c>
      <c r="O51" s="1015">
        <f>O50/25*7.5</f>
        <v>24.276</v>
      </c>
      <c r="P51" s="1016" t="s">
        <v>10</v>
      </c>
      <c r="Q51" s="333"/>
      <c r="R51" s="66" t="s">
        <v>8</v>
      </c>
      <c r="S51" s="1066">
        <f>S50/25*7.5</f>
        <v>24.276</v>
      </c>
      <c r="T51" s="657" t="s">
        <v>10</v>
      </c>
      <c r="U51" s="1010"/>
      <c r="V51" s="1014" t="s">
        <v>8</v>
      </c>
      <c r="W51" s="1015">
        <f>W50/25*7.5</f>
        <v>24.276</v>
      </c>
      <c r="X51" s="1016" t="s">
        <v>10</v>
      </c>
      <c r="Y51" s="333"/>
      <c r="Z51" s="66" t="s">
        <v>8</v>
      </c>
      <c r="AA51" s="1066">
        <f>AA50/25*7.5</f>
        <v>24.276</v>
      </c>
      <c r="AB51" s="657" t="s">
        <v>10</v>
      </c>
      <c r="AC51" s="1010"/>
      <c r="AD51" s="1014" t="s">
        <v>8</v>
      </c>
      <c r="AE51" s="1015">
        <f>AE50/25*7.5</f>
        <v>24.276</v>
      </c>
      <c r="AF51" s="1016" t="s">
        <v>10</v>
      </c>
      <c r="AG51" s="91"/>
    </row>
    <row r="52" spans="1:33" ht="48" customHeight="1">
      <c r="A52" s="2123">
        <v>4</v>
      </c>
      <c r="B52" s="2142" t="s">
        <v>150</v>
      </c>
      <c r="C52" s="2143"/>
      <c r="D52" s="2144" t="s">
        <v>108</v>
      </c>
      <c r="E52" s="2145"/>
      <c r="F52" s="54" t="s">
        <v>4</v>
      </c>
      <c r="G52" s="1000" t="str">
        <f>'XM.FILE GOC'!$E$9</f>
        <v>60~80</v>
      </c>
      <c r="H52" s="1000" t="str">
        <f>'XM.FILE GOC'!$F$9</f>
        <v>(70±10)</v>
      </c>
      <c r="I52" s="333">
        <f>'XM.FILE GOC'!AA9</f>
        <v>0</v>
      </c>
      <c r="J52" s="17" t="s">
        <v>8</v>
      </c>
      <c r="K52" s="27">
        <f>'XM.FILE GOC'!AD9</f>
        <v>102.13</v>
      </c>
      <c r="L52" s="18" t="s">
        <v>9</v>
      </c>
      <c r="M52" s="1010"/>
      <c r="N52" s="1011" t="s">
        <v>8</v>
      </c>
      <c r="O52" s="1012">
        <f>('XM.FILE GOC'!$G$9-M52)*1459/1000</f>
        <v>102.13</v>
      </c>
      <c r="P52" s="1013" t="s">
        <v>9</v>
      </c>
      <c r="Q52" s="333">
        <f>'XM.FILE GOC'!AG9</f>
        <v>0</v>
      </c>
      <c r="R52" s="1063" t="s">
        <v>8</v>
      </c>
      <c r="S52" s="1064">
        <f>'XM.FILE GOC'!AJ9</f>
        <v>102.13</v>
      </c>
      <c r="T52" s="1065" t="s">
        <v>9</v>
      </c>
      <c r="U52" s="1010"/>
      <c r="V52" s="1011" t="s">
        <v>8</v>
      </c>
      <c r="W52" s="1012">
        <f>('XM.FILE GOC'!$G$9-U52)*1459/1000</f>
        <v>102.13</v>
      </c>
      <c r="X52" s="1013" t="s">
        <v>9</v>
      </c>
      <c r="Y52" s="333">
        <f>'XM.FILE GOC'!AM9</f>
        <v>0</v>
      </c>
      <c r="Z52" s="1063" t="s">
        <v>8</v>
      </c>
      <c r="AA52" s="1064">
        <f>'XM.FILE GOC'!AP9</f>
        <v>102.13</v>
      </c>
      <c r="AB52" s="1065" t="s">
        <v>9</v>
      </c>
      <c r="AC52" s="1010"/>
      <c r="AD52" s="1011" t="s">
        <v>8</v>
      </c>
      <c r="AE52" s="1012">
        <f>('XM.FILE GOC'!$G$9-AC52)*1459/1000</f>
        <v>102.13</v>
      </c>
      <c r="AF52" s="1013" t="s">
        <v>9</v>
      </c>
      <c r="AG52" s="91" t="s">
        <v>42</v>
      </c>
    </row>
    <row r="53" spans="1:33" ht="48" customHeight="1">
      <c r="A53" s="2124"/>
      <c r="B53" s="2143"/>
      <c r="C53" s="2143"/>
      <c r="D53" s="2146" t="s">
        <v>112</v>
      </c>
      <c r="E53" s="2147"/>
      <c r="F53" s="54" t="s">
        <v>58</v>
      </c>
      <c r="G53" s="1000" t="s">
        <v>110</v>
      </c>
      <c r="H53" s="1000"/>
      <c r="I53" s="333"/>
      <c r="J53" s="62" t="s">
        <v>8</v>
      </c>
      <c r="K53" s="65">
        <f>K52/25*7.5</f>
        <v>30.638999999999996</v>
      </c>
      <c r="L53" s="64" t="s">
        <v>10</v>
      </c>
      <c r="M53" s="1010"/>
      <c r="N53" s="1014" t="s">
        <v>8</v>
      </c>
      <c r="O53" s="1015">
        <f>O52/25*7.5</f>
        <v>30.638999999999996</v>
      </c>
      <c r="P53" s="1016" t="s">
        <v>10</v>
      </c>
      <c r="Q53" s="333"/>
      <c r="R53" s="66" t="s">
        <v>8</v>
      </c>
      <c r="S53" s="1066">
        <f>S52/25*7.5</f>
        <v>30.638999999999996</v>
      </c>
      <c r="T53" s="657" t="s">
        <v>10</v>
      </c>
      <c r="U53" s="1010"/>
      <c r="V53" s="1014" t="s">
        <v>8</v>
      </c>
      <c r="W53" s="1015">
        <f>W52/25*7.5</f>
        <v>30.638999999999996</v>
      </c>
      <c r="X53" s="1016" t="s">
        <v>10</v>
      </c>
      <c r="Y53" s="333"/>
      <c r="Z53" s="66" t="s">
        <v>8</v>
      </c>
      <c r="AA53" s="1066">
        <f>AA52/25*7.5</f>
        <v>30.638999999999996</v>
      </c>
      <c r="AB53" s="657" t="s">
        <v>10</v>
      </c>
      <c r="AC53" s="1010"/>
      <c r="AD53" s="1014" t="s">
        <v>8</v>
      </c>
      <c r="AE53" s="1015">
        <f>AE52/25*7.5</f>
        <v>30.638999999999996</v>
      </c>
      <c r="AF53" s="1016" t="s">
        <v>10</v>
      </c>
      <c r="AG53" s="91"/>
    </row>
    <row r="54" spans="1:33" ht="48" customHeight="1">
      <c r="A54" s="2123">
        <v>5</v>
      </c>
      <c r="B54" s="2146" t="s">
        <v>82</v>
      </c>
      <c r="C54" s="2180"/>
      <c r="D54" s="2180"/>
      <c r="E54" s="2147"/>
      <c r="F54" s="54" t="s">
        <v>4</v>
      </c>
      <c r="G54" s="1000" t="str">
        <f>'XM.FILE GOC'!$E$10</f>
        <v>130 - 150</v>
      </c>
      <c r="H54" s="1000" t="str">
        <f>'XM.FILE GOC'!$F$10</f>
        <v>(140±5L)</v>
      </c>
      <c r="I54" s="334">
        <f>'XM.FILE GOC'!AA10</f>
        <v>0</v>
      </c>
      <c r="J54" s="17" t="s">
        <v>8</v>
      </c>
      <c r="K54" s="27">
        <f>'XM.FILE GOC'!AD10</f>
        <v>2793.14</v>
      </c>
      <c r="L54" s="18" t="s">
        <v>9</v>
      </c>
      <c r="M54" s="1010"/>
      <c r="N54" s="1014" t="s">
        <v>8</v>
      </c>
      <c r="O54" s="1012">
        <f>('XM.FILE GOC'!$G$10-M54)*19951/1000</f>
        <v>2793.14</v>
      </c>
      <c r="P54" s="1016" t="s">
        <v>9</v>
      </c>
      <c r="Q54" s="334">
        <f>'XM.FILE GOC'!AG10</f>
        <v>0</v>
      </c>
      <c r="R54" s="1063" t="s">
        <v>8</v>
      </c>
      <c r="S54" s="1064">
        <f>'XM.FILE GOC'!AJ10</f>
        <v>2793.14</v>
      </c>
      <c r="T54" s="1065" t="s">
        <v>9</v>
      </c>
      <c r="U54" s="1010">
        <v>140</v>
      </c>
      <c r="V54" s="1014" t="s">
        <v>8</v>
      </c>
      <c r="W54" s="1012">
        <f>('XM.FILE GOC'!$G$10-U54)*19951/1000</f>
        <v>0</v>
      </c>
      <c r="X54" s="1016" t="s">
        <v>9</v>
      </c>
      <c r="Y54" s="334">
        <f>'XM.FILE GOC'!AM10</f>
        <v>0</v>
      </c>
      <c r="Z54" s="1063" t="s">
        <v>8</v>
      </c>
      <c r="AA54" s="1064">
        <f>'XM.FILE GOC'!AP10</f>
        <v>2793.14</v>
      </c>
      <c r="AB54" s="1065" t="s">
        <v>9</v>
      </c>
      <c r="AC54" s="1010"/>
      <c r="AD54" s="1014" t="s">
        <v>8</v>
      </c>
      <c r="AE54" s="1012">
        <f>('XM.FILE GOC'!$G$10-AC54)*19951/1000</f>
        <v>2793.14</v>
      </c>
      <c r="AF54" s="1016" t="s">
        <v>9</v>
      </c>
      <c r="AG54" s="91" t="s">
        <v>43</v>
      </c>
    </row>
    <row r="55" spans="1:33" ht="48" customHeight="1">
      <c r="A55" s="2124"/>
      <c r="B55" s="2146" t="s">
        <v>60</v>
      </c>
      <c r="C55" s="2180"/>
      <c r="D55" s="2180"/>
      <c r="E55" s="2147"/>
      <c r="F55" s="54" t="s">
        <v>4</v>
      </c>
      <c r="G55" s="1000" t="str">
        <f>'XM.FILE GOC'!$E$11</f>
        <v>7~12</v>
      </c>
      <c r="H55" s="1000" t="str">
        <f>'XM.FILE GOC'!$F$11</f>
        <v>(9g±1)</v>
      </c>
      <c r="I55" s="333">
        <f>'XM.FILE GOC'!AA11</f>
        <v>0</v>
      </c>
      <c r="J55" s="17" t="s">
        <v>8</v>
      </c>
      <c r="K55" s="27">
        <f>'XM.FILE GOC'!AD11</f>
        <v>179.559</v>
      </c>
      <c r="L55" s="18" t="s">
        <v>9</v>
      </c>
      <c r="M55" s="1010"/>
      <c r="N55" s="1017" t="s">
        <v>8</v>
      </c>
      <c r="O55" s="1012">
        <f>('XM.FILE GOC'!$G$11-M55)*19951/1000</f>
        <v>179.559</v>
      </c>
      <c r="P55" s="18" t="s">
        <v>9</v>
      </c>
      <c r="Q55" s="333">
        <f>'XM.FILE GOC'!AG11</f>
        <v>0</v>
      </c>
      <c r="R55" s="1063" t="s">
        <v>8</v>
      </c>
      <c r="S55" s="1064">
        <f>'XM.FILE GOC'!AJ11</f>
        <v>179.559</v>
      </c>
      <c r="T55" s="18" t="s">
        <v>9</v>
      </c>
      <c r="U55" s="1010"/>
      <c r="V55" s="1017" t="s">
        <v>8</v>
      </c>
      <c r="W55" s="1012">
        <f>('XM.FILE GOC'!$G$11-U55)*19951/1000</f>
        <v>179.559</v>
      </c>
      <c r="X55" s="18" t="s">
        <v>9</v>
      </c>
      <c r="Y55" s="333">
        <f>'XM.FILE GOC'!AM11</f>
        <v>0</v>
      </c>
      <c r="Z55" s="1063" t="s">
        <v>8</v>
      </c>
      <c r="AA55" s="1064">
        <f>'XM.FILE GOC'!AP11</f>
        <v>179.559</v>
      </c>
      <c r="AB55" s="18" t="s">
        <v>9</v>
      </c>
      <c r="AC55" s="1010"/>
      <c r="AD55" s="1017" t="s">
        <v>8</v>
      </c>
      <c r="AE55" s="1012">
        <f>('XM.FILE GOC'!$G$11-AC55)*19951/1000</f>
        <v>179.559</v>
      </c>
      <c r="AF55" s="18" t="s">
        <v>9</v>
      </c>
      <c r="AG55" s="91" t="s">
        <v>44</v>
      </c>
    </row>
    <row r="56" spans="1:33" ht="48" customHeight="1">
      <c r="A56" s="2123">
        <v>6</v>
      </c>
      <c r="B56" s="2148" t="s">
        <v>1000</v>
      </c>
      <c r="C56" s="2149"/>
      <c r="D56" s="2149"/>
      <c r="E56" s="2150"/>
      <c r="F56" s="54" t="s">
        <v>3</v>
      </c>
      <c r="G56" s="1000" t="str">
        <f>'XM.FILE GOC'!$E$12</f>
        <v xml:space="preserve">12~18 </v>
      </c>
      <c r="H56" s="1000" t="str">
        <f>'XM.FILE GOC'!$F$12</f>
        <v>(14±2)</v>
      </c>
      <c r="I56" s="333">
        <f>'XM.FILE GOC'!AA12</f>
        <v>0</v>
      </c>
      <c r="J56" s="62" t="s">
        <v>8</v>
      </c>
      <c r="K56" s="63">
        <f>'XM.FILE GOC'!AD12</f>
        <v>80.5</v>
      </c>
      <c r="L56" s="64" t="s">
        <v>10</v>
      </c>
      <c r="M56" s="1010"/>
      <c r="N56" s="1011" t="s">
        <v>8</v>
      </c>
      <c r="O56" s="1019">
        <f>('XM.FILE GOC'!$G$12-M56)*575/95-4</f>
        <v>80.736842105263165</v>
      </c>
      <c r="P56" s="1013" t="s">
        <v>10</v>
      </c>
      <c r="Q56" s="333">
        <f>'XM.FILE GOC'!AG12</f>
        <v>0</v>
      </c>
      <c r="R56" s="66" t="s">
        <v>8</v>
      </c>
      <c r="S56" s="656">
        <f>'XM.FILE GOC'!AJ12</f>
        <v>80.5</v>
      </c>
      <c r="T56" s="657" t="s">
        <v>10</v>
      </c>
      <c r="U56" s="1010"/>
      <c r="V56" s="1011" t="s">
        <v>8</v>
      </c>
      <c r="W56" s="1019">
        <f>('XM.FILE GOC'!$G$12-U56)*575/95-4</f>
        <v>80.736842105263165</v>
      </c>
      <c r="X56" s="1013" t="s">
        <v>10</v>
      </c>
      <c r="Y56" s="333">
        <f>'XM.FILE GOC'!AM12</f>
        <v>0</v>
      </c>
      <c r="Z56" s="66" t="s">
        <v>8</v>
      </c>
      <c r="AA56" s="656">
        <f>'XM.FILE GOC'!AP12</f>
        <v>80.5</v>
      </c>
      <c r="AB56" s="657" t="s">
        <v>10</v>
      </c>
      <c r="AC56" s="1010"/>
      <c r="AD56" s="1011" t="s">
        <v>8</v>
      </c>
      <c r="AE56" s="1019">
        <f>('XM.FILE GOC'!$G$12-AC56)*575/95-4</f>
        <v>80.736842105263165</v>
      </c>
      <c r="AF56" s="1013" t="s">
        <v>10</v>
      </c>
      <c r="AG56" s="91" t="s">
        <v>45</v>
      </c>
    </row>
    <row r="57" spans="1:33" ht="48" customHeight="1">
      <c r="A57" s="2124"/>
      <c r="B57" s="2151"/>
      <c r="C57" s="2152"/>
      <c r="D57" s="2152"/>
      <c r="E57" s="2153"/>
      <c r="F57" s="54" t="s">
        <v>5</v>
      </c>
      <c r="G57" s="1000" t="str">
        <f>'XM.FILE GOC'!$E$13</f>
        <v>1.6~2.2</v>
      </c>
      <c r="H57" s="1000" t="str">
        <f>'XM.FILE GOC'!$F$13</f>
        <v>(1.8±0.1 )</v>
      </c>
      <c r="I57" s="336">
        <f>'XM.FILE GOC'!AA13</f>
        <v>0</v>
      </c>
      <c r="J57" s="5"/>
      <c r="K57" s="27">
        <f>'XM.FILE GOC'!AD13</f>
        <v>0</v>
      </c>
      <c r="L57" s="6"/>
      <c r="M57" s="1010"/>
      <c r="N57" s="1014"/>
      <c r="O57" s="1012"/>
      <c r="P57" s="1016"/>
      <c r="Q57" s="336">
        <f>'XM.FILE GOC'!AG13</f>
        <v>0</v>
      </c>
      <c r="R57" s="1067"/>
      <c r="S57" s="1064">
        <f>'XM.FILE GOC'!AJ13</f>
        <v>0</v>
      </c>
      <c r="T57" s="1068"/>
      <c r="U57" s="1010"/>
      <c r="V57" s="1014"/>
      <c r="W57" s="1012"/>
      <c r="X57" s="1016"/>
      <c r="Y57" s="336">
        <f>'XM.FILE GOC'!AM13</f>
        <v>0</v>
      </c>
      <c r="Z57" s="1067"/>
      <c r="AA57" s="1064">
        <f>'XM.FILE GOC'!AP13</f>
        <v>0</v>
      </c>
      <c r="AB57" s="1068"/>
      <c r="AC57" s="1010"/>
      <c r="AD57" s="1014"/>
      <c r="AE57" s="1012"/>
      <c r="AF57" s="1016"/>
      <c r="AG57" s="91"/>
    </row>
    <row r="58" spans="1:33" ht="48" customHeight="1">
      <c r="A58" s="1072">
        <v>7</v>
      </c>
      <c r="B58" s="2146" t="s">
        <v>61</v>
      </c>
      <c r="C58" s="2180"/>
      <c r="D58" s="2180"/>
      <c r="E58" s="2147"/>
      <c r="F58" s="1073" t="s">
        <v>6</v>
      </c>
      <c r="G58" s="1000" t="str">
        <f>'XM.FILE GOC'!$E$14</f>
        <v>30~60</v>
      </c>
      <c r="H58" s="1000" t="str">
        <f>'XM.FILE GOC'!$F$14</f>
        <v>(45±5)</v>
      </c>
      <c r="I58" s="337">
        <f>'XM.FILE GOC'!AA14</f>
        <v>0</v>
      </c>
      <c r="J58" s="17" t="s">
        <v>8</v>
      </c>
      <c r="K58" s="27">
        <f>'XM.FILE GOC'!AD14</f>
        <v>954.9</v>
      </c>
      <c r="L58" s="18" t="s">
        <v>10</v>
      </c>
      <c r="M58" s="1020"/>
      <c r="N58" s="1011" t="s">
        <v>8</v>
      </c>
      <c r="O58" s="1012">
        <f>('XM.FILE GOC'!$G$14-M58)*2122</f>
        <v>954.9</v>
      </c>
      <c r="P58" s="1013" t="s">
        <v>10</v>
      </c>
      <c r="Q58" s="337">
        <f>'XM.FILE GOC'!AG14</f>
        <v>0</v>
      </c>
      <c r="R58" s="1063" t="s">
        <v>8</v>
      </c>
      <c r="S58" s="1064">
        <f>'XM.FILE GOC'!AJ14</f>
        <v>954.9</v>
      </c>
      <c r="T58" s="1065" t="s">
        <v>10</v>
      </c>
      <c r="U58" s="1020"/>
      <c r="V58" s="1011" t="s">
        <v>8</v>
      </c>
      <c r="W58" s="1012">
        <f>('XM.FILE GOC'!$G$14-U58)*2122</f>
        <v>954.9</v>
      </c>
      <c r="X58" s="1013" t="s">
        <v>10</v>
      </c>
      <c r="Y58" s="337">
        <f>'XM.FILE GOC'!AM14</f>
        <v>0</v>
      </c>
      <c r="Z58" s="1063" t="s">
        <v>8</v>
      </c>
      <c r="AA58" s="1064">
        <f>'XM.FILE GOC'!AP14</f>
        <v>954.9</v>
      </c>
      <c r="AB58" s="1065" t="s">
        <v>10</v>
      </c>
      <c r="AC58" s="1020"/>
      <c r="AD58" s="1011" t="s">
        <v>8</v>
      </c>
      <c r="AE58" s="1012">
        <f>('XM.FILE GOC'!$G$14-AC58)*2122</f>
        <v>954.9</v>
      </c>
      <c r="AF58" s="1013" t="s">
        <v>10</v>
      </c>
      <c r="AG58" s="91" t="s">
        <v>46</v>
      </c>
    </row>
    <row r="59" spans="1:33" ht="48" customHeight="1">
      <c r="A59" s="1072">
        <v>8</v>
      </c>
      <c r="B59" s="2146" t="s">
        <v>62</v>
      </c>
      <c r="C59" s="2180"/>
      <c r="D59" s="2180"/>
      <c r="E59" s="2147"/>
      <c r="F59" s="1073" t="s">
        <v>6</v>
      </c>
      <c r="G59" s="1000" t="str">
        <f>'XM.FILE GOC'!$E$15</f>
        <v>15~30</v>
      </c>
      <c r="H59" s="1000" t="str">
        <f>'XM.FILE GOC'!$F$15</f>
        <v>(22±5)</v>
      </c>
      <c r="I59" s="337">
        <f>'XM.FILE GOC'!AA15</f>
        <v>0</v>
      </c>
      <c r="J59" s="66" t="s">
        <v>8</v>
      </c>
      <c r="K59" s="63">
        <f>'XM.FILE GOC'!AD15</f>
        <v>134.64000000000001</v>
      </c>
      <c r="L59" s="64" t="s">
        <v>10</v>
      </c>
      <c r="M59" s="1020"/>
      <c r="N59" s="1011" t="s">
        <v>8</v>
      </c>
      <c r="O59" s="1019">
        <f>('XM.FILE GOC'!$G$15-M59)*612</f>
        <v>134.64000000000001</v>
      </c>
      <c r="P59" s="1013" t="s">
        <v>10</v>
      </c>
      <c r="Q59" s="337">
        <f>'XM.FILE GOC'!AG15</f>
        <v>0</v>
      </c>
      <c r="R59" s="66" t="s">
        <v>8</v>
      </c>
      <c r="S59" s="656">
        <f>'XM.FILE GOC'!AJ15</f>
        <v>134.64000000000001</v>
      </c>
      <c r="T59" s="657" t="s">
        <v>10</v>
      </c>
      <c r="U59" s="1020"/>
      <c r="V59" s="1011" t="s">
        <v>8</v>
      </c>
      <c r="W59" s="1019">
        <f>('XM.FILE GOC'!$G$15-U59)*612</f>
        <v>134.64000000000001</v>
      </c>
      <c r="X59" s="1013" t="s">
        <v>10</v>
      </c>
      <c r="Y59" s="337">
        <f>'XM.FILE GOC'!AM15</f>
        <v>0</v>
      </c>
      <c r="Z59" s="1063" t="s">
        <v>8</v>
      </c>
      <c r="AA59" s="656">
        <f>'XM.FILE GOC'!AP15</f>
        <v>134.64000000000001</v>
      </c>
      <c r="AB59" s="1065" t="s">
        <v>10</v>
      </c>
      <c r="AC59" s="1020"/>
      <c r="AD59" s="1011" t="s">
        <v>8</v>
      </c>
      <c r="AE59" s="1019">
        <f>('XM.FILE GOC'!$G$15-AC59)*612</f>
        <v>134.64000000000001</v>
      </c>
      <c r="AF59" s="1013" t="s">
        <v>10</v>
      </c>
      <c r="AG59" s="91" t="s">
        <v>46</v>
      </c>
    </row>
    <row r="60" spans="1:33" ht="48" customHeight="1">
      <c r="A60" s="1072">
        <v>9</v>
      </c>
      <c r="B60" s="2146" t="s">
        <v>116</v>
      </c>
      <c r="C60" s="2180"/>
      <c r="D60" s="2180"/>
      <c r="E60" s="2147"/>
      <c r="F60" s="1073" t="s">
        <v>6</v>
      </c>
      <c r="G60" s="1000" t="str">
        <f>'XM.FILE GOC'!$E$16</f>
        <v>5~15</v>
      </c>
      <c r="H60" s="1000" t="str">
        <f>'XM.FILE GOC'!$F$16</f>
        <v>(10±3)</v>
      </c>
      <c r="I60" s="337">
        <f>'XM.FILE GOC'!AA16</f>
        <v>0</v>
      </c>
      <c r="J60" s="17" t="s">
        <v>8</v>
      </c>
      <c r="K60" s="27">
        <f>'XM.FILE GOC'!AD16</f>
        <v>57.5</v>
      </c>
      <c r="L60" s="18" t="s">
        <v>10</v>
      </c>
      <c r="M60" s="1020"/>
      <c r="N60" s="1011" t="s">
        <v>8</v>
      </c>
      <c r="O60" s="1012">
        <f>('XM.FILE GOC'!$G$16-M60)*575</f>
        <v>57.5</v>
      </c>
      <c r="P60" s="1013" t="s">
        <v>10</v>
      </c>
      <c r="Q60" s="337">
        <f>'XM.FILE GOC'!AG16</f>
        <v>0</v>
      </c>
      <c r="R60" s="1063" t="s">
        <v>8</v>
      </c>
      <c r="S60" s="1064">
        <f>'XM.FILE GOC'!AJ16</f>
        <v>57.5</v>
      </c>
      <c r="T60" s="1065" t="s">
        <v>10</v>
      </c>
      <c r="U60" s="1020"/>
      <c r="V60" s="1011" t="s">
        <v>8</v>
      </c>
      <c r="W60" s="1012">
        <f>('XM.FILE GOC'!$G$16-U60)*575</f>
        <v>57.5</v>
      </c>
      <c r="X60" s="1013" t="s">
        <v>10</v>
      </c>
      <c r="Y60" s="337">
        <f>'XM.FILE GOC'!AM16</f>
        <v>0</v>
      </c>
      <c r="Z60" s="1063" t="s">
        <v>8</v>
      </c>
      <c r="AA60" s="1064">
        <f>'XM.FILE GOC'!AP16</f>
        <v>57.5</v>
      </c>
      <c r="AB60" s="1065" t="s">
        <v>10</v>
      </c>
      <c r="AC60" s="1020"/>
      <c r="AD60" s="1011" t="s">
        <v>8</v>
      </c>
      <c r="AE60" s="1012">
        <f>('XM.FILE GOC'!$G$16-AC60)*575</f>
        <v>57.5</v>
      </c>
      <c r="AF60" s="1013" t="s">
        <v>10</v>
      </c>
      <c r="AG60" s="91" t="s">
        <v>47</v>
      </c>
    </row>
    <row r="61" spans="1:33" ht="48" customHeight="1">
      <c r="A61" s="1072">
        <v>10</v>
      </c>
      <c r="B61" s="2146" t="s">
        <v>1001</v>
      </c>
      <c r="C61" s="2180"/>
      <c r="D61" s="2180"/>
      <c r="E61" s="2147"/>
      <c r="F61" s="1073" t="s">
        <v>3</v>
      </c>
      <c r="G61" s="1000" t="str">
        <f>'XM.FILE GOC'!$E$17</f>
        <v>0.5~1.5</v>
      </c>
      <c r="H61" s="1000" t="str">
        <f>'XM.FILE GOC'!$F$17</f>
        <v>(1±0.4)</v>
      </c>
      <c r="I61" s="340">
        <f>'XM.FILE GOC'!AA17</f>
        <v>0</v>
      </c>
      <c r="J61" s="17" t="s">
        <v>8</v>
      </c>
      <c r="K61" s="51">
        <f>'XM.FILE GOC'!AD17</f>
        <v>8.1538461538461533</v>
      </c>
      <c r="L61" s="18" t="s">
        <v>10</v>
      </c>
      <c r="M61" s="1021"/>
      <c r="N61" s="1022" t="s">
        <v>8</v>
      </c>
      <c r="O61" s="1023">
        <f>('XM.FILE GOC'!$G$17-M61)*530/65%</f>
        <v>8.1538461538461533</v>
      </c>
      <c r="P61" s="1024" t="s">
        <v>10</v>
      </c>
      <c r="Q61" s="340">
        <f>'XM.FILE GOC'!AG17</f>
        <v>0</v>
      </c>
      <c r="R61" s="1063" t="s">
        <v>8</v>
      </c>
      <c r="S61" s="1069">
        <f>'XM.FILE GOC'!AJ17</f>
        <v>8.1538461538461533</v>
      </c>
      <c r="T61" s="1065" t="s">
        <v>10</v>
      </c>
      <c r="U61" s="1021"/>
      <c r="V61" s="1022" t="s">
        <v>8</v>
      </c>
      <c r="W61" s="1023">
        <f>('XM.FILE GOC'!$G$17-U61)*530/65%</f>
        <v>8.1538461538461533</v>
      </c>
      <c r="X61" s="1024" t="s">
        <v>10</v>
      </c>
      <c r="Y61" s="340">
        <f>'XM.FILE GOC'!AM17</f>
        <v>0</v>
      </c>
      <c r="Z61" s="1063" t="s">
        <v>8</v>
      </c>
      <c r="AA61" s="1069">
        <f>'XM.FILE GOC'!AP17</f>
        <v>8.1538461538461533</v>
      </c>
      <c r="AB61" s="1065" t="s">
        <v>10</v>
      </c>
      <c r="AC61" s="1021"/>
      <c r="AD61" s="1022" t="s">
        <v>8</v>
      </c>
      <c r="AE61" s="1023">
        <f>('XM.FILE GOC'!$G$17-AC61)*530/65%</f>
        <v>8.1538461538461533</v>
      </c>
      <c r="AF61" s="1024" t="s">
        <v>10</v>
      </c>
      <c r="AG61" s="91" t="s">
        <v>47</v>
      </c>
    </row>
    <row r="62" spans="1:33" ht="48" customHeight="1">
      <c r="A62" s="2162" t="s">
        <v>76</v>
      </c>
      <c r="B62" s="2163"/>
      <c r="C62" s="2163"/>
      <c r="D62" s="2163"/>
      <c r="E62" s="2163"/>
      <c r="F62" s="2163"/>
      <c r="G62" s="2163"/>
      <c r="H62" s="2163"/>
      <c r="I62" s="2163"/>
      <c r="J62" s="2163"/>
      <c r="K62" s="2163"/>
      <c r="L62" s="2163"/>
      <c r="M62" s="2163"/>
      <c r="N62" s="2163"/>
      <c r="O62" s="2163"/>
      <c r="P62" s="2163"/>
      <c r="Q62" s="2163"/>
      <c r="R62" s="2163"/>
      <c r="S62" s="2163"/>
      <c r="T62" s="2163"/>
      <c r="U62" s="2163"/>
      <c r="V62" s="2163"/>
      <c r="W62" s="2163"/>
      <c r="X62" s="2163"/>
      <c r="Y62" s="2163"/>
      <c r="Z62" s="2163"/>
      <c r="AA62" s="2163"/>
      <c r="AB62" s="2163"/>
      <c r="AC62" s="2163"/>
      <c r="AD62" s="2163"/>
      <c r="AE62" s="2163"/>
      <c r="AF62" s="2163"/>
      <c r="AG62" s="2165"/>
    </row>
    <row r="63" spans="1:33" ht="48" customHeight="1">
      <c r="A63" s="1072" t="s">
        <v>7</v>
      </c>
      <c r="B63" s="2146" t="s">
        <v>64</v>
      </c>
      <c r="C63" s="2180"/>
      <c r="D63" s="2180"/>
      <c r="E63" s="2147"/>
      <c r="F63" s="275" t="s">
        <v>66</v>
      </c>
      <c r="G63" s="1094" t="s">
        <v>1424</v>
      </c>
      <c r="H63" s="1618" t="s">
        <v>1412</v>
      </c>
      <c r="I63" s="2171" t="s">
        <v>48</v>
      </c>
      <c r="J63" s="2171"/>
      <c r="K63" s="2171" t="s">
        <v>65</v>
      </c>
      <c r="L63" s="2171"/>
      <c r="M63" s="1025"/>
      <c r="N63" s="1026"/>
      <c r="O63" s="1026"/>
      <c r="P63" s="1027"/>
      <c r="Q63" s="2161" t="s">
        <v>48</v>
      </c>
      <c r="R63" s="2161"/>
      <c r="S63" s="2161" t="s">
        <v>65</v>
      </c>
      <c r="T63" s="2161"/>
      <c r="U63" s="1025"/>
      <c r="V63" s="1026"/>
      <c r="W63" s="1026"/>
      <c r="X63" s="1027"/>
      <c r="Y63" s="2161" t="s">
        <v>48</v>
      </c>
      <c r="Z63" s="2161"/>
      <c r="AA63" s="2161" t="s">
        <v>65</v>
      </c>
      <c r="AB63" s="2161"/>
      <c r="AC63" s="1025"/>
      <c r="AD63" s="1026"/>
      <c r="AE63" s="1026"/>
      <c r="AF63" s="1027"/>
      <c r="AG63" s="90"/>
    </row>
    <row r="64" spans="1:33" ht="48" customHeight="1">
      <c r="A64" s="1072">
        <v>1</v>
      </c>
      <c r="B64" s="2146" t="s">
        <v>68</v>
      </c>
      <c r="C64" s="2180"/>
      <c r="D64" s="2180"/>
      <c r="E64" s="2147"/>
      <c r="F64" s="274" t="s">
        <v>214</v>
      </c>
      <c r="G64" s="1519" t="s">
        <v>1430</v>
      </c>
      <c r="H64" s="1519" t="s">
        <v>1426</v>
      </c>
      <c r="I64" s="2088">
        <f>'XM.FILE GOC'!AA22</f>
        <v>0</v>
      </c>
      <c r="J64" s="2090"/>
      <c r="K64" s="2088">
        <f>'XM.FILE GOC'!AD22</f>
        <v>0</v>
      </c>
      <c r="L64" s="2090"/>
      <c r="M64" s="1028"/>
      <c r="N64" s="1029"/>
      <c r="O64" s="1029"/>
      <c r="P64" s="1030"/>
      <c r="Q64" s="2088">
        <f>'XM.FILE GOC'!AG22</f>
        <v>0</v>
      </c>
      <c r="R64" s="2090"/>
      <c r="S64" s="2088">
        <f>'XM.FILE GOC'!AJ22</f>
        <v>0</v>
      </c>
      <c r="T64" s="2090"/>
      <c r="U64" s="1028"/>
      <c r="V64" s="1029"/>
      <c r="W64" s="1029"/>
      <c r="X64" s="1030"/>
      <c r="Y64" s="2088">
        <f>'XM.FILE GOC'!AM22</f>
        <v>0</v>
      </c>
      <c r="Z64" s="2090"/>
      <c r="AA64" s="2088">
        <f>'XM.FILE GOC'!AP22</f>
        <v>0</v>
      </c>
      <c r="AB64" s="2090"/>
      <c r="AC64" s="1028"/>
      <c r="AD64" s="1029"/>
      <c r="AE64" s="1029"/>
      <c r="AF64" s="1030"/>
      <c r="AG64" s="91"/>
    </row>
    <row r="65" spans="1:56" ht="48" customHeight="1">
      <c r="A65" s="1072">
        <v>2</v>
      </c>
      <c r="B65" s="2146" t="s">
        <v>69</v>
      </c>
      <c r="C65" s="2180" t="s">
        <v>69</v>
      </c>
      <c r="D65" s="2180" t="s">
        <v>69</v>
      </c>
      <c r="E65" s="2147" t="s">
        <v>69</v>
      </c>
      <c r="F65" s="274" t="s">
        <v>214</v>
      </c>
      <c r="G65" s="1519" t="s">
        <v>1430</v>
      </c>
      <c r="H65" s="1519" t="s">
        <v>1426</v>
      </c>
      <c r="I65" s="2088">
        <f>'XM.FILE GOC'!AA23</f>
        <v>0</v>
      </c>
      <c r="J65" s="2090"/>
      <c r="K65" s="2088">
        <f>'XM.FILE GOC'!AD23</f>
        <v>0</v>
      </c>
      <c r="L65" s="2090"/>
      <c r="M65" s="1028"/>
      <c r="N65" s="1029"/>
      <c r="O65" s="1029"/>
      <c r="P65" s="1030"/>
      <c r="Q65" s="2088">
        <f>'XM.FILE GOC'!AG23</f>
        <v>0</v>
      </c>
      <c r="R65" s="2090"/>
      <c r="S65" s="2088">
        <f>'XM.FILE GOC'!AJ23</f>
        <v>0</v>
      </c>
      <c r="T65" s="2090"/>
      <c r="U65" s="1028"/>
      <c r="V65" s="1029"/>
      <c r="W65" s="1029"/>
      <c r="X65" s="1030"/>
      <c r="Y65" s="2088">
        <f>'XM.FILE GOC'!AM23</f>
        <v>0</v>
      </c>
      <c r="Z65" s="2090"/>
      <c r="AA65" s="2088">
        <f>'XM.FILE GOC'!AP23</f>
        <v>0</v>
      </c>
      <c r="AB65" s="2090"/>
      <c r="AC65" s="1028"/>
      <c r="AD65" s="1029"/>
      <c r="AE65" s="1029"/>
      <c r="AF65" s="1030"/>
      <c r="AG65" s="91"/>
    </row>
    <row r="66" spans="1:56" ht="48" customHeight="1">
      <c r="A66" s="1072">
        <v>3</v>
      </c>
      <c r="B66" s="2146" t="s">
        <v>71</v>
      </c>
      <c r="C66" s="2180" t="s">
        <v>71</v>
      </c>
      <c r="D66" s="2180" t="s">
        <v>71</v>
      </c>
      <c r="E66" s="2147" t="s">
        <v>71</v>
      </c>
      <c r="F66" s="274" t="s">
        <v>214</v>
      </c>
      <c r="G66" s="1616" t="str">
        <f>'XM.FILE GOC'!$E$24</f>
        <v>50~60</v>
      </c>
      <c r="H66" s="1616" t="str">
        <f>'XM.FILE GOC'!$F$24</f>
        <v>(55±3)</v>
      </c>
      <c r="I66" s="2088">
        <f>'XM.FILE GOC'!AA24</f>
        <v>0</v>
      </c>
      <c r="J66" s="2089"/>
      <c r="K66" s="2088">
        <f>'XM.FILE GOC'!AD24</f>
        <v>0</v>
      </c>
      <c r="L66" s="2089"/>
      <c r="M66" s="1028"/>
      <c r="N66" s="1029"/>
      <c r="O66" s="1029"/>
      <c r="P66" s="1030"/>
      <c r="Q66" s="2088">
        <f>'XM.FILE GOC'!AG24</f>
        <v>0</v>
      </c>
      <c r="R66" s="2089"/>
      <c r="S66" s="2088">
        <f>'XM.FILE GOC'!AJ24</f>
        <v>0</v>
      </c>
      <c r="T66" s="2089"/>
      <c r="U66" s="1028"/>
      <c r="V66" s="1029"/>
      <c r="W66" s="1029"/>
      <c r="X66" s="1030"/>
      <c r="Y66" s="2088">
        <f>'XM.FILE GOC'!AM24</f>
        <v>0</v>
      </c>
      <c r="Z66" s="2089"/>
      <c r="AA66" s="2088">
        <f>'XM.FILE GOC'!AP24</f>
        <v>0</v>
      </c>
      <c r="AB66" s="2089"/>
      <c r="AC66" s="1028"/>
      <c r="AD66" s="1029"/>
      <c r="AE66" s="1029"/>
      <c r="AF66" s="1030"/>
      <c r="AG66" s="91"/>
    </row>
    <row r="67" spans="1:56" ht="48" customHeight="1">
      <c r="A67" s="1072">
        <v>4</v>
      </c>
      <c r="B67" s="2146" t="s">
        <v>70</v>
      </c>
      <c r="C67" s="2180" t="s">
        <v>70</v>
      </c>
      <c r="D67" s="2180" t="s">
        <v>70</v>
      </c>
      <c r="E67" s="2147" t="s">
        <v>70</v>
      </c>
      <c r="F67" s="274" t="s">
        <v>214</v>
      </c>
      <c r="G67" s="1616" t="str">
        <f>'XM.FILE GOC'!$E$25</f>
        <v>50~60</v>
      </c>
      <c r="H67" s="1616" t="str">
        <f>'XM.FILE GOC'!$F$25</f>
        <v>(55±3)</v>
      </c>
      <c r="I67" s="2088">
        <f>'XM.FILE GOC'!AA25</f>
        <v>0</v>
      </c>
      <c r="J67" s="2089"/>
      <c r="K67" s="2088">
        <f>'XM.FILE GOC'!AD25</f>
        <v>0</v>
      </c>
      <c r="L67" s="2089"/>
      <c r="M67" s="1028"/>
      <c r="N67" s="1029"/>
      <c r="O67" s="1029"/>
      <c r="P67" s="1030"/>
      <c r="Q67" s="2088">
        <f>'XM.FILE GOC'!AG25</f>
        <v>0</v>
      </c>
      <c r="R67" s="2089"/>
      <c r="S67" s="2088">
        <f>'XM.FILE GOC'!AJ25</f>
        <v>0</v>
      </c>
      <c r="T67" s="2089"/>
      <c r="U67" s="1028"/>
      <c r="V67" s="1029"/>
      <c r="W67" s="1029"/>
      <c r="X67" s="1030"/>
      <c r="Y67" s="2088">
        <f>'XM.FILE GOC'!AM25</f>
        <v>0</v>
      </c>
      <c r="Z67" s="2089"/>
      <c r="AA67" s="2088">
        <f>'XM.FILE GOC'!AP25</f>
        <v>0</v>
      </c>
      <c r="AB67" s="2089"/>
      <c r="AC67" s="1028"/>
      <c r="AD67" s="1029"/>
      <c r="AE67" s="1029"/>
      <c r="AF67" s="1030"/>
      <c r="AG67" s="91"/>
    </row>
    <row r="68" spans="1:56" ht="48" customHeight="1">
      <c r="A68" s="1072">
        <v>5</v>
      </c>
      <c r="B68" s="2146" t="s">
        <v>72</v>
      </c>
      <c r="C68" s="2180" t="s">
        <v>72</v>
      </c>
      <c r="D68" s="2180" t="s">
        <v>72</v>
      </c>
      <c r="E68" s="2147" t="s">
        <v>72</v>
      </c>
      <c r="F68" s="274" t="s">
        <v>214</v>
      </c>
      <c r="G68" s="1519" t="s">
        <v>1439</v>
      </c>
      <c r="H68" s="1519" t="s">
        <v>1425</v>
      </c>
      <c r="I68" s="2088">
        <f>'XM.FILE GOC'!AA26</f>
        <v>0</v>
      </c>
      <c r="J68" s="2090"/>
      <c r="K68" s="2088">
        <f>'XM.FILE GOC'!AD26</f>
        <v>0</v>
      </c>
      <c r="L68" s="2090"/>
      <c r="M68" s="1028"/>
      <c r="N68" s="1029"/>
      <c r="O68" s="1029"/>
      <c r="P68" s="1030"/>
      <c r="Q68" s="2088">
        <f>'XM.FILE GOC'!AG26</f>
        <v>0</v>
      </c>
      <c r="R68" s="2090"/>
      <c r="S68" s="2088">
        <f>'XM.FILE GOC'!AJ26</f>
        <v>0</v>
      </c>
      <c r="T68" s="2090"/>
      <c r="U68" s="1028"/>
      <c r="V68" s="1029"/>
      <c r="W68" s="1029"/>
      <c r="X68" s="1030"/>
      <c r="Y68" s="2088">
        <f>'XM.FILE GOC'!AM26</f>
        <v>0</v>
      </c>
      <c r="Z68" s="2090"/>
      <c r="AA68" s="2088">
        <f>'XM.FILE GOC'!AP26</f>
        <v>0</v>
      </c>
      <c r="AB68" s="2090"/>
      <c r="AC68" s="1028"/>
      <c r="AD68" s="1029"/>
      <c r="AE68" s="1029"/>
      <c r="AF68" s="1030"/>
      <c r="AG68" s="91"/>
    </row>
    <row r="69" spans="1:56" ht="48" customHeight="1">
      <c r="A69" s="1072">
        <v>6</v>
      </c>
      <c r="B69" s="2146" t="s">
        <v>1002</v>
      </c>
      <c r="C69" s="2180" t="s">
        <v>1002</v>
      </c>
      <c r="D69" s="2180" t="s">
        <v>1002</v>
      </c>
      <c r="E69" s="2147" t="s">
        <v>1002</v>
      </c>
      <c r="F69" s="274" t="s">
        <v>214</v>
      </c>
      <c r="G69" s="1616" t="str">
        <f>'XM.FILE GOC'!$E$27</f>
        <v>35-45</v>
      </c>
      <c r="H69" s="1616" t="str">
        <f>'XM.FILE GOC'!$F$27</f>
        <v>(40±3)</v>
      </c>
      <c r="I69" s="2088">
        <f>'XM.FILE GOC'!AA27</f>
        <v>0</v>
      </c>
      <c r="J69" s="2089"/>
      <c r="K69" s="2088">
        <f>'XM.FILE GOC'!AD27</f>
        <v>0</v>
      </c>
      <c r="L69" s="2089"/>
      <c r="M69" s="1028"/>
      <c r="N69" s="1029"/>
      <c r="O69" s="1029"/>
      <c r="P69" s="1030"/>
      <c r="Q69" s="2088">
        <f>'XM.FILE GOC'!AG27</f>
        <v>0</v>
      </c>
      <c r="R69" s="2089"/>
      <c r="S69" s="2088">
        <f>'XM.FILE GOC'!AJ27</f>
        <v>0</v>
      </c>
      <c r="T69" s="2089"/>
      <c r="U69" s="1028"/>
      <c r="V69" s="1029"/>
      <c r="W69" s="1029"/>
      <c r="X69" s="1030"/>
      <c r="Y69" s="2088">
        <f>'XM.FILE GOC'!AM27</f>
        <v>0</v>
      </c>
      <c r="Z69" s="2089"/>
      <c r="AA69" s="2088">
        <f>'XM.FILE GOC'!AP27</f>
        <v>0</v>
      </c>
      <c r="AB69" s="2089"/>
      <c r="AC69" s="1028"/>
      <c r="AD69" s="1029"/>
      <c r="AE69" s="1029"/>
      <c r="AF69" s="1030"/>
      <c r="AG69" s="91"/>
    </row>
    <row r="70" spans="1:56" ht="48" customHeight="1">
      <c r="A70" s="1072">
        <v>7</v>
      </c>
      <c r="B70" s="2146" t="s">
        <v>73</v>
      </c>
      <c r="C70" s="2180" t="s">
        <v>73</v>
      </c>
      <c r="D70" s="2180" t="s">
        <v>73</v>
      </c>
      <c r="E70" s="2147" t="s">
        <v>73</v>
      </c>
      <c r="F70" s="274" t="s">
        <v>214</v>
      </c>
      <c r="G70" s="1519" t="s">
        <v>1433</v>
      </c>
      <c r="H70" s="1519" t="s">
        <v>1427</v>
      </c>
      <c r="I70" s="2088">
        <f>'XM.FILE GOC'!AA28</f>
        <v>0</v>
      </c>
      <c r="J70" s="2090"/>
      <c r="K70" s="2088">
        <f>'XM.FILE GOC'!AD28</f>
        <v>0</v>
      </c>
      <c r="L70" s="2090"/>
      <c r="M70" s="1028"/>
      <c r="N70" s="1029"/>
      <c r="O70" s="1029"/>
      <c r="P70" s="1030"/>
      <c r="Q70" s="2088">
        <f>'XM.FILE GOC'!AG28</f>
        <v>0</v>
      </c>
      <c r="R70" s="2090"/>
      <c r="S70" s="2088">
        <f>'XM.FILE GOC'!AJ28</f>
        <v>0</v>
      </c>
      <c r="T70" s="2090"/>
      <c r="U70" s="1028"/>
      <c r="V70" s="1029"/>
      <c r="W70" s="1029"/>
      <c r="X70" s="1030"/>
      <c r="Y70" s="2088">
        <f>'XM.FILE GOC'!AM28</f>
        <v>0</v>
      </c>
      <c r="Z70" s="2090"/>
      <c r="AA70" s="2088">
        <f>'XM.FILE GOC'!AP28</f>
        <v>0</v>
      </c>
      <c r="AB70" s="2090"/>
      <c r="AC70" s="1028"/>
      <c r="AD70" s="1029"/>
      <c r="AE70" s="1029"/>
      <c r="AF70" s="1030"/>
      <c r="AG70" s="91"/>
      <c r="AP70" s="1029"/>
      <c r="AQ70" s="1029"/>
      <c r="AR70" s="1030"/>
      <c r="AS70" s="2091"/>
      <c r="AT70" s="2092"/>
      <c r="AU70" s="2091"/>
      <c r="AV70" s="2092"/>
      <c r="AW70" s="1623"/>
      <c r="AX70" s="1029"/>
      <c r="AY70" s="1029"/>
      <c r="AZ70" s="1030"/>
      <c r="BA70" s="2091"/>
      <c r="BB70" s="2092"/>
      <c r="BC70" s="2091"/>
      <c r="BD70" s="2092"/>
    </row>
    <row r="71" spans="1:56" ht="48" customHeight="1">
      <c r="A71" s="1072">
        <v>8</v>
      </c>
      <c r="B71" s="2193" t="s">
        <v>74</v>
      </c>
      <c r="C71" s="2194" t="s">
        <v>74</v>
      </c>
      <c r="D71" s="2194" t="s">
        <v>74</v>
      </c>
      <c r="E71" s="2195" t="s">
        <v>74</v>
      </c>
      <c r="F71" s="274" t="s">
        <v>214</v>
      </c>
      <c r="G71" s="1000" t="str">
        <f>'XM.FILE GOC'!$E$29</f>
        <v>65~75</v>
      </c>
      <c r="H71" s="1000" t="str">
        <f>'XM.FILE GOC'!$F$29</f>
        <v>(70±3)</v>
      </c>
      <c r="I71" s="2171" t="str">
        <f>'XM.FILE GOC'!AA29</f>
        <v>\</v>
      </c>
      <c r="J71" s="2171"/>
      <c r="K71" s="2088">
        <f>'XM.FILE GOC'!AD29</f>
        <v>0</v>
      </c>
      <c r="L71" s="2089"/>
      <c r="M71" s="1031"/>
      <c r="N71" s="1032"/>
      <c r="O71" s="1032"/>
      <c r="P71" s="1033"/>
      <c r="Q71" s="2175" t="str">
        <f>'XM.FILE GOC'!AG29</f>
        <v>\</v>
      </c>
      <c r="R71" s="2161"/>
      <c r="S71" s="2088">
        <f>'XM.FILE GOC'!AJ29</f>
        <v>0</v>
      </c>
      <c r="T71" s="2089"/>
      <c r="U71" s="1031"/>
      <c r="V71" s="1032"/>
      <c r="W71" s="1032"/>
      <c r="X71" s="1033"/>
      <c r="Y71" s="2161" t="str">
        <f>'XM.FILE GOC'!AM29</f>
        <v>\</v>
      </c>
      <c r="Z71" s="2161"/>
      <c r="AA71" s="2088">
        <f>'XM.FILE GOC'!AP29</f>
        <v>0</v>
      </c>
      <c r="AB71" s="2089"/>
      <c r="AC71" s="1031"/>
      <c r="AD71" s="1032"/>
      <c r="AE71" s="1032"/>
      <c r="AF71" s="1033"/>
      <c r="AG71" s="91"/>
    </row>
    <row r="72" spans="1:56" ht="48" customHeight="1">
      <c r="A72" s="2162" t="s">
        <v>78</v>
      </c>
      <c r="B72" s="2163"/>
      <c r="C72" s="2163"/>
      <c r="D72" s="2163"/>
      <c r="E72" s="2163"/>
      <c r="F72" s="2163"/>
      <c r="G72" s="2163"/>
      <c r="H72" s="2163"/>
      <c r="I72" s="2163"/>
      <c r="J72" s="2163"/>
      <c r="K72" s="2163"/>
      <c r="L72" s="2163"/>
      <c r="M72" s="2163"/>
      <c r="N72" s="2163"/>
      <c r="O72" s="2163"/>
      <c r="P72" s="2163"/>
      <c r="Q72" s="2163"/>
      <c r="R72" s="2163"/>
      <c r="S72" s="2163"/>
      <c r="T72" s="2163"/>
      <c r="U72" s="2163"/>
      <c r="V72" s="2163"/>
      <c r="W72" s="2163"/>
      <c r="X72" s="2163"/>
      <c r="Y72" s="2163"/>
      <c r="Z72" s="2163"/>
      <c r="AA72" s="2163"/>
      <c r="AB72" s="2163"/>
      <c r="AC72" s="2163"/>
      <c r="AD72" s="2163"/>
      <c r="AE72" s="2163"/>
      <c r="AF72" s="2163"/>
      <c r="AG72" s="2165"/>
    </row>
    <row r="73" spans="1:56" ht="48" customHeight="1">
      <c r="A73" s="1072" t="s">
        <v>7</v>
      </c>
      <c r="B73" s="2146" t="s">
        <v>100</v>
      </c>
      <c r="C73" s="2180"/>
      <c r="D73" s="2180"/>
      <c r="E73" s="2147"/>
      <c r="F73" s="642" t="s">
        <v>101</v>
      </c>
      <c r="G73" s="1094" t="s">
        <v>1424</v>
      </c>
      <c r="H73" s="1618" t="s">
        <v>1412</v>
      </c>
      <c r="I73" s="2172" t="s">
        <v>119</v>
      </c>
      <c r="J73" s="2178"/>
      <c r="K73" s="2178"/>
      <c r="L73" s="2183"/>
      <c r="M73" s="1025"/>
      <c r="N73" s="1026"/>
      <c r="O73" s="1026"/>
      <c r="P73" s="1027"/>
      <c r="Q73" s="2177" t="s">
        <v>119</v>
      </c>
      <c r="R73" s="2176"/>
      <c r="S73" s="2176"/>
      <c r="T73" s="2175"/>
      <c r="U73" s="1025"/>
      <c r="V73" s="1026"/>
      <c r="W73" s="1026"/>
      <c r="X73" s="1027"/>
      <c r="Y73" s="2177" t="s">
        <v>119</v>
      </c>
      <c r="Z73" s="2176"/>
      <c r="AA73" s="2176"/>
      <c r="AB73" s="2175"/>
      <c r="AC73" s="1025"/>
      <c r="AD73" s="1026"/>
      <c r="AE73" s="1026"/>
      <c r="AF73" s="1027"/>
      <c r="AG73" s="90"/>
    </row>
    <row r="74" spans="1:56" ht="48" customHeight="1">
      <c r="A74" s="1072">
        <v>1</v>
      </c>
      <c r="B74" s="2146" t="s">
        <v>54</v>
      </c>
      <c r="C74" s="2180"/>
      <c r="D74" s="2180"/>
      <c r="E74" s="2147"/>
      <c r="F74" s="1074" t="s">
        <v>51</v>
      </c>
      <c r="G74" s="1000" t="str">
        <f>'XM.FILE GOC'!$E$31</f>
        <v>300-360</v>
      </c>
      <c r="H74" s="1000" t="str">
        <f>'XM.FILE GOC'!$F$31</f>
        <v>300-360</v>
      </c>
      <c r="I74" s="2091">
        <f>'XM.FILE GOC'!AA31</f>
        <v>0</v>
      </c>
      <c r="J74" s="2092"/>
      <c r="K74" s="2092"/>
      <c r="L74" s="2092"/>
      <c r="M74" s="1034"/>
      <c r="N74" s="1007"/>
      <c r="O74" s="1007"/>
      <c r="P74" s="1035"/>
      <c r="Q74" s="2181">
        <f>'XM.FILE GOC'!AG31</f>
        <v>0</v>
      </c>
      <c r="R74" s="2182"/>
      <c r="S74" s="2182"/>
      <c r="T74" s="2182"/>
      <c r="U74" s="1034"/>
      <c r="V74" s="1007"/>
      <c r="W74" s="1007"/>
      <c r="X74" s="1035"/>
      <c r="Y74" s="2181">
        <f>'XM.FILE GOC'!AM31</f>
        <v>0</v>
      </c>
      <c r="Z74" s="2182"/>
      <c r="AA74" s="2182"/>
      <c r="AB74" s="2182"/>
      <c r="AC74" s="1034"/>
      <c r="AD74" s="1007"/>
      <c r="AE74" s="1007"/>
      <c r="AF74" s="1035"/>
      <c r="AG74" s="91"/>
    </row>
    <row r="75" spans="1:56" ht="48" customHeight="1">
      <c r="A75" s="1072">
        <v>2</v>
      </c>
      <c r="B75" s="2146" t="s">
        <v>94</v>
      </c>
      <c r="C75" s="2180"/>
      <c r="D75" s="2180"/>
      <c r="E75" s="2147"/>
      <c r="F75" s="1074" t="s">
        <v>51</v>
      </c>
      <c r="G75" s="1000" t="str">
        <f>'XM.FILE GOC'!$E$32</f>
        <v>30-50</v>
      </c>
      <c r="H75" s="1000" t="str">
        <f>'XM.FILE GOC'!$F$32</f>
        <v>30-50</v>
      </c>
      <c r="I75" s="2091">
        <f>'XM.FILE GOC'!AA32</f>
        <v>0</v>
      </c>
      <c r="J75" s="2092"/>
      <c r="K75" s="2092"/>
      <c r="L75" s="2092"/>
      <c r="M75" s="1036"/>
      <c r="N75" s="1037"/>
      <c r="O75" s="1037"/>
      <c r="P75" s="1038"/>
      <c r="Q75" s="2181">
        <f>'XM.FILE GOC'!AG32</f>
        <v>0</v>
      </c>
      <c r="R75" s="2182"/>
      <c r="S75" s="2182"/>
      <c r="T75" s="2182"/>
      <c r="U75" s="1036"/>
      <c r="V75" s="1037"/>
      <c r="W75" s="1037"/>
      <c r="X75" s="1038"/>
      <c r="Y75" s="2181">
        <f>'XM.FILE GOC'!AM32</f>
        <v>0</v>
      </c>
      <c r="Z75" s="2182"/>
      <c r="AA75" s="2182"/>
      <c r="AB75" s="2182"/>
      <c r="AC75" s="1036"/>
      <c r="AD75" s="1037"/>
      <c r="AE75" s="1037"/>
      <c r="AF75" s="1038"/>
      <c r="AG75" s="91"/>
    </row>
  </sheetData>
  <sheetProtection selectLockedCells="1"/>
  <mergeCells count="262">
    <mergeCell ref="H42:H43"/>
    <mergeCell ref="AD41:AE41"/>
    <mergeCell ref="AF41:AG41"/>
    <mergeCell ref="AC4:AF4"/>
    <mergeCell ref="V5:X5"/>
    <mergeCell ref="AD5:AF5"/>
    <mergeCell ref="AD2:AE2"/>
    <mergeCell ref="AD3:AE3"/>
    <mergeCell ref="AF2:AG2"/>
    <mergeCell ref="AF3:AG3"/>
    <mergeCell ref="U4:X4"/>
    <mergeCell ref="A2:AC2"/>
    <mergeCell ref="AA28:AB28"/>
    <mergeCell ref="Y29:Z29"/>
    <mergeCell ref="AA29:AB29"/>
    <mergeCell ref="Y30:Z30"/>
    <mergeCell ref="AA30:AB30"/>
    <mergeCell ref="K28:L28"/>
    <mergeCell ref="K26:L26"/>
    <mergeCell ref="Y26:Z26"/>
    <mergeCell ref="Q33:R33"/>
    <mergeCell ref="S33:T33"/>
    <mergeCell ref="S28:T28"/>
    <mergeCell ref="Q29:R29"/>
    <mergeCell ref="B73:E73"/>
    <mergeCell ref="B74:E74"/>
    <mergeCell ref="B75:E75"/>
    <mergeCell ref="B35:E35"/>
    <mergeCell ref="B36:E36"/>
    <mergeCell ref="B37:E37"/>
    <mergeCell ref="B25:E25"/>
    <mergeCell ref="B26:E26"/>
    <mergeCell ref="B27:E27"/>
    <mergeCell ref="B28:E28"/>
    <mergeCell ref="B29:E29"/>
    <mergeCell ref="B30:E30"/>
    <mergeCell ref="B31:E31"/>
    <mergeCell ref="B32:E32"/>
    <mergeCell ref="B33:E33"/>
    <mergeCell ref="B63:E63"/>
    <mergeCell ref="B64:E64"/>
    <mergeCell ref="B65:E65"/>
    <mergeCell ref="B66:E66"/>
    <mergeCell ref="B67:E67"/>
    <mergeCell ref="B68:E68"/>
    <mergeCell ref="B69:E69"/>
    <mergeCell ref="B70:E70"/>
    <mergeCell ref="B71:E71"/>
    <mergeCell ref="Q65:R65"/>
    <mergeCell ref="F4:F5"/>
    <mergeCell ref="B42:E43"/>
    <mergeCell ref="F42:F43"/>
    <mergeCell ref="B44:C46"/>
    <mergeCell ref="B47:C49"/>
    <mergeCell ref="B52:C53"/>
    <mergeCell ref="D52:E52"/>
    <mergeCell ref="D53:E53"/>
    <mergeCell ref="B54:E54"/>
    <mergeCell ref="B16:E16"/>
    <mergeCell ref="B17:E17"/>
    <mergeCell ref="B18:E19"/>
    <mergeCell ref="B20:E20"/>
    <mergeCell ref="B21:E21"/>
    <mergeCell ref="B22:E22"/>
    <mergeCell ref="B23:E23"/>
    <mergeCell ref="D44:E44"/>
    <mergeCell ref="B41:E41"/>
    <mergeCell ref="Q32:R32"/>
    <mergeCell ref="I65:J65"/>
    <mergeCell ref="K65:L65"/>
    <mergeCell ref="Q28:R28"/>
    <mergeCell ref="D48:E48"/>
    <mergeCell ref="I64:J64"/>
    <mergeCell ref="K64:L64"/>
    <mergeCell ref="I41:L41"/>
    <mergeCell ref="I42:L42"/>
    <mergeCell ref="Q42:T42"/>
    <mergeCell ref="Y42:AB42"/>
    <mergeCell ref="J43:L43"/>
    <mergeCell ref="R43:T43"/>
    <mergeCell ref="Z43:AB43"/>
    <mergeCell ref="Q64:R64"/>
    <mergeCell ref="S64:T64"/>
    <mergeCell ref="Y64:Z64"/>
    <mergeCell ref="AA64:AB64"/>
    <mergeCell ref="A62:AG62"/>
    <mergeCell ref="I63:J63"/>
    <mergeCell ref="K63:L63"/>
    <mergeCell ref="AA63:AB63"/>
    <mergeCell ref="Q63:R63"/>
    <mergeCell ref="S63:T63"/>
    <mergeCell ref="Y63:Z63"/>
    <mergeCell ref="A44:A46"/>
    <mergeCell ref="D46:E46"/>
    <mergeCell ref="D47:E47"/>
    <mergeCell ref="A47:A49"/>
    <mergeCell ref="A50:A51"/>
    <mergeCell ref="A42:A43"/>
    <mergeCell ref="G42:G43"/>
    <mergeCell ref="D45:E45"/>
    <mergeCell ref="Q36:T36"/>
    <mergeCell ref="Q37:T37"/>
    <mergeCell ref="Y36:AB36"/>
    <mergeCell ref="Y37:AB37"/>
    <mergeCell ref="D49:E49"/>
    <mergeCell ref="B50:C51"/>
    <mergeCell ref="D50:E50"/>
    <mergeCell ref="D51:E51"/>
    <mergeCell ref="I36:L36"/>
    <mergeCell ref="A39:Z39"/>
    <mergeCell ref="I37:L37"/>
    <mergeCell ref="M42:P42"/>
    <mergeCell ref="N43:P43"/>
    <mergeCell ref="U42:X42"/>
    <mergeCell ref="V43:X43"/>
    <mergeCell ref="A40:AC40"/>
    <mergeCell ref="AC42:AF42"/>
    <mergeCell ref="AD43:AF43"/>
    <mergeCell ref="AD40:AE40"/>
    <mergeCell ref="AF40:AG40"/>
    <mergeCell ref="Q73:T73"/>
    <mergeCell ref="Y73:AB73"/>
    <mergeCell ref="I73:L73"/>
    <mergeCell ref="Q68:R68"/>
    <mergeCell ref="K69:L69"/>
    <mergeCell ref="I66:J66"/>
    <mergeCell ref="K66:L66"/>
    <mergeCell ref="I67:J67"/>
    <mergeCell ref="K67:L67"/>
    <mergeCell ref="Q66:R66"/>
    <mergeCell ref="S66:T66"/>
    <mergeCell ref="Q67:R67"/>
    <mergeCell ref="S67:T67"/>
    <mergeCell ref="Q69:R69"/>
    <mergeCell ref="S69:T69"/>
    <mergeCell ref="I69:J69"/>
    <mergeCell ref="S68:T68"/>
    <mergeCell ref="Y70:Z70"/>
    <mergeCell ref="AA70:AB70"/>
    <mergeCell ref="Y67:Z67"/>
    <mergeCell ref="AA67:AB67"/>
    <mergeCell ref="Y68:Z68"/>
    <mergeCell ref="AA68:AB68"/>
    <mergeCell ref="Q70:R70"/>
    <mergeCell ref="S65:T65"/>
    <mergeCell ref="Y65:Z65"/>
    <mergeCell ref="AA65:AB65"/>
    <mergeCell ref="Y66:Z66"/>
    <mergeCell ref="AA66:AB66"/>
    <mergeCell ref="Y75:AB75"/>
    <mergeCell ref="Q74:T74"/>
    <mergeCell ref="Y74:AB74"/>
    <mergeCell ref="I74:L74"/>
    <mergeCell ref="Y69:Z69"/>
    <mergeCell ref="K68:L68"/>
    <mergeCell ref="I70:J70"/>
    <mergeCell ref="K70:L70"/>
    <mergeCell ref="I71:J71"/>
    <mergeCell ref="K71:L71"/>
    <mergeCell ref="Q71:R71"/>
    <mergeCell ref="S71:T71"/>
    <mergeCell ref="Y71:Z71"/>
    <mergeCell ref="I75:L75"/>
    <mergeCell ref="I68:J68"/>
    <mergeCell ref="AA71:AB71"/>
    <mergeCell ref="AA69:AB69"/>
    <mergeCell ref="A72:AG72"/>
    <mergeCell ref="Q75:T75"/>
    <mergeCell ref="A52:A53"/>
    <mergeCell ref="A54:A55"/>
    <mergeCell ref="A56:A57"/>
    <mergeCell ref="B58:E58"/>
    <mergeCell ref="B59:E59"/>
    <mergeCell ref="B55:E55"/>
    <mergeCell ref="B56:E57"/>
    <mergeCell ref="B60:E60"/>
    <mergeCell ref="B61:E61"/>
    <mergeCell ref="S30:T30"/>
    <mergeCell ref="Y28:Z28"/>
    <mergeCell ref="AA33:AB33"/>
    <mergeCell ref="Q35:T35"/>
    <mergeCell ref="Y35:AB35"/>
    <mergeCell ref="I35:L35"/>
    <mergeCell ref="I32:J32"/>
    <mergeCell ref="K32:L32"/>
    <mergeCell ref="S32:T32"/>
    <mergeCell ref="Y32:Z32"/>
    <mergeCell ref="AA32:AB32"/>
    <mergeCell ref="I33:J33"/>
    <mergeCell ref="K33:L33"/>
    <mergeCell ref="A34:AG34"/>
    <mergeCell ref="Y33:Z33"/>
    <mergeCell ref="K30:L30"/>
    <mergeCell ref="I28:J28"/>
    <mergeCell ref="S29:T29"/>
    <mergeCell ref="S70:T70"/>
    <mergeCell ref="AA26:AB26"/>
    <mergeCell ref="Q25:R25"/>
    <mergeCell ref="S25:T25"/>
    <mergeCell ref="Y25:Z25"/>
    <mergeCell ref="Q26:R26"/>
    <mergeCell ref="S26:T26"/>
    <mergeCell ref="I31:J31"/>
    <mergeCell ref="K31:L31"/>
    <mergeCell ref="Y31:Z31"/>
    <mergeCell ref="AA31:AB31"/>
    <mergeCell ref="I27:J27"/>
    <mergeCell ref="K27:L27"/>
    <mergeCell ref="Q27:R27"/>
    <mergeCell ref="S27:T27"/>
    <mergeCell ref="Y27:Z27"/>
    <mergeCell ref="AA27:AB27"/>
    <mergeCell ref="I26:J26"/>
    <mergeCell ref="Q31:R31"/>
    <mergeCell ref="S31:T31"/>
    <mergeCell ref="I29:J29"/>
    <mergeCell ref="K29:L29"/>
    <mergeCell ref="I30:J30"/>
    <mergeCell ref="Q30:R30"/>
    <mergeCell ref="N5:P5"/>
    <mergeCell ref="A6:A8"/>
    <mergeCell ref="A9:A11"/>
    <mergeCell ref="A12:A13"/>
    <mergeCell ref="AA25:AB25"/>
    <mergeCell ref="A24:AG24"/>
    <mergeCell ref="A16:A17"/>
    <mergeCell ref="B6:C8"/>
    <mergeCell ref="D6:E6"/>
    <mergeCell ref="D7:E7"/>
    <mergeCell ref="D8:E8"/>
    <mergeCell ref="B9:C11"/>
    <mergeCell ref="D9:E9"/>
    <mergeCell ref="D10:E10"/>
    <mergeCell ref="D11:E11"/>
    <mergeCell ref="I25:J25"/>
    <mergeCell ref="K25:L25"/>
    <mergeCell ref="A18:A19"/>
    <mergeCell ref="H4:H5"/>
    <mergeCell ref="AS70:AT70"/>
    <mergeCell ref="AU70:AV70"/>
    <mergeCell ref="BA70:BB70"/>
    <mergeCell ref="BC70:BD70"/>
    <mergeCell ref="A4:A5"/>
    <mergeCell ref="G4:G5"/>
    <mergeCell ref="A1:Z1"/>
    <mergeCell ref="A14:A15"/>
    <mergeCell ref="I4:L4"/>
    <mergeCell ref="Q4:T4"/>
    <mergeCell ref="Y4:AB4"/>
    <mergeCell ref="J5:L5"/>
    <mergeCell ref="R5:T5"/>
    <mergeCell ref="Z5:AB5"/>
    <mergeCell ref="I3:L3"/>
    <mergeCell ref="B12:C13"/>
    <mergeCell ref="D12:E12"/>
    <mergeCell ref="D13:E13"/>
    <mergeCell ref="B14:C15"/>
    <mergeCell ref="D14:E14"/>
    <mergeCell ref="D15:E15"/>
    <mergeCell ref="B4:E5"/>
    <mergeCell ref="B3:E3"/>
    <mergeCell ref="M4:P4"/>
  </mergeCells>
  <phoneticPr fontId="6" type="noConversion"/>
  <conditionalFormatting sqref="I74 Q74 Y74 I36 Q36 Y36">
    <cfRule type="expression" dxfId="4849" priority="1169">
      <formula>I36&lt;300</formula>
    </cfRule>
    <cfRule type="expression" dxfId="4848" priority="1170">
      <formula>I36&gt;360</formula>
    </cfRule>
  </conditionalFormatting>
  <conditionalFormatting sqref="I75 Q75 Y75 Q37 Y37 I37">
    <cfRule type="expression" dxfId="4847" priority="1167">
      <formula>I37&lt;30</formula>
    </cfRule>
    <cfRule type="expression" dxfId="4846" priority="1168">
      <formula>I37&gt;50</formula>
    </cfRule>
  </conditionalFormatting>
  <conditionalFormatting sqref="I44 I47 Q44 Q47 Y44 Y47 I6 I9 Q6 Q9 Y6 Y9">
    <cfRule type="expression" dxfId="4845" priority="1069" stopIfTrue="1">
      <formula>I6&gt;35</formula>
    </cfRule>
    <cfRule type="expression" dxfId="4844" priority="1070" stopIfTrue="1">
      <formula>I6&lt;25</formula>
    </cfRule>
  </conditionalFormatting>
  <conditionalFormatting sqref="I50 I52 Q50 Q52 Y50 Y52 I12 I14 Q12 Q14 Y12 Y14">
    <cfRule type="expression" dxfId="4843" priority="1065" stopIfTrue="1">
      <formula>I12&gt;80</formula>
    </cfRule>
    <cfRule type="expression" dxfId="4842" priority="1066" stopIfTrue="1">
      <formula>I12&lt;60</formula>
    </cfRule>
  </conditionalFormatting>
  <conditionalFormatting sqref="I54 Q54 Y54 I16 Q16 Y16">
    <cfRule type="expression" dxfId="4841" priority="1061">
      <formula>I16&lt;130</formula>
    </cfRule>
    <cfRule type="expression" dxfId="4840" priority="1062">
      <formula>I16&gt;150</formula>
    </cfRule>
  </conditionalFormatting>
  <conditionalFormatting sqref="I58 Q58 Y58 I20 Q20 Y20">
    <cfRule type="expression" dxfId="4839" priority="1059">
      <formula>I20&lt;30%</formula>
    </cfRule>
    <cfRule type="expression" dxfId="4838" priority="1060">
      <formula>I20&gt;60%</formula>
    </cfRule>
  </conditionalFormatting>
  <conditionalFormatting sqref="I59 Q59 Y59 I21 Q21 Y21">
    <cfRule type="cellIs" dxfId="4837" priority="1055" operator="between">
      <formula>0.271</formula>
      <formula>0.3</formula>
    </cfRule>
    <cfRule type="cellIs" dxfId="4836" priority="1056" operator="between">
      <formula>0.15</formula>
      <formula>0.185</formula>
    </cfRule>
    <cfRule type="expression" dxfId="4835" priority="1057">
      <formula>I21&lt;15%</formula>
    </cfRule>
    <cfRule type="expression" dxfId="4834" priority="1058">
      <formula>I21&gt;30%</formula>
    </cfRule>
  </conditionalFormatting>
  <conditionalFormatting sqref="I61 Q61 Y61 I23 Q23 Y23">
    <cfRule type="expression" dxfId="4833" priority="1053">
      <formula>I23&lt;0.5%</formula>
    </cfRule>
    <cfRule type="expression" dxfId="4832" priority="1054">
      <formula>I23&gt;1.5%</formula>
    </cfRule>
  </conditionalFormatting>
  <conditionalFormatting sqref="I57 Q57 Y57 I19 Q19 Y19">
    <cfRule type="expression" dxfId="4831" priority="1051">
      <formula>I19&lt;1.6</formula>
    </cfRule>
    <cfRule type="expression" dxfId="4830" priority="1052">
      <formula>I19&gt;2.2</formula>
    </cfRule>
  </conditionalFormatting>
  <conditionalFormatting sqref="I55 Q55 Y55 I17 Q17 Y17">
    <cfRule type="expression" dxfId="4829" priority="1049" stopIfTrue="1">
      <formula>I17&gt;12</formula>
    </cfRule>
    <cfRule type="expression" dxfId="4828" priority="1050" stopIfTrue="1">
      <formula>I17&lt;7</formula>
    </cfRule>
  </conditionalFormatting>
  <conditionalFormatting sqref="I60 Q60 Y60 I22 Q22 Y22">
    <cfRule type="expression" dxfId="4827" priority="909">
      <formula>I22&lt;5%</formula>
    </cfRule>
    <cfRule type="expression" dxfId="4826" priority="910">
      <formula>I22&gt;15%</formula>
    </cfRule>
  </conditionalFormatting>
  <conditionalFormatting sqref="I56 Q56 Y56 I18 Q18 Y18">
    <cfRule type="expression" dxfId="4825" priority="881" stopIfTrue="1">
      <formula>I18&gt;18</formula>
    </cfRule>
    <cfRule type="expression" dxfId="4824" priority="882" stopIfTrue="1">
      <formula>I18&lt;12</formula>
    </cfRule>
  </conditionalFormatting>
  <conditionalFormatting sqref="AS70">
    <cfRule type="expression" dxfId="4823" priority="733">
      <formula>AS70&lt;20</formula>
    </cfRule>
    <cfRule type="expression" dxfId="4822" priority="734">
      <formula>AS70&gt;35</formula>
    </cfRule>
  </conditionalFormatting>
  <conditionalFormatting sqref="AU70">
    <cfRule type="expression" dxfId="4821" priority="731">
      <formula>AU70&lt;20</formula>
    </cfRule>
    <cfRule type="expression" dxfId="4820" priority="732">
      <formula>AU70&gt;35</formula>
    </cfRule>
  </conditionalFormatting>
  <conditionalFormatting sqref="BA70">
    <cfRule type="expression" dxfId="4819" priority="729">
      <formula>BA70&lt;20</formula>
    </cfRule>
    <cfRule type="expression" dxfId="4818" priority="730">
      <formula>BA70&gt;35</formula>
    </cfRule>
  </conditionalFormatting>
  <conditionalFormatting sqref="BC70">
    <cfRule type="expression" dxfId="4817" priority="727">
      <formula>BC70&lt;20</formula>
    </cfRule>
    <cfRule type="expression" dxfId="4816" priority="728">
      <formula>BC70&gt;35</formula>
    </cfRule>
  </conditionalFormatting>
  <conditionalFormatting sqref="I26">
    <cfRule type="cellIs" dxfId="4815" priority="541" operator="between">
      <formula>50</formula>
      <formula>54.9</formula>
    </cfRule>
    <cfRule type="cellIs" dxfId="4814" priority="542" operator="between">
      <formula>65.1</formula>
      <formula>70</formula>
    </cfRule>
    <cfRule type="expression" dxfId="4813" priority="543">
      <formula>I26&lt;50</formula>
    </cfRule>
    <cfRule type="expression" dxfId="4812" priority="544">
      <formula>I26&gt;70</formula>
    </cfRule>
  </conditionalFormatting>
  <conditionalFormatting sqref="I30">
    <cfRule type="cellIs" dxfId="4811" priority="493" operator="between">
      <formula>20</formula>
      <formula>24.9</formula>
    </cfRule>
    <cfRule type="cellIs" dxfId="4810" priority="494" operator="between">
      <formula>31.1</formula>
      <formula>35</formula>
    </cfRule>
    <cfRule type="expression" dxfId="4809" priority="495">
      <formula>I30&lt;20</formula>
    </cfRule>
    <cfRule type="expression" dxfId="4808" priority="496">
      <formula>I30&gt;35</formula>
    </cfRule>
  </conditionalFormatting>
  <conditionalFormatting sqref="I32">
    <cfRule type="cellIs" dxfId="4807" priority="469" operator="between">
      <formula>50</formula>
      <formula>51.9</formula>
    </cfRule>
    <cfRule type="cellIs" dxfId="4806" priority="470" operator="between">
      <formula>58.1</formula>
      <formula>60</formula>
    </cfRule>
    <cfRule type="expression" dxfId="4805" priority="471">
      <formula>I32&lt;50</formula>
    </cfRule>
    <cfRule type="expression" dxfId="4804" priority="472">
      <formula>I32&gt;60</formula>
    </cfRule>
  </conditionalFormatting>
  <conditionalFormatting sqref="I27">
    <cfRule type="cellIs" dxfId="4803" priority="349" operator="between">
      <formula>50</formula>
      <formula>54.9</formula>
    </cfRule>
    <cfRule type="cellIs" dxfId="4802" priority="350" operator="between">
      <formula>65.1</formula>
      <formula>70</formula>
    </cfRule>
    <cfRule type="expression" dxfId="4801" priority="351">
      <formula>I27&lt;50</formula>
    </cfRule>
    <cfRule type="expression" dxfId="4800" priority="352">
      <formula>I27&gt;70</formula>
    </cfRule>
  </conditionalFormatting>
  <conditionalFormatting sqref="I28">
    <cfRule type="cellIs" dxfId="4799" priority="345" operator="between">
      <formula>50</formula>
      <formula>51.9</formula>
    </cfRule>
    <cfRule type="cellIs" dxfId="4798" priority="346" operator="between">
      <formula>58.1</formula>
      <formula>60</formula>
    </cfRule>
    <cfRule type="expression" dxfId="4797" priority="347">
      <formula>I28&lt;50</formula>
    </cfRule>
    <cfRule type="expression" dxfId="4796" priority="348">
      <formula>I28&gt;60</formula>
    </cfRule>
  </conditionalFormatting>
  <conditionalFormatting sqref="I29">
    <cfRule type="cellIs" dxfId="4795" priority="341" operator="between">
      <formula>50</formula>
      <formula>51.9</formula>
    </cfRule>
    <cfRule type="cellIs" dxfId="4794" priority="342" operator="between">
      <formula>58.1</formula>
      <formula>60</formula>
    </cfRule>
    <cfRule type="expression" dxfId="4793" priority="343">
      <formula>I29&lt;50</formula>
    </cfRule>
    <cfRule type="expression" dxfId="4792" priority="344">
      <formula>I29&gt;60</formula>
    </cfRule>
  </conditionalFormatting>
  <conditionalFormatting sqref="I31">
    <cfRule type="cellIs" dxfId="4791" priority="333" operator="between">
      <formula>35</formula>
      <formula>36.9</formula>
    </cfRule>
    <cfRule type="cellIs" dxfId="4790" priority="334" operator="between">
      <formula>43.1</formula>
      <formula>45</formula>
    </cfRule>
    <cfRule type="expression" dxfId="4789" priority="335">
      <formula>I31&lt;35</formula>
    </cfRule>
    <cfRule type="expression" dxfId="4788" priority="336">
      <formula>I31&gt;45</formula>
    </cfRule>
  </conditionalFormatting>
  <conditionalFormatting sqref="K33">
    <cfRule type="cellIs" dxfId="4787" priority="329" operator="between">
      <formula>65</formula>
      <formula>66.9</formula>
    </cfRule>
    <cfRule type="cellIs" dxfId="4786" priority="330" operator="between">
      <formula>73.1</formula>
      <formula>75</formula>
    </cfRule>
    <cfRule type="expression" dxfId="4785" priority="331">
      <formula>K33&lt;65</formula>
    </cfRule>
    <cfRule type="expression" dxfId="4784" priority="332">
      <formula>K33&gt;75</formula>
    </cfRule>
  </conditionalFormatting>
  <conditionalFormatting sqref="S33">
    <cfRule type="cellIs" dxfId="4783" priority="325" operator="between">
      <formula>65</formula>
      <formula>66.9</formula>
    </cfRule>
    <cfRule type="cellIs" dxfId="4782" priority="326" operator="between">
      <formula>73.1</formula>
      <formula>75</formula>
    </cfRule>
    <cfRule type="expression" dxfId="4781" priority="327">
      <formula>S33&lt;65</formula>
    </cfRule>
    <cfRule type="expression" dxfId="4780" priority="328">
      <formula>S33&gt;75</formula>
    </cfRule>
  </conditionalFormatting>
  <conditionalFormatting sqref="AA33">
    <cfRule type="cellIs" dxfId="4779" priority="321" operator="between">
      <formula>65</formula>
      <formula>66.9</formula>
    </cfRule>
    <cfRule type="cellIs" dxfId="4778" priority="322" operator="between">
      <formula>73.1</formula>
      <formula>75</formula>
    </cfRule>
    <cfRule type="expression" dxfId="4777" priority="323">
      <formula>AA33&lt;65</formula>
    </cfRule>
    <cfRule type="expression" dxfId="4776" priority="324">
      <formula>AA33&gt;75</formula>
    </cfRule>
  </conditionalFormatting>
  <conditionalFormatting sqref="K26">
    <cfRule type="cellIs" dxfId="4775" priority="317" operator="between">
      <formula>50</formula>
      <formula>54.9</formula>
    </cfRule>
    <cfRule type="cellIs" dxfId="4774" priority="318" operator="between">
      <formula>65.1</formula>
      <formula>70</formula>
    </cfRule>
    <cfRule type="expression" dxfId="4773" priority="319">
      <formula>K26&lt;50</formula>
    </cfRule>
    <cfRule type="expression" dxfId="4772" priority="320">
      <formula>K26&gt;70</formula>
    </cfRule>
  </conditionalFormatting>
  <conditionalFormatting sqref="K30">
    <cfRule type="cellIs" dxfId="4771" priority="313" operator="between">
      <formula>20</formula>
      <formula>24.9</formula>
    </cfRule>
    <cfRule type="cellIs" dxfId="4770" priority="314" operator="between">
      <formula>31.1</formula>
      <formula>35</formula>
    </cfRule>
    <cfRule type="expression" dxfId="4769" priority="315">
      <formula>K30&lt;20</formula>
    </cfRule>
    <cfRule type="expression" dxfId="4768" priority="316">
      <formula>K30&gt;35</formula>
    </cfRule>
  </conditionalFormatting>
  <conditionalFormatting sqref="K32">
    <cfRule type="cellIs" dxfId="4767" priority="309" operator="between">
      <formula>50</formula>
      <formula>51.9</formula>
    </cfRule>
    <cfRule type="cellIs" dxfId="4766" priority="310" operator="between">
      <formula>58.1</formula>
      <formula>60</formula>
    </cfRule>
    <cfRule type="expression" dxfId="4765" priority="311">
      <formula>K32&lt;50</formula>
    </cfRule>
    <cfRule type="expression" dxfId="4764" priority="312">
      <formula>K32&gt;60</formula>
    </cfRule>
  </conditionalFormatting>
  <conditionalFormatting sqref="K27">
    <cfRule type="cellIs" dxfId="4763" priority="305" operator="between">
      <formula>50</formula>
      <formula>54.9</formula>
    </cfRule>
    <cfRule type="cellIs" dxfId="4762" priority="306" operator="between">
      <formula>65.1</formula>
      <formula>70</formula>
    </cfRule>
    <cfRule type="expression" dxfId="4761" priority="307">
      <formula>K27&lt;50</formula>
    </cfRule>
    <cfRule type="expression" dxfId="4760" priority="308">
      <formula>K27&gt;70</formula>
    </cfRule>
  </conditionalFormatting>
  <conditionalFormatting sqref="K28">
    <cfRule type="cellIs" dxfId="4759" priority="301" operator="between">
      <formula>50</formula>
      <formula>51.9</formula>
    </cfRule>
    <cfRule type="cellIs" dxfId="4758" priority="302" operator="between">
      <formula>58.1</formula>
      <formula>60</formula>
    </cfRule>
    <cfRule type="expression" dxfId="4757" priority="303">
      <formula>K28&lt;50</formula>
    </cfRule>
    <cfRule type="expression" dxfId="4756" priority="304">
      <formula>K28&gt;60</formula>
    </cfRule>
  </conditionalFormatting>
  <conditionalFormatting sqref="K29">
    <cfRule type="cellIs" dxfId="4755" priority="297" operator="between">
      <formula>50</formula>
      <formula>51.9</formula>
    </cfRule>
    <cfRule type="cellIs" dxfId="4754" priority="298" operator="between">
      <formula>58.1</formula>
      <formula>60</formula>
    </cfRule>
    <cfRule type="expression" dxfId="4753" priority="299">
      <formula>K29&lt;50</formula>
    </cfRule>
    <cfRule type="expression" dxfId="4752" priority="300">
      <formula>K29&gt;60</formula>
    </cfRule>
  </conditionalFormatting>
  <conditionalFormatting sqref="K31">
    <cfRule type="cellIs" dxfId="4751" priority="293" operator="between">
      <formula>35</formula>
      <formula>36.9</formula>
    </cfRule>
    <cfRule type="cellIs" dxfId="4750" priority="294" operator="between">
      <formula>43.1</formula>
      <formula>45</formula>
    </cfRule>
    <cfRule type="expression" dxfId="4749" priority="295">
      <formula>K31&lt;35</formula>
    </cfRule>
    <cfRule type="expression" dxfId="4748" priority="296">
      <formula>K31&gt;45</formula>
    </cfRule>
  </conditionalFormatting>
  <conditionalFormatting sqref="Q26">
    <cfRule type="cellIs" dxfId="4747" priority="289" operator="between">
      <formula>50</formula>
      <formula>54.9</formula>
    </cfRule>
    <cfRule type="cellIs" dxfId="4746" priority="290" operator="between">
      <formula>65.1</formula>
      <formula>70</formula>
    </cfRule>
    <cfRule type="expression" dxfId="4745" priority="291">
      <formula>Q26&lt;50</formula>
    </cfRule>
    <cfRule type="expression" dxfId="4744" priority="292">
      <formula>Q26&gt;70</formula>
    </cfRule>
  </conditionalFormatting>
  <conditionalFormatting sqref="Q30">
    <cfRule type="cellIs" dxfId="4743" priority="285" operator="between">
      <formula>20</formula>
      <formula>24.9</formula>
    </cfRule>
    <cfRule type="cellIs" dxfId="4742" priority="286" operator="between">
      <formula>31.1</formula>
      <formula>35</formula>
    </cfRule>
    <cfRule type="expression" dxfId="4741" priority="287">
      <formula>Q30&lt;20</formula>
    </cfRule>
    <cfRule type="expression" dxfId="4740" priority="288">
      <formula>Q30&gt;35</formula>
    </cfRule>
  </conditionalFormatting>
  <conditionalFormatting sqref="Q32">
    <cfRule type="cellIs" dxfId="4739" priority="281" operator="between">
      <formula>50</formula>
      <formula>51.9</formula>
    </cfRule>
    <cfRule type="cellIs" dxfId="4738" priority="282" operator="between">
      <formula>58.1</formula>
      <formula>60</formula>
    </cfRule>
    <cfRule type="expression" dxfId="4737" priority="283">
      <formula>Q32&lt;50</formula>
    </cfRule>
    <cfRule type="expression" dxfId="4736" priority="284">
      <formula>Q32&gt;60</formula>
    </cfRule>
  </conditionalFormatting>
  <conditionalFormatting sqref="Q27">
    <cfRule type="cellIs" dxfId="4735" priority="277" operator="between">
      <formula>50</formula>
      <formula>54.9</formula>
    </cfRule>
    <cfRule type="cellIs" dxfId="4734" priority="278" operator="between">
      <formula>65.1</formula>
      <formula>70</formula>
    </cfRule>
    <cfRule type="expression" dxfId="4733" priority="279">
      <formula>Q27&lt;50</formula>
    </cfRule>
    <cfRule type="expression" dxfId="4732" priority="280">
      <formula>Q27&gt;70</formula>
    </cfRule>
  </conditionalFormatting>
  <conditionalFormatting sqref="Q28">
    <cfRule type="cellIs" dxfId="4731" priority="273" operator="between">
      <formula>50</formula>
      <formula>51.9</formula>
    </cfRule>
    <cfRule type="cellIs" dxfId="4730" priority="274" operator="between">
      <formula>58.1</formula>
      <formula>60</formula>
    </cfRule>
    <cfRule type="expression" dxfId="4729" priority="275">
      <formula>Q28&lt;50</formula>
    </cfRule>
    <cfRule type="expression" dxfId="4728" priority="276">
      <formula>Q28&gt;60</formula>
    </cfRule>
  </conditionalFormatting>
  <conditionalFormatting sqref="Q29">
    <cfRule type="cellIs" dxfId="4727" priority="269" operator="between">
      <formula>50</formula>
      <formula>51.9</formula>
    </cfRule>
    <cfRule type="cellIs" dxfId="4726" priority="270" operator="between">
      <formula>58.1</formula>
      <formula>60</formula>
    </cfRule>
    <cfRule type="expression" dxfId="4725" priority="271">
      <formula>Q29&lt;50</formula>
    </cfRule>
    <cfRule type="expression" dxfId="4724" priority="272">
      <formula>Q29&gt;60</formula>
    </cfRule>
  </conditionalFormatting>
  <conditionalFormatting sqref="Q31">
    <cfRule type="cellIs" dxfId="4723" priority="265" operator="between">
      <formula>35</formula>
      <formula>36.9</formula>
    </cfRule>
    <cfRule type="cellIs" dxfId="4722" priority="266" operator="between">
      <formula>43.1</formula>
      <formula>45</formula>
    </cfRule>
    <cfRule type="expression" dxfId="4721" priority="267">
      <formula>Q31&lt;35</formula>
    </cfRule>
    <cfRule type="expression" dxfId="4720" priority="268">
      <formula>Q31&gt;45</formula>
    </cfRule>
  </conditionalFormatting>
  <conditionalFormatting sqref="S26">
    <cfRule type="cellIs" dxfId="4719" priority="261" operator="between">
      <formula>50</formula>
      <formula>54.9</formula>
    </cfRule>
    <cfRule type="cellIs" dxfId="4718" priority="262" operator="between">
      <formula>65.1</formula>
      <formula>70</formula>
    </cfRule>
    <cfRule type="expression" dxfId="4717" priority="263">
      <formula>S26&lt;50</formula>
    </cfRule>
    <cfRule type="expression" dxfId="4716" priority="264">
      <formula>S26&gt;70</formula>
    </cfRule>
  </conditionalFormatting>
  <conditionalFormatting sqref="S30">
    <cfRule type="cellIs" dxfId="4715" priority="257" operator="between">
      <formula>20</formula>
      <formula>24.9</formula>
    </cfRule>
    <cfRule type="cellIs" dxfId="4714" priority="258" operator="between">
      <formula>31.1</formula>
      <formula>35</formula>
    </cfRule>
    <cfRule type="expression" dxfId="4713" priority="259">
      <formula>S30&lt;20</formula>
    </cfRule>
    <cfRule type="expression" dxfId="4712" priority="260">
      <formula>S30&gt;35</formula>
    </cfRule>
  </conditionalFormatting>
  <conditionalFormatting sqref="S32">
    <cfRule type="cellIs" dxfId="4711" priority="253" operator="between">
      <formula>50</formula>
      <formula>51.9</formula>
    </cfRule>
    <cfRule type="cellIs" dxfId="4710" priority="254" operator="between">
      <formula>58.1</formula>
      <formula>60</formula>
    </cfRule>
    <cfRule type="expression" dxfId="4709" priority="255">
      <formula>S32&lt;50</formula>
    </cfRule>
    <cfRule type="expression" dxfId="4708" priority="256">
      <formula>S32&gt;60</formula>
    </cfRule>
  </conditionalFormatting>
  <conditionalFormatting sqref="S27">
    <cfRule type="cellIs" dxfId="4707" priority="249" operator="between">
      <formula>50</formula>
      <formula>54.9</formula>
    </cfRule>
    <cfRule type="cellIs" dxfId="4706" priority="250" operator="between">
      <formula>65.1</formula>
      <formula>70</formula>
    </cfRule>
    <cfRule type="expression" dxfId="4705" priority="251">
      <formula>S27&lt;50</formula>
    </cfRule>
    <cfRule type="expression" dxfId="4704" priority="252">
      <formula>S27&gt;70</formula>
    </cfRule>
  </conditionalFormatting>
  <conditionalFormatting sqref="S28">
    <cfRule type="cellIs" dxfId="4703" priority="245" operator="between">
      <formula>50</formula>
      <formula>51.9</formula>
    </cfRule>
    <cfRule type="cellIs" dxfId="4702" priority="246" operator="between">
      <formula>58.1</formula>
      <formula>60</formula>
    </cfRule>
    <cfRule type="expression" dxfId="4701" priority="247">
      <formula>S28&lt;50</formula>
    </cfRule>
    <cfRule type="expression" dxfId="4700" priority="248">
      <formula>S28&gt;60</formula>
    </cfRule>
  </conditionalFormatting>
  <conditionalFormatting sqref="S29">
    <cfRule type="cellIs" dxfId="4699" priority="241" operator="between">
      <formula>50</formula>
      <formula>51.9</formula>
    </cfRule>
    <cfRule type="cellIs" dxfId="4698" priority="242" operator="between">
      <formula>58.1</formula>
      <formula>60</formula>
    </cfRule>
    <cfRule type="expression" dxfId="4697" priority="243">
      <formula>S29&lt;50</formula>
    </cfRule>
    <cfRule type="expression" dxfId="4696" priority="244">
      <formula>S29&gt;60</formula>
    </cfRule>
  </conditionalFormatting>
  <conditionalFormatting sqref="S31">
    <cfRule type="cellIs" dxfId="4695" priority="237" operator="between">
      <formula>35</formula>
      <formula>36.9</formula>
    </cfRule>
    <cfRule type="cellIs" dxfId="4694" priority="238" operator="between">
      <formula>43.1</formula>
      <formula>45</formula>
    </cfRule>
    <cfRule type="expression" dxfId="4693" priority="239">
      <formula>S31&lt;35</formula>
    </cfRule>
    <cfRule type="expression" dxfId="4692" priority="240">
      <formula>S31&gt;45</formula>
    </cfRule>
  </conditionalFormatting>
  <conditionalFormatting sqref="Y26">
    <cfRule type="cellIs" dxfId="4691" priority="233" operator="between">
      <formula>50</formula>
      <formula>54.9</formula>
    </cfRule>
    <cfRule type="cellIs" dxfId="4690" priority="234" operator="between">
      <formula>65.1</formula>
      <formula>70</formula>
    </cfRule>
    <cfRule type="expression" dxfId="4689" priority="235">
      <formula>Y26&lt;50</formula>
    </cfRule>
    <cfRule type="expression" dxfId="4688" priority="236">
      <formula>Y26&gt;70</formula>
    </cfRule>
  </conditionalFormatting>
  <conditionalFormatting sqref="Y30">
    <cfRule type="cellIs" dxfId="4687" priority="229" operator="between">
      <formula>20</formula>
      <formula>24.9</formula>
    </cfRule>
    <cfRule type="cellIs" dxfId="4686" priority="230" operator="between">
      <formula>31.1</formula>
      <formula>35</formula>
    </cfRule>
    <cfRule type="expression" dxfId="4685" priority="231">
      <formula>Y30&lt;20</formula>
    </cfRule>
    <cfRule type="expression" dxfId="4684" priority="232">
      <formula>Y30&gt;35</formula>
    </cfRule>
  </conditionalFormatting>
  <conditionalFormatting sqref="Y32">
    <cfRule type="cellIs" dxfId="4683" priority="225" operator="between">
      <formula>50</formula>
      <formula>51.9</formula>
    </cfRule>
    <cfRule type="cellIs" dxfId="4682" priority="226" operator="between">
      <formula>58.1</formula>
      <formula>60</formula>
    </cfRule>
    <cfRule type="expression" dxfId="4681" priority="227">
      <formula>Y32&lt;50</formula>
    </cfRule>
    <cfRule type="expression" dxfId="4680" priority="228">
      <formula>Y32&gt;60</formula>
    </cfRule>
  </conditionalFormatting>
  <conditionalFormatting sqref="Y27">
    <cfRule type="cellIs" dxfId="4679" priority="221" operator="between">
      <formula>50</formula>
      <formula>54.9</formula>
    </cfRule>
    <cfRule type="cellIs" dxfId="4678" priority="222" operator="between">
      <formula>65.1</formula>
      <formula>70</formula>
    </cfRule>
    <cfRule type="expression" dxfId="4677" priority="223">
      <formula>Y27&lt;50</formula>
    </cfRule>
    <cfRule type="expression" dxfId="4676" priority="224">
      <formula>Y27&gt;70</formula>
    </cfRule>
  </conditionalFormatting>
  <conditionalFormatting sqref="Y28">
    <cfRule type="cellIs" dxfId="4675" priority="217" operator="between">
      <formula>50</formula>
      <formula>51.9</formula>
    </cfRule>
    <cfRule type="cellIs" dxfId="4674" priority="218" operator="between">
      <formula>58.1</formula>
      <formula>60</formula>
    </cfRule>
    <cfRule type="expression" dxfId="4673" priority="219">
      <formula>Y28&lt;50</formula>
    </cfRule>
    <cfRule type="expression" dxfId="4672" priority="220">
      <formula>Y28&gt;60</formula>
    </cfRule>
  </conditionalFormatting>
  <conditionalFormatting sqref="Y29">
    <cfRule type="cellIs" dxfId="4671" priority="213" operator="between">
      <formula>50</formula>
      <formula>51.9</formula>
    </cfRule>
    <cfRule type="cellIs" dxfId="4670" priority="214" operator="between">
      <formula>58.1</formula>
      <formula>60</formula>
    </cfRule>
    <cfRule type="expression" dxfId="4669" priority="215">
      <formula>Y29&lt;50</formula>
    </cfRule>
    <cfRule type="expression" dxfId="4668" priority="216">
      <formula>Y29&gt;60</formula>
    </cfRule>
  </conditionalFormatting>
  <conditionalFormatting sqref="Y31">
    <cfRule type="cellIs" dxfId="4667" priority="209" operator="between">
      <formula>35</formula>
      <formula>36.9</formula>
    </cfRule>
    <cfRule type="cellIs" dxfId="4666" priority="210" operator="between">
      <formula>43.1</formula>
      <formula>45</formula>
    </cfRule>
    <cfRule type="expression" dxfId="4665" priority="211">
      <formula>Y31&lt;35</formula>
    </cfRule>
    <cfRule type="expression" dxfId="4664" priority="212">
      <formula>Y31&gt;45</formula>
    </cfRule>
  </conditionalFormatting>
  <conditionalFormatting sqref="AA26">
    <cfRule type="cellIs" dxfId="4663" priority="205" operator="between">
      <formula>50</formula>
      <formula>54.9</formula>
    </cfRule>
    <cfRule type="cellIs" dxfId="4662" priority="206" operator="between">
      <formula>65.1</formula>
      <formula>70</formula>
    </cfRule>
    <cfRule type="expression" dxfId="4661" priority="207">
      <formula>AA26&lt;50</formula>
    </cfRule>
    <cfRule type="expression" dxfId="4660" priority="208">
      <formula>AA26&gt;70</formula>
    </cfRule>
  </conditionalFormatting>
  <conditionalFormatting sqref="AA30">
    <cfRule type="cellIs" dxfId="4659" priority="201" operator="between">
      <formula>20</formula>
      <formula>24.9</formula>
    </cfRule>
    <cfRule type="cellIs" dxfId="4658" priority="202" operator="between">
      <formula>31.1</formula>
      <formula>35</formula>
    </cfRule>
    <cfRule type="expression" dxfId="4657" priority="203">
      <formula>AA30&lt;20</formula>
    </cfRule>
    <cfRule type="expression" dxfId="4656" priority="204">
      <formula>AA30&gt;35</formula>
    </cfRule>
  </conditionalFormatting>
  <conditionalFormatting sqref="AA32">
    <cfRule type="cellIs" dxfId="4655" priority="197" operator="between">
      <formula>50</formula>
      <formula>51.9</formula>
    </cfRule>
    <cfRule type="cellIs" dxfId="4654" priority="198" operator="between">
      <formula>58.1</formula>
      <formula>60</formula>
    </cfRule>
    <cfRule type="expression" dxfId="4653" priority="199">
      <formula>AA32&lt;50</formula>
    </cfRule>
    <cfRule type="expression" dxfId="4652" priority="200">
      <formula>AA32&gt;60</formula>
    </cfRule>
  </conditionalFormatting>
  <conditionalFormatting sqref="AA27">
    <cfRule type="cellIs" dxfId="4651" priority="193" operator="between">
      <formula>50</formula>
      <formula>54.9</formula>
    </cfRule>
    <cfRule type="cellIs" dxfId="4650" priority="194" operator="between">
      <formula>65.1</formula>
      <formula>70</formula>
    </cfRule>
    <cfRule type="expression" dxfId="4649" priority="195">
      <formula>AA27&lt;50</formula>
    </cfRule>
    <cfRule type="expression" dxfId="4648" priority="196">
      <formula>AA27&gt;70</formula>
    </cfRule>
  </conditionalFormatting>
  <conditionalFormatting sqref="AA28">
    <cfRule type="cellIs" dxfId="4647" priority="189" operator="between">
      <formula>50</formula>
      <formula>51.9</formula>
    </cfRule>
    <cfRule type="cellIs" dxfId="4646" priority="190" operator="between">
      <formula>58.1</formula>
      <formula>60</formula>
    </cfRule>
    <cfRule type="expression" dxfId="4645" priority="191">
      <formula>AA28&lt;50</formula>
    </cfRule>
    <cfRule type="expression" dxfId="4644" priority="192">
      <formula>AA28&gt;60</formula>
    </cfRule>
  </conditionalFormatting>
  <conditionalFormatting sqref="AA29">
    <cfRule type="cellIs" dxfId="4643" priority="185" operator="between">
      <formula>50</formula>
      <formula>51.9</formula>
    </cfRule>
    <cfRule type="cellIs" dxfId="4642" priority="186" operator="between">
      <formula>58.1</formula>
      <formula>60</formula>
    </cfRule>
    <cfRule type="expression" dxfId="4641" priority="187">
      <formula>AA29&lt;50</formula>
    </cfRule>
    <cfRule type="expression" dxfId="4640" priority="188">
      <formula>AA29&gt;60</formula>
    </cfRule>
  </conditionalFormatting>
  <conditionalFormatting sqref="AA31">
    <cfRule type="cellIs" dxfId="4639" priority="181" operator="between">
      <formula>35</formula>
      <formula>36.9</formula>
    </cfRule>
    <cfRule type="cellIs" dxfId="4638" priority="182" operator="between">
      <formula>43.1</formula>
      <formula>45</formula>
    </cfRule>
    <cfRule type="expression" dxfId="4637" priority="183">
      <formula>AA31&lt;35</formula>
    </cfRule>
    <cfRule type="expression" dxfId="4636" priority="184">
      <formula>AA31&gt;45</formula>
    </cfRule>
  </conditionalFormatting>
  <conditionalFormatting sqref="I64">
    <cfRule type="cellIs" dxfId="4635" priority="177" operator="between">
      <formula>50</formula>
      <formula>54.9</formula>
    </cfRule>
    <cfRule type="cellIs" dxfId="4634" priority="178" operator="between">
      <formula>65.1</formula>
      <formula>70</formula>
    </cfRule>
    <cfRule type="expression" dxfId="4633" priority="179">
      <formula>I64&lt;50</formula>
    </cfRule>
    <cfRule type="expression" dxfId="4632" priority="180">
      <formula>I64&gt;70</formula>
    </cfRule>
  </conditionalFormatting>
  <conditionalFormatting sqref="I68">
    <cfRule type="cellIs" dxfId="4631" priority="173" operator="between">
      <formula>20</formula>
      <formula>24.9</formula>
    </cfRule>
    <cfRule type="cellIs" dxfId="4630" priority="174" operator="between">
      <formula>31.1</formula>
      <formula>35</formula>
    </cfRule>
    <cfRule type="expression" dxfId="4629" priority="175">
      <formula>I68&lt;20</formula>
    </cfRule>
    <cfRule type="expression" dxfId="4628" priority="176">
      <formula>I68&gt;35</formula>
    </cfRule>
  </conditionalFormatting>
  <conditionalFormatting sqref="I70">
    <cfRule type="cellIs" dxfId="4627" priority="169" operator="between">
      <formula>50</formula>
      <formula>51.9</formula>
    </cfRule>
    <cfRule type="cellIs" dxfId="4626" priority="170" operator="between">
      <formula>58.1</formula>
      <formula>60</formula>
    </cfRule>
    <cfRule type="expression" dxfId="4625" priority="171">
      <formula>I70&lt;50</formula>
    </cfRule>
    <cfRule type="expression" dxfId="4624" priority="172">
      <formula>I70&gt;60</formula>
    </cfRule>
  </conditionalFormatting>
  <conditionalFormatting sqref="I65">
    <cfRule type="cellIs" dxfId="4623" priority="165" operator="between">
      <formula>50</formula>
      <formula>54.9</formula>
    </cfRule>
    <cfRule type="cellIs" dxfId="4622" priority="166" operator="between">
      <formula>65.1</formula>
      <formula>70</formula>
    </cfRule>
    <cfRule type="expression" dxfId="4621" priority="167">
      <formula>I65&lt;50</formula>
    </cfRule>
    <cfRule type="expression" dxfId="4620" priority="168">
      <formula>I65&gt;70</formula>
    </cfRule>
  </conditionalFormatting>
  <conditionalFormatting sqref="I66">
    <cfRule type="cellIs" dxfId="4619" priority="161" operator="between">
      <formula>50</formula>
      <formula>51.9</formula>
    </cfRule>
    <cfRule type="cellIs" dxfId="4618" priority="162" operator="between">
      <formula>58.1</formula>
      <formula>60</formula>
    </cfRule>
    <cfRule type="expression" dxfId="4617" priority="163">
      <formula>I66&lt;50</formula>
    </cfRule>
    <cfRule type="expression" dxfId="4616" priority="164">
      <formula>I66&gt;60</formula>
    </cfRule>
  </conditionalFormatting>
  <conditionalFormatting sqref="I67">
    <cfRule type="cellIs" dxfId="4615" priority="157" operator="between">
      <formula>50</formula>
      <formula>51.9</formula>
    </cfRule>
    <cfRule type="cellIs" dxfId="4614" priority="158" operator="between">
      <formula>58.1</formula>
      <formula>60</formula>
    </cfRule>
    <cfRule type="expression" dxfId="4613" priority="159">
      <formula>I67&lt;50</formula>
    </cfRule>
    <cfRule type="expression" dxfId="4612" priority="160">
      <formula>I67&gt;60</formula>
    </cfRule>
  </conditionalFormatting>
  <conditionalFormatting sqref="I69">
    <cfRule type="cellIs" dxfId="4611" priority="153" operator="between">
      <formula>35</formula>
      <formula>36.9</formula>
    </cfRule>
    <cfRule type="cellIs" dxfId="4610" priority="154" operator="between">
      <formula>43.1</formula>
      <formula>45</formula>
    </cfRule>
    <cfRule type="expression" dxfId="4609" priority="155">
      <formula>I69&lt;35</formula>
    </cfRule>
    <cfRule type="expression" dxfId="4608" priority="156">
      <formula>I69&gt;45</formula>
    </cfRule>
  </conditionalFormatting>
  <conditionalFormatting sqref="K71">
    <cfRule type="cellIs" dxfId="4607" priority="149" operator="between">
      <formula>65</formula>
      <formula>66.9</formula>
    </cfRule>
    <cfRule type="cellIs" dxfId="4606" priority="150" operator="between">
      <formula>73.1</formula>
      <formula>75</formula>
    </cfRule>
    <cfRule type="expression" dxfId="4605" priority="151">
      <formula>K71&lt;65</formula>
    </cfRule>
    <cfRule type="expression" dxfId="4604" priority="152">
      <formula>K71&gt;75</formula>
    </cfRule>
  </conditionalFormatting>
  <conditionalFormatting sqref="S71">
    <cfRule type="cellIs" dxfId="4603" priority="145" operator="between">
      <formula>65</formula>
      <formula>66.9</formula>
    </cfRule>
    <cfRule type="cellIs" dxfId="4602" priority="146" operator="between">
      <formula>73.1</formula>
      <formula>75</formula>
    </cfRule>
    <cfRule type="expression" dxfId="4601" priority="147">
      <formula>S71&lt;65</formula>
    </cfRule>
    <cfRule type="expression" dxfId="4600" priority="148">
      <formula>S71&gt;75</formula>
    </cfRule>
  </conditionalFormatting>
  <conditionalFormatting sqref="AA71">
    <cfRule type="cellIs" dxfId="4599" priority="141" operator="between">
      <formula>65</formula>
      <formula>66.9</formula>
    </cfRule>
    <cfRule type="cellIs" dxfId="4598" priority="142" operator="between">
      <formula>73.1</formula>
      <formula>75</formula>
    </cfRule>
    <cfRule type="expression" dxfId="4597" priority="143">
      <formula>AA71&lt;65</formula>
    </cfRule>
    <cfRule type="expression" dxfId="4596" priority="144">
      <formula>AA71&gt;75</formula>
    </cfRule>
  </conditionalFormatting>
  <conditionalFormatting sqref="K64">
    <cfRule type="cellIs" dxfId="4595" priority="137" operator="between">
      <formula>50</formula>
      <formula>54.9</formula>
    </cfRule>
    <cfRule type="cellIs" dxfId="4594" priority="138" operator="between">
      <formula>65.1</formula>
      <formula>70</formula>
    </cfRule>
    <cfRule type="expression" dxfId="4593" priority="139">
      <formula>K64&lt;50</formula>
    </cfRule>
    <cfRule type="expression" dxfId="4592" priority="140">
      <formula>K64&gt;70</formula>
    </cfRule>
  </conditionalFormatting>
  <conditionalFormatting sqref="K68">
    <cfRule type="cellIs" dxfId="4591" priority="133" operator="between">
      <formula>20</formula>
      <formula>24.9</formula>
    </cfRule>
    <cfRule type="cellIs" dxfId="4590" priority="134" operator="between">
      <formula>31.1</formula>
      <formula>35</formula>
    </cfRule>
    <cfRule type="expression" dxfId="4589" priority="135">
      <formula>K68&lt;20</formula>
    </cfRule>
    <cfRule type="expression" dxfId="4588" priority="136">
      <formula>K68&gt;35</formula>
    </cfRule>
  </conditionalFormatting>
  <conditionalFormatting sqref="K70">
    <cfRule type="cellIs" dxfId="4587" priority="129" operator="between">
      <formula>50</formula>
      <formula>51.9</formula>
    </cfRule>
    <cfRule type="cellIs" dxfId="4586" priority="130" operator="between">
      <formula>58.1</formula>
      <formula>60</formula>
    </cfRule>
    <cfRule type="expression" dxfId="4585" priority="131">
      <formula>K70&lt;50</formula>
    </cfRule>
    <cfRule type="expression" dxfId="4584" priority="132">
      <formula>K70&gt;60</formula>
    </cfRule>
  </conditionalFormatting>
  <conditionalFormatting sqref="K65">
    <cfRule type="cellIs" dxfId="4583" priority="125" operator="between">
      <formula>50</formula>
      <formula>54.9</formula>
    </cfRule>
    <cfRule type="cellIs" dxfId="4582" priority="126" operator="between">
      <formula>65.1</formula>
      <formula>70</formula>
    </cfRule>
    <cfRule type="expression" dxfId="4581" priority="127">
      <formula>K65&lt;50</formula>
    </cfRule>
    <cfRule type="expression" dxfId="4580" priority="128">
      <formula>K65&gt;70</formula>
    </cfRule>
  </conditionalFormatting>
  <conditionalFormatting sqref="K66">
    <cfRule type="cellIs" dxfId="4579" priority="121" operator="between">
      <formula>50</formula>
      <formula>51.9</formula>
    </cfRule>
    <cfRule type="cellIs" dxfId="4578" priority="122" operator="between">
      <formula>58.1</formula>
      <formula>60</formula>
    </cfRule>
    <cfRule type="expression" dxfId="4577" priority="123">
      <formula>K66&lt;50</formula>
    </cfRule>
    <cfRule type="expression" dxfId="4576" priority="124">
      <formula>K66&gt;60</formula>
    </cfRule>
  </conditionalFormatting>
  <conditionalFormatting sqref="K67">
    <cfRule type="cellIs" dxfId="4575" priority="117" operator="between">
      <formula>50</formula>
      <formula>51.9</formula>
    </cfRule>
    <cfRule type="cellIs" dxfId="4574" priority="118" operator="between">
      <formula>58.1</formula>
      <formula>60</formula>
    </cfRule>
    <cfRule type="expression" dxfId="4573" priority="119">
      <formula>K67&lt;50</formula>
    </cfRule>
    <cfRule type="expression" dxfId="4572" priority="120">
      <formula>K67&gt;60</formula>
    </cfRule>
  </conditionalFormatting>
  <conditionalFormatting sqref="K69">
    <cfRule type="cellIs" dxfId="4571" priority="113" operator="between">
      <formula>35</formula>
      <formula>36.9</formula>
    </cfRule>
    <cfRule type="cellIs" dxfId="4570" priority="114" operator="between">
      <formula>43.1</formula>
      <formula>45</formula>
    </cfRule>
    <cfRule type="expression" dxfId="4569" priority="115">
      <formula>K69&lt;35</formula>
    </cfRule>
    <cfRule type="expression" dxfId="4568" priority="116">
      <formula>K69&gt;45</formula>
    </cfRule>
  </conditionalFormatting>
  <conditionalFormatting sqref="Q64">
    <cfRule type="cellIs" dxfId="4567" priority="109" operator="between">
      <formula>50</formula>
      <formula>54.9</formula>
    </cfRule>
    <cfRule type="cellIs" dxfId="4566" priority="110" operator="between">
      <formula>65.1</formula>
      <formula>70</formula>
    </cfRule>
    <cfRule type="expression" dxfId="4565" priority="111">
      <formula>Q64&lt;50</formula>
    </cfRule>
    <cfRule type="expression" dxfId="4564" priority="112">
      <formula>Q64&gt;70</formula>
    </cfRule>
  </conditionalFormatting>
  <conditionalFormatting sqref="Q68">
    <cfRule type="cellIs" dxfId="4563" priority="105" operator="between">
      <formula>20</formula>
      <formula>24.9</formula>
    </cfRule>
    <cfRule type="cellIs" dxfId="4562" priority="106" operator="between">
      <formula>31.1</formula>
      <formula>35</formula>
    </cfRule>
    <cfRule type="expression" dxfId="4561" priority="107">
      <formula>Q68&lt;20</formula>
    </cfRule>
    <cfRule type="expression" dxfId="4560" priority="108">
      <formula>Q68&gt;35</formula>
    </cfRule>
  </conditionalFormatting>
  <conditionalFormatting sqref="Q70">
    <cfRule type="cellIs" dxfId="4559" priority="101" operator="between">
      <formula>50</formula>
      <formula>51.9</formula>
    </cfRule>
    <cfRule type="cellIs" dxfId="4558" priority="102" operator="between">
      <formula>58.1</formula>
      <formula>60</formula>
    </cfRule>
    <cfRule type="expression" dxfId="4557" priority="103">
      <formula>Q70&lt;50</formula>
    </cfRule>
    <cfRule type="expression" dxfId="4556" priority="104">
      <formula>Q70&gt;60</formula>
    </cfRule>
  </conditionalFormatting>
  <conditionalFormatting sqref="Q65">
    <cfRule type="cellIs" dxfId="4555" priority="97" operator="between">
      <formula>50</formula>
      <formula>54.9</formula>
    </cfRule>
    <cfRule type="cellIs" dxfId="4554" priority="98" operator="between">
      <formula>65.1</formula>
      <formula>70</formula>
    </cfRule>
    <cfRule type="expression" dxfId="4553" priority="99">
      <formula>Q65&lt;50</formula>
    </cfRule>
    <cfRule type="expression" dxfId="4552" priority="100">
      <formula>Q65&gt;70</formula>
    </cfRule>
  </conditionalFormatting>
  <conditionalFormatting sqref="Q66">
    <cfRule type="cellIs" dxfId="4551" priority="93" operator="between">
      <formula>50</formula>
      <formula>51.9</formula>
    </cfRule>
    <cfRule type="cellIs" dxfId="4550" priority="94" operator="between">
      <formula>58.1</formula>
      <formula>60</formula>
    </cfRule>
    <cfRule type="expression" dxfId="4549" priority="95">
      <formula>Q66&lt;50</formula>
    </cfRule>
    <cfRule type="expression" dxfId="4548" priority="96">
      <formula>Q66&gt;60</formula>
    </cfRule>
  </conditionalFormatting>
  <conditionalFormatting sqref="Q67">
    <cfRule type="cellIs" dxfId="4547" priority="89" operator="between">
      <formula>50</formula>
      <formula>51.9</formula>
    </cfRule>
    <cfRule type="cellIs" dxfId="4546" priority="90" operator="between">
      <formula>58.1</formula>
      <formula>60</formula>
    </cfRule>
    <cfRule type="expression" dxfId="4545" priority="91">
      <formula>Q67&lt;50</formula>
    </cfRule>
    <cfRule type="expression" dxfId="4544" priority="92">
      <formula>Q67&gt;60</formula>
    </cfRule>
  </conditionalFormatting>
  <conditionalFormatting sqref="Q69">
    <cfRule type="cellIs" dxfId="4543" priority="85" operator="between">
      <formula>35</formula>
      <formula>36.9</formula>
    </cfRule>
    <cfRule type="cellIs" dxfId="4542" priority="86" operator="between">
      <formula>43.1</formula>
      <formula>45</formula>
    </cfRule>
    <cfRule type="expression" dxfId="4541" priority="87">
      <formula>Q69&lt;35</formula>
    </cfRule>
    <cfRule type="expression" dxfId="4540" priority="88">
      <formula>Q69&gt;45</formula>
    </cfRule>
  </conditionalFormatting>
  <conditionalFormatting sqref="S64">
    <cfRule type="cellIs" dxfId="4539" priority="81" operator="between">
      <formula>50</formula>
      <formula>54.9</formula>
    </cfRule>
    <cfRule type="cellIs" dxfId="4538" priority="82" operator="between">
      <formula>65.1</formula>
      <formula>70</formula>
    </cfRule>
    <cfRule type="expression" dxfId="4537" priority="83">
      <formula>S64&lt;50</formula>
    </cfRule>
    <cfRule type="expression" dxfId="4536" priority="84">
      <formula>S64&gt;70</formula>
    </cfRule>
  </conditionalFormatting>
  <conditionalFormatting sqref="S68">
    <cfRule type="cellIs" dxfId="4535" priority="77" operator="between">
      <formula>20</formula>
      <formula>24.9</formula>
    </cfRule>
    <cfRule type="cellIs" dxfId="4534" priority="78" operator="between">
      <formula>31.1</formula>
      <formula>35</formula>
    </cfRule>
    <cfRule type="expression" dxfId="4533" priority="79">
      <formula>S68&lt;20</formula>
    </cfRule>
    <cfRule type="expression" dxfId="4532" priority="80">
      <formula>S68&gt;35</formula>
    </cfRule>
  </conditionalFormatting>
  <conditionalFormatting sqref="S70">
    <cfRule type="cellIs" dxfId="4531" priority="73" operator="between">
      <formula>50</formula>
      <formula>51.9</formula>
    </cfRule>
    <cfRule type="cellIs" dxfId="4530" priority="74" operator="between">
      <formula>58.1</formula>
      <formula>60</formula>
    </cfRule>
    <cfRule type="expression" dxfId="4529" priority="75">
      <formula>S70&lt;50</formula>
    </cfRule>
    <cfRule type="expression" dxfId="4528" priority="76">
      <formula>S70&gt;60</formula>
    </cfRule>
  </conditionalFormatting>
  <conditionalFormatting sqref="S65">
    <cfRule type="cellIs" dxfId="4527" priority="69" operator="between">
      <formula>50</formula>
      <formula>54.9</formula>
    </cfRule>
    <cfRule type="cellIs" dxfId="4526" priority="70" operator="between">
      <formula>65.1</formula>
      <formula>70</formula>
    </cfRule>
    <cfRule type="expression" dxfId="4525" priority="71">
      <formula>S65&lt;50</formula>
    </cfRule>
    <cfRule type="expression" dxfId="4524" priority="72">
      <formula>S65&gt;70</formula>
    </cfRule>
  </conditionalFormatting>
  <conditionalFormatting sqref="S66">
    <cfRule type="cellIs" dxfId="4523" priority="65" operator="between">
      <formula>50</formula>
      <formula>51.9</formula>
    </cfRule>
    <cfRule type="cellIs" dxfId="4522" priority="66" operator="between">
      <formula>58.1</formula>
      <formula>60</formula>
    </cfRule>
    <cfRule type="expression" dxfId="4521" priority="67">
      <formula>S66&lt;50</formula>
    </cfRule>
    <cfRule type="expression" dxfId="4520" priority="68">
      <formula>S66&gt;60</formula>
    </cfRule>
  </conditionalFormatting>
  <conditionalFormatting sqref="S67">
    <cfRule type="cellIs" dxfId="4519" priority="61" operator="between">
      <formula>50</formula>
      <formula>51.9</formula>
    </cfRule>
    <cfRule type="cellIs" dxfId="4518" priority="62" operator="between">
      <formula>58.1</formula>
      <formula>60</formula>
    </cfRule>
    <cfRule type="expression" dxfId="4517" priority="63">
      <formula>S67&lt;50</formula>
    </cfRule>
    <cfRule type="expression" dxfId="4516" priority="64">
      <formula>S67&gt;60</formula>
    </cfRule>
  </conditionalFormatting>
  <conditionalFormatting sqref="S69">
    <cfRule type="cellIs" dxfId="4515" priority="57" operator="between">
      <formula>35</formula>
      <formula>36.9</formula>
    </cfRule>
    <cfRule type="cellIs" dxfId="4514" priority="58" operator="between">
      <formula>43.1</formula>
      <formula>45</formula>
    </cfRule>
    <cfRule type="expression" dxfId="4513" priority="59">
      <formula>S69&lt;35</formula>
    </cfRule>
    <cfRule type="expression" dxfId="4512" priority="60">
      <formula>S69&gt;45</formula>
    </cfRule>
  </conditionalFormatting>
  <conditionalFormatting sqref="Y64">
    <cfRule type="cellIs" dxfId="4511" priority="53" operator="between">
      <formula>50</formula>
      <formula>54.9</formula>
    </cfRule>
    <cfRule type="cellIs" dxfId="4510" priority="54" operator="between">
      <formula>65.1</formula>
      <formula>70</formula>
    </cfRule>
    <cfRule type="expression" dxfId="4509" priority="55">
      <formula>Y64&lt;50</formula>
    </cfRule>
    <cfRule type="expression" dxfId="4508" priority="56">
      <formula>Y64&gt;70</formula>
    </cfRule>
  </conditionalFormatting>
  <conditionalFormatting sqref="Y68">
    <cfRule type="cellIs" dxfId="4507" priority="49" operator="between">
      <formula>20</formula>
      <formula>24.9</formula>
    </cfRule>
    <cfRule type="cellIs" dxfId="4506" priority="50" operator="between">
      <formula>31.1</formula>
      <formula>35</formula>
    </cfRule>
    <cfRule type="expression" dxfId="4505" priority="51">
      <formula>Y68&lt;20</formula>
    </cfRule>
    <cfRule type="expression" dxfId="4504" priority="52">
      <formula>Y68&gt;35</formula>
    </cfRule>
  </conditionalFormatting>
  <conditionalFormatting sqref="Y70">
    <cfRule type="cellIs" dxfId="4503" priority="45" operator="between">
      <formula>50</formula>
      <formula>51.9</formula>
    </cfRule>
    <cfRule type="cellIs" dxfId="4502" priority="46" operator="between">
      <formula>58.1</formula>
      <formula>60</formula>
    </cfRule>
    <cfRule type="expression" dxfId="4501" priority="47">
      <formula>Y70&lt;50</formula>
    </cfRule>
    <cfRule type="expression" dxfId="4500" priority="48">
      <formula>Y70&gt;60</formula>
    </cfRule>
  </conditionalFormatting>
  <conditionalFormatting sqref="Y65">
    <cfRule type="cellIs" dxfId="4499" priority="41" operator="between">
      <formula>50</formula>
      <formula>54.9</formula>
    </cfRule>
    <cfRule type="cellIs" dxfId="4498" priority="42" operator="between">
      <formula>65.1</formula>
      <formula>70</formula>
    </cfRule>
    <cfRule type="expression" dxfId="4497" priority="43">
      <formula>Y65&lt;50</formula>
    </cfRule>
    <cfRule type="expression" dxfId="4496" priority="44">
      <formula>Y65&gt;70</formula>
    </cfRule>
  </conditionalFormatting>
  <conditionalFormatting sqref="Y66">
    <cfRule type="cellIs" dxfId="4495" priority="37" operator="between">
      <formula>50</formula>
      <formula>51.9</formula>
    </cfRule>
    <cfRule type="cellIs" dxfId="4494" priority="38" operator="between">
      <formula>58.1</formula>
      <formula>60</formula>
    </cfRule>
    <cfRule type="expression" dxfId="4493" priority="39">
      <formula>Y66&lt;50</formula>
    </cfRule>
    <cfRule type="expression" dxfId="4492" priority="40">
      <formula>Y66&gt;60</formula>
    </cfRule>
  </conditionalFormatting>
  <conditionalFormatting sqref="Y67">
    <cfRule type="cellIs" dxfId="4491" priority="33" operator="between">
      <formula>50</formula>
      <formula>51.9</formula>
    </cfRule>
    <cfRule type="cellIs" dxfId="4490" priority="34" operator="between">
      <formula>58.1</formula>
      <formula>60</formula>
    </cfRule>
    <cfRule type="expression" dxfId="4489" priority="35">
      <formula>Y67&lt;50</formula>
    </cfRule>
    <cfRule type="expression" dxfId="4488" priority="36">
      <formula>Y67&gt;60</formula>
    </cfRule>
  </conditionalFormatting>
  <conditionalFormatting sqref="Y69">
    <cfRule type="cellIs" dxfId="4487" priority="29" operator="between">
      <formula>35</formula>
      <formula>36.9</formula>
    </cfRule>
    <cfRule type="cellIs" dxfId="4486" priority="30" operator="between">
      <formula>43.1</formula>
      <formula>45</formula>
    </cfRule>
    <cfRule type="expression" dxfId="4485" priority="31">
      <formula>Y69&lt;35</formula>
    </cfRule>
    <cfRule type="expression" dxfId="4484" priority="32">
      <formula>Y69&gt;45</formula>
    </cfRule>
  </conditionalFormatting>
  <conditionalFormatting sqref="AA64">
    <cfRule type="cellIs" dxfId="4483" priority="25" operator="between">
      <formula>50</formula>
      <formula>54.9</formula>
    </cfRule>
    <cfRule type="cellIs" dxfId="4482" priority="26" operator="between">
      <formula>65.1</formula>
      <formula>70</formula>
    </cfRule>
    <cfRule type="expression" dxfId="4481" priority="27">
      <formula>AA64&lt;50</formula>
    </cfRule>
    <cfRule type="expression" dxfId="4480" priority="28">
      <formula>AA64&gt;70</formula>
    </cfRule>
  </conditionalFormatting>
  <conditionalFormatting sqref="AA68">
    <cfRule type="cellIs" dxfId="4479" priority="21" operator="between">
      <formula>20</formula>
      <formula>24.9</formula>
    </cfRule>
    <cfRule type="cellIs" dxfId="4478" priority="22" operator="between">
      <formula>31.1</formula>
      <formula>35</formula>
    </cfRule>
    <cfRule type="expression" dxfId="4477" priority="23">
      <formula>AA68&lt;20</formula>
    </cfRule>
    <cfRule type="expression" dxfId="4476" priority="24">
      <formula>AA68&gt;35</formula>
    </cfRule>
  </conditionalFormatting>
  <conditionalFormatting sqref="AA70">
    <cfRule type="cellIs" dxfId="4475" priority="17" operator="between">
      <formula>50</formula>
      <formula>51.9</formula>
    </cfRule>
    <cfRule type="cellIs" dxfId="4474" priority="18" operator="between">
      <formula>58.1</formula>
      <formula>60</formula>
    </cfRule>
    <cfRule type="expression" dxfId="4473" priority="19">
      <formula>AA70&lt;50</formula>
    </cfRule>
    <cfRule type="expression" dxfId="4472" priority="20">
      <formula>AA70&gt;60</formula>
    </cfRule>
  </conditionalFormatting>
  <conditionalFormatting sqref="AA65">
    <cfRule type="cellIs" dxfId="4471" priority="13" operator="between">
      <formula>50</formula>
      <formula>54.9</formula>
    </cfRule>
    <cfRule type="cellIs" dxfId="4470" priority="14" operator="between">
      <formula>65.1</formula>
      <formula>70</formula>
    </cfRule>
    <cfRule type="expression" dxfId="4469" priority="15">
      <formula>AA65&lt;50</formula>
    </cfRule>
    <cfRule type="expression" dxfId="4468" priority="16">
      <formula>AA65&gt;70</formula>
    </cfRule>
  </conditionalFormatting>
  <conditionalFormatting sqref="AA66">
    <cfRule type="cellIs" dxfId="4467" priority="9" operator="between">
      <formula>50</formula>
      <formula>51.9</formula>
    </cfRule>
    <cfRule type="cellIs" dxfId="4466" priority="10" operator="between">
      <formula>58.1</formula>
      <formula>60</formula>
    </cfRule>
    <cfRule type="expression" dxfId="4465" priority="11">
      <formula>AA66&lt;50</formula>
    </cfRule>
    <cfRule type="expression" dxfId="4464" priority="12">
      <formula>AA66&gt;60</formula>
    </cfRule>
  </conditionalFormatting>
  <conditionalFormatting sqref="AA67">
    <cfRule type="cellIs" dxfId="4463" priority="5" operator="between">
      <formula>50</formula>
      <formula>51.9</formula>
    </cfRule>
    <cfRule type="cellIs" dxfId="4462" priority="6" operator="between">
      <formula>58.1</formula>
      <formula>60</formula>
    </cfRule>
    <cfRule type="expression" dxfId="4461" priority="7">
      <formula>AA67&lt;50</formula>
    </cfRule>
    <cfRule type="expression" dxfId="4460" priority="8">
      <formula>AA67&gt;60</formula>
    </cfRule>
  </conditionalFormatting>
  <conditionalFormatting sqref="AA69">
    <cfRule type="cellIs" dxfId="4459" priority="1" operator="between">
      <formula>35</formula>
      <formula>36.9</formula>
    </cfRule>
    <cfRule type="cellIs" dxfId="4458" priority="2" operator="between">
      <formula>43.1</formula>
      <formula>45</formula>
    </cfRule>
    <cfRule type="expression" dxfId="4457" priority="3">
      <formula>AA69&lt;35</formula>
    </cfRule>
    <cfRule type="expression" dxfId="4456" priority="4">
      <formula>AA69&gt;45</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1"/>
  <sheetViews>
    <sheetView view="pageBreakPreview" zoomScale="55" zoomScaleNormal="55" zoomScaleSheetLayoutView="55" workbookViewId="0">
      <selection activeCell="AE27" sqref="AE27"/>
    </sheetView>
  </sheetViews>
  <sheetFormatPr defaultRowHeight="15"/>
  <cols>
    <col min="1" max="1" width="2.75" style="271" customWidth="1"/>
    <col min="2" max="2" width="8.5" style="669" customWidth="1"/>
    <col min="3" max="3" width="3.625" style="669" customWidth="1"/>
    <col min="4" max="4" width="2.875" style="669" customWidth="1"/>
    <col min="5" max="5" width="6.25" style="669" customWidth="1"/>
    <col min="6" max="6" width="7.25" style="271" customWidth="1"/>
    <col min="7" max="7" width="14.875" style="670" customWidth="1"/>
    <col min="8" max="8" width="10.875" style="670" customWidth="1"/>
    <col min="9" max="9" width="7.875" style="271" customWidth="1"/>
    <col min="10" max="10" width="3.125" style="271" customWidth="1"/>
    <col min="11" max="11" width="8" style="271" customWidth="1"/>
    <col min="12" max="12" width="4.5" style="271" customWidth="1"/>
    <col min="13" max="13" width="7.125" style="272" customWidth="1"/>
    <col min="14" max="14" width="4.5" style="272" customWidth="1"/>
    <col min="15" max="15" width="7" style="272" customWidth="1"/>
    <col min="16" max="16" width="4.5" style="272" customWidth="1"/>
    <col min="17" max="17" width="7.375" style="271" customWidth="1"/>
    <col min="18" max="18" width="3.25" style="271" customWidth="1"/>
    <col min="19" max="19" width="8.125" style="271" customWidth="1"/>
    <col min="20" max="20" width="4.25" style="271" customWidth="1"/>
    <col min="21" max="21" width="7.5" style="272" customWidth="1"/>
    <col min="22" max="22" width="4.25" style="272" customWidth="1"/>
    <col min="23" max="23" width="7" style="272" customWidth="1"/>
    <col min="24" max="24" width="3.75" style="272" customWidth="1"/>
    <col min="25" max="25" width="7.625" style="271" customWidth="1"/>
    <col min="26" max="26" width="3.25" style="271" customWidth="1"/>
    <col min="27" max="27" width="7.75" style="271" customWidth="1"/>
    <col min="28" max="28" width="4.5" style="271" customWidth="1"/>
    <col min="29" max="29" width="7.25" style="272" customWidth="1"/>
    <col min="30" max="30" width="3.625" style="272" customWidth="1"/>
    <col min="31" max="31" width="7.125" style="272" customWidth="1"/>
    <col min="32" max="32" width="4.5" style="272" customWidth="1"/>
    <col min="33" max="33" width="12.25" style="19" customWidth="1"/>
    <col min="34" max="16384" width="9" style="19"/>
  </cols>
  <sheetData>
    <row r="1" spans="1:33" ht="28.5" customHeight="1">
      <c r="A1" s="2212" t="s">
        <v>146</v>
      </c>
      <c r="B1" s="2212"/>
      <c r="C1" s="2212"/>
      <c r="D1" s="2212"/>
      <c r="E1" s="2212"/>
      <c r="F1" s="2212"/>
      <c r="G1" s="2212"/>
      <c r="H1" s="2212"/>
      <c r="I1" s="2212"/>
      <c r="J1" s="2212"/>
      <c r="K1" s="2212"/>
      <c r="L1" s="2212"/>
      <c r="M1" s="2212"/>
      <c r="N1" s="2212"/>
      <c r="O1" s="2212"/>
      <c r="P1" s="2212"/>
      <c r="Q1" s="2212"/>
      <c r="R1" s="2212"/>
      <c r="S1" s="2212"/>
      <c r="T1" s="2212"/>
      <c r="U1" s="2212"/>
      <c r="V1" s="2212"/>
      <c r="W1" s="2212"/>
      <c r="X1" s="2212"/>
      <c r="Y1" s="2212"/>
      <c r="Z1" s="2212"/>
      <c r="AA1" s="1006"/>
      <c r="AB1" s="1006"/>
      <c r="AC1" s="1048"/>
      <c r="AD1" s="1048"/>
      <c r="AE1" s="1048"/>
      <c r="AF1" s="1048"/>
      <c r="AG1" s="1006"/>
    </row>
    <row r="2" spans="1:33" ht="46.5" customHeight="1">
      <c r="A2" s="2186" t="s">
        <v>237</v>
      </c>
      <c r="B2" s="2186"/>
      <c r="C2" s="2186"/>
      <c r="D2" s="2186"/>
      <c r="E2" s="2186"/>
      <c r="F2" s="2186"/>
      <c r="G2" s="2186"/>
      <c r="H2" s="2186"/>
      <c r="I2" s="2186"/>
      <c r="J2" s="2186"/>
      <c r="K2" s="2186"/>
      <c r="L2" s="2186"/>
      <c r="M2" s="2186"/>
      <c r="N2" s="2186"/>
      <c r="O2" s="2186"/>
      <c r="P2" s="2186"/>
      <c r="Q2" s="2186"/>
      <c r="R2" s="2186"/>
      <c r="S2" s="2186"/>
      <c r="T2" s="2186"/>
      <c r="U2" s="2186"/>
      <c r="V2" s="2186"/>
      <c r="W2" s="2186"/>
      <c r="X2" s="2186"/>
      <c r="Y2" s="2186"/>
      <c r="Z2" s="2186"/>
      <c r="AA2" s="2213"/>
      <c r="AB2" s="2213"/>
      <c r="AC2" s="1049"/>
      <c r="AD2" s="2188" t="s">
        <v>96</v>
      </c>
      <c r="AE2" s="2188"/>
      <c r="AF2" s="2162" t="s">
        <v>97</v>
      </c>
      <c r="AG2" s="2165"/>
    </row>
    <row r="3" spans="1:33" ht="45.75" customHeight="1">
      <c r="A3" s="1078"/>
      <c r="B3" s="2154" t="s">
        <v>233</v>
      </c>
      <c r="C3" s="2154"/>
      <c r="D3" s="645"/>
      <c r="E3" s="646"/>
      <c r="F3" s="1079"/>
      <c r="G3" s="1080"/>
      <c r="H3" s="1633"/>
      <c r="I3" s="1640" t="str">
        <f>'1. XL-1E kh'!$G$3</f>
        <v>2023/03/21</v>
      </c>
      <c r="J3" s="648"/>
      <c r="K3" s="648"/>
      <c r="L3" s="648"/>
      <c r="M3" s="1044"/>
      <c r="N3" s="1044"/>
      <c r="O3" s="1044"/>
      <c r="P3" s="1044"/>
      <c r="Q3" s="648"/>
      <c r="R3" s="1082"/>
      <c r="S3" s="1082"/>
      <c r="Z3" s="1083"/>
      <c r="AA3" s="2210"/>
      <c r="AB3" s="2210"/>
      <c r="AC3" s="1050"/>
      <c r="AD3" s="2196" t="str">
        <f>MENU!AD6</f>
        <v>Trang</v>
      </c>
      <c r="AE3" s="2196"/>
      <c r="AF3" s="2197" t="s">
        <v>11</v>
      </c>
      <c r="AG3" s="2198"/>
    </row>
    <row r="4" spans="1:33" s="59" customFormat="1" ht="51" customHeight="1">
      <c r="A4" s="2192" t="s">
        <v>7</v>
      </c>
      <c r="B4" s="2148" t="s">
        <v>79</v>
      </c>
      <c r="C4" s="2149"/>
      <c r="D4" s="2149"/>
      <c r="E4" s="2150"/>
      <c r="F4" s="2191" t="s">
        <v>136</v>
      </c>
      <c r="G4" s="2125" t="s">
        <v>1424</v>
      </c>
      <c r="H4" s="2173" t="s">
        <v>1412</v>
      </c>
      <c r="I4" s="2131">
        <v>0.26041666666666669</v>
      </c>
      <c r="J4" s="2132"/>
      <c r="K4" s="2132"/>
      <c r="L4" s="2133"/>
      <c r="M4" s="2155" t="s">
        <v>993</v>
      </c>
      <c r="N4" s="2156"/>
      <c r="O4" s="2156"/>
      <c r="P4" s="2157"/>
      <c r="Q4" s="2131">
        <v>0.42708333333333331</v>
      </c>
      <c r="R4" s="2132"/>
      <c r="S4" s="2132"/>
      <c r="T4" s="2133"/>
      <c r="U4" s="2155" t="s">
        <v>993</v>
      </c>
      <c r="V4" s="2156"/>
      <c r="W4" s="2156"/>
      <c r="X4" s="2157"/>
      <c r="Y4" s="2211">
        <v>0.59375</v>
      </c>
      <c r="Z4" s="2191"/>
      <c r="AA4" s="2191"/>
      <c r="AB4" s="2191"/>
      <c r="AC4" s="2155" t="s">
        <v>993</v>
      </c>
      <c r="AD4" s="2156"/>
      <c r="AE4" s="2156"/>
      <c r="AF4" s="2157"/>
      <c r="AG4" s="2219" t="s">
        <v>98</v>
      </c>
    </row>
    <row r="5" spans="1:33" s="59" customFormat="1" ht="51" customHeight="1">
      <c r="A5" s="2192"/>
      <c r="B5" s="2151"/>
      <c r="C5" s="2152"/>
      <c r="D5" s="2152"/>
      <c r="E5" s="2153"/>
      <c r="F5" s="2192"/>
      <c r="G5" s="2126"/>
      <c r="H5" s="2174"/>
      <c r="I5" s="1062" t="s">
        <v>145</v>
      </c>
      <c r="J5" s="2137" t="s">
        <v>1</v>
      </c>
      <c r="K5" s="2138"/>
      <c r="L5" s="2139"/>
      <c r="M5" s="1009" t="s">
        <v>997</v>
      </c>
      <c r="N5" s="2158" t="s">
        <v>1</v>
      </c>
      <c r="O5" s="2158"/>
      <c r="P5" s="2159"/>
      <c r="Q5" s="1062" t="s">
        <v>145</v>
      </c>
      <c r="R5" s="2137" t="s">
        <v>1</v>
      </c>
      <c r="S5" s="2138"/>
      <c r="T5" s="2139"/>
      <c r="U5" s="1009" t="s">
        <v>997</v>
      </c>
      <c r="V5" s="2158" t="s">
        <v>1</v>
      </c>
      <c r="W5" s="2158"/>
      <c r="X5" s="2159"/>
      <c r="Y5" s="1084" t="s">
        <v>145</v>
      </c>
      <c r="Z5" s="2192" t="s">
        <v>1</v>
      </c>
      <c r="AA5" s="2192"/>
      <c r="AB5" s="2192"/>
      <c r="AC5" s="1009" t="s">
        <v>997</v>
      </c>
      <c r="AD5" s="2158" t="s">
        <v>1</v>
      </c>
      <c r="AE5" s="2158"/>
      <c r="AF5" s="2159"/>
      <c r="AG5" s="2219"/>
    </row>
    <row r="6" spans="1:33" ht="51" customHeight="1">
      <c r="A6" s="2205">
        <v>1</v>
      </c>
      <c r="B6" s="2148" t="s">
        <v>147</v>
      </c>
      <c r="C6" s="2166"/>
      <c r="D6" s="2144" t="s">
        <v>258</v>
      </c>
      <c r="E6" s="2145"/>
      <c r="F6" s="54" t="s">
        <v>4</v>
      </c>
      <c r="G6" s="1000" t="str">
        <f>'XM.FILE GOC'!$E$37</f>
        <v>60~80</v>
      </c>
      <c r="H6" s="1000" t="str">
        <f>'XM.FILE GOC'!$F$37</f>
        <v>(70±5)</v>
      </c>
      <c r="I6" s="61">
        <f>'XM.FILE GOC'!I37</f>
        <v>0</v>
      </c>
      <c r="J6" s="66" t="s">
        <v>8</v>
      </c>
      <c r="K6" s="656">
        <f>'XM.FILE GOC'!L37</f>
        <v>188.51</v>
      </c>
      <c r="L6" s="657" t="s">
        <v>9</v>
      </c>
      <c r="M6" s="1010"/>
      <c r="N6" s="1011" t="s">
        <v>8</v>
      </c>
      <c r="O6" s="1042">
        <f>('XM.FILE GOC'!$G$37-M6)*2693/1000</f>
        <v>188.51</v>
      </c>
      <c r="P6" s="1013" t="s">
        <v>9</v>
      </c>
      <c r="Q6" s="61">
        <f>'XM.FILE GOC'!O37</f>
        <v>0</v>
      </c>
      <c r="R6" s="66" t="s">
        <v>8</v>
      </c>
      <c r="S6" s="656">
        <f>'XM.FILE GOC'!R37</f>
        <v>188.51</v>
      </c>
      <c r="T6" s="657" t="s">
        <v>9</v>
      </c>
      <c r="U6" s="1010"/>
      <c r="V6" s="1011" t="s">
        <v>8</v>
      </c>
      <c r="W6" s="1042">
        <f>('XM.FILE GOC'!$G$37-U6)*2693/1000</f>
        <v>188.51</v>
      </c>
      <c r="X6" s="1013" t="s">
        <v>9</v>
      </c>
      <c r="Y6" s="61">
        <f>'XM.FILE GOC'!U37</f>
        <v>0</v>
      </c>
      <c r="Z6" s="66" t="s">
        <v>8</v>
      </c>
      <c r="AA6" s="656">
        <f>'XM.FILE GOC'!X37</f>
        <v>188.51</v>
      </c>
      <c r="AB6" s="657" t="s">
        <v>9</v>
      </c>
      <c r="AC6" s="1010"/>
      <c r="AD6" s="1011" t="s">
        <v>8</v>
      </c>
      <c r="AE6" s="1042">
        <f>('XM.FILE GOC'!$G$37-AC6)*2693/1000</f>
        <v>188.51</v>
      </c>
      <c r="AF6" s="1013" t="s">
        <v>9</v>
      </c>
      <c r="AG6" s="82" t="s">
        <v>12</v>
      </c>
    </row>
    <row r="7" spans="1:33" ht="51" customHeight="1">
      <c r="A7" s="2207"/>
      <c r="B7" s="2217"/>
      <c r="C7" s="2168"/>
      <c r="D7" s="2144" t="s">
        <v>259</v>
      </c>
      <c r="E7" s="2145"/>
      <c r="F7" s="291"/>
      <c r="G7" s="1000" t="s">
        <v>1003</v>
      </c>
      <c r="H7" s="1000"/>
      <c r="I7" s="333"/>
      <c r="J7" s="66"/>
      <c r="K7" s="1066">
        <f>K6/25*7.5</f>
        <v>56.552999999999997</v>
      </c>
      <c r="L7" s="657" t="s">
        <v>10</v>
      </c>
      <c r="M7" s="1010"/>
      <c r="N7" s="1014" t="s">
        <v>8</v>
      </c>
      <c r="O7" s="1015">
        <f>O6/25*7.5</f>
        <v>56.552999999999997</v>
      </c>
      <c r="P7" s="1016" t="s">
        <v>10</v>
      </c>
      <c r="Q7" s="333"/>
      <c r="R7" s="66"/>
      <c r="S7" s="1066">
        <f>S6/25*7.5</f>
        <v>56.552999999999997</v>
      </c>
      <c r="T7" s="657" t="s">
        <v>10</v>
      </c>
      <c r="U7" s="1010"/>
      <c r="V7" s="1014" t="s">
        <v>8</v>
      </c>
      <c r="W7" s="1015">
        <f>W6/25*7.5</f>
        <v>56.552999999999997</v>
      </c>
      <c r="X7" s="1016" t="s">
        <v>10</v>
      </c>
      <c r="Y7" s="333"/>
      <c r="Z7" s="66"/>
      <c r="AA7" s="1066">
        <f>AA6/25*7.5</f>
        <v>56.552999999999997</v>
      </c>
      <c r="AB7" s="657" t="s">
        <v>10</v>
      </c>
      <c r="AC7" s="1010"/>
      <c r="AD7" s="1014" t="s">
        <v>8</v>
      </c>
      <c r="AE7" s="1015">
        <f>AE6/25*7.5</f>
        <v>56.552999999999997</v>
      </c>
      <c r="AF7" s="1016" t="s">
        <v>10</v>
      </c>
      <c r="AG7" s="300"/>
    </row>
    <row r="8" spans="1:33" ht="51" customHeight="1">
      <c r="A8" s="2205">
        <v>2</v>
      </c>
      <c r="B8" s="2148" t="s">
        <v>148</v>
      </c>
      <c r="C8" s="2166"/>
      <c r="D8" s="2144" t="s">
        <v>258</v>
      </c>
      <c r="E8" s="2145"/>
      <c r="F8" s="54" t="s">
        <v>4</v>
      </c>
      <c r="G8" s="1000" t="str">
        <f>'XM.FILE GOC'!$E$38</f>
        <v>60~80</v>
      </c>
      <c r="H8" s="1000" t="str">
        <f>'XM.FILE GOC'!$F$38</f>
        <v>(70±5)</v>
      </c>
      <c r="I8" s="61">
        <f>'XM.FILE GOC'!I38</f>
        <v>0</v>
      </c>
      <c r="J8" s="66" t="s">
        <v>8</v>
      </c>
      <c r="K8" s="656">
        <f>'XM.FILE GOC'!L38</f>
        <v>231.35</v>
      </c>
      <c r="L8" s="657" t="s">
        <v>9</v>
      </c>
      <c r="M8" s="1010"/>
      <c r="N8" s="1011" t="s">
        <v>8</v>
      </c>
      <c r="O8" s="1042">
        <f>('XM.FILE GOC'!$G$38-M8)*3305/1000</f>
        <v>231.35</v>
      </c>
      <c r="P8" s="1013" t="s">
        <v>9</v>
      </c>
      <c r="Q8" s="61">
        <f>'XM.FILE GOC'!O38</f>
        <v>0</v>
      </c>
      <c r="R8" s="66" t="s">
        <v>8</v>
      </c>
      <c r="S8" s="656">
        <f>'XM.FILE GOC'!R38</f>
        <v>231.35</v>
      </c>
      <c r="T8" s="657" t="s">
        <v>9</v>
      </c>
      <c r="U8" s="1010"/>
      <c r="V8" s="1011" t="s">
        <v>8</v>
      </c>
      <c r="W8" s="1042">
        <f>('XM.FILE GOC'!$G$38-U8)*3305/1000</f>
        <v>231.35</v>
      </c>
      <c r="X8" s="1013" t="s">
        <v>9</v>
      </c>
      <c r="Y8" s="61">
        <f>'XM.FILE GOC'!U38</f>
        <v>0</v>
      </c>
      <c r="Z8" s="66" t="s">
        <v>8</v>
      </c>
      <c r="AA8" s="656">
        <f>'XM.FILE GOC'!X38</f>
        <v>231.35</v>
      </c>
      <c r="AB8" s="657" t="s">
        <v>9</v>
      </c>
      <c r="AC8" s="1010"/>
      <c r="AD8" s="1011" t="s">
        <v>8</v>
      </c>
      <c r="AE8" s="1042">
        <f>('XM.FILE GOC'!$G$38-AC8)*3305/1000</f>
        <v>231.35</v>
      </c>
      <c r="AF8" s="1013" t="s">
        <v>9</v>
      </c>
      <c r="AG8" s="82" t="s">
        <v>12</v>
      </c>
    </row>
    <row r="9" spans="1:33" ht="51" customHeight="1">
      <c r="A9" s="2207"/>
      <c r="B9" s="2217"/>
      <c r="C9" s="2168"/>
      <c r="D9" s="2144" t="s">
        <v>259</v>
      </c>
      <c r="E9" s="2145"/>
      <c r="F9" s="291"/>
      <c r="G9" s="1000" t="s">
        <v>1003</v>
      </c>
      <c r="H9" s="1000"/>
      <c r="I9" s="333"/>
      <c r="J9" s="66"/>
      <c r="K9" s="1066">
        <f>K8/25*7.5</f>
        <v>69.405000000000001</v>
      </c>
      <c r="L9" s="657" t="s">
        <v>10</v>
      </c>
      <c r="M9" s="1010"/>
      <c r="N9" s="1014" t="s">
        <v>8</v>
      </c>
      <c r="O9" s="1015">
        <f>O8/25*7.5</f>
        <v>69.405000000000001</v>
      </c>
      <c r="P9" s="1016" t="s">
        <v>10</v>
      </c>
      <c r="Q9" s="333"/>
      <c r="R9" s="66"/>
      <c r="S9" s="1066">
        <f>S8/25*7.5</f>
        <v>69.405000000000001</v>
      </c>
      <c r="T9" s="657" t="s">
        <v>10</v>
      </c>
      <c r="U9" s="1010"/>
      <c r="V9" s="1014" t="s">
        <v>8</v>
      </c>
      <c r="W9" s="1015">
        <f>W8/25*7.5</f>
        <v>69.405000000000001</v>
      </c>
      <c r="X9" s="1016" t="s">
        <v>10</v>
      </c>
      <c r="Y9" s="333"/>
      <c r="Z9" s="66"/>
      <c r="AA9" s="1066">
        <f>AA8/25*7.5</f>
        <v>69.405000000000001</v>
      </c>
      <c r="AB9" s="657" t="s">
        <v>10</v>
      </c>
      <c r="AC9" s="1010"/>
      <c r="AD9" s="1014" t="s">
        <v>8</v>
      </c>
      <c r="AE9" s="1015">
        <f>AE8/25*7.5</f>
        <v>69.405000000000001</v>
      </c>
      <c r="AF9" s="1016" t="s">
        <v>10</v>
      </c>
      <c r="AG9" s="300"/>
    </row>
    <row r="10" spans="1:33" ht="51" customHeight="1">
      <c r="A10" s="2205">
        <v>3</v>
      </c>
      <c r="B10" s="2142" t="s">
        <v>149</v>
      </c>
      <c r="C10" s="2143"/>
      <c r="D10" s="2146" t="s">
        <v>260</v>
      </c>
      <c r="E10" s="2147" t="s">
        <v>260</v>
      </c>
      <c r="F10" s="54" t="s">
        <v>4</v>
      </c>
      <c r="G10" s="1000" t="str">
        <f>'XM.FILE GOC'!$E$39</f>
        <v>50~70</v>
      </c>
      <c r="H10" s="1000" t="str">
        <f>'XM.FILE GOC'!$F$39</f>
        <v>(60±5)</v>
      </c>
      <c r="I10" s="333">
        <f>'XM.FILE GOC'!I39</f>
        <v>0</v>
      </c>
      <c r="J10" s="66" t="s">
        <v>8</v>
      </c>
      <c r="K10" s="656">
        <f>'XM.FILE GOC'!L39</f>
        <v>69.36</v>
      </c>
      <c r="L10" s="657" t="s">
        <v>9</v>
      </c>
      <c r="M10" s="1010"/>
      <c r="N10" s="1011" t="s">
        <v>8</v>
      </c>
      <c r="O10" s="1042">
        <f>('XM.FILE GOC'!$G$39-M10)*1156/1000</f>
        <v>69.36</v>
      </c>
      <c r="P10" s="1013" t="s">
        <v>9</v>
      </c>
      <c r="Q10" s="333">
        <f>'XM.FILE GOC'!O39</f>
        <v>0</v>
      </c>
      <c r="R10" s="66" t="s">
        <v>8</v>
      </c>
      <c r="S10" s="656">
        <f>'XM.FILE GOC'!R39</f>
        <v>69.36</v>
      </c>
      <c r="T10" s="657" t="s">
        <v>9</v>
      </c>
      <c r="U10" s="1010"/>
      <c r="V10" s="1011" t="s">
        <v>8</v>
      </c>
      <c r="W10" s="1042">
        <f>('XM.FILE GOC'!$G$39-U10)*1156/1000</f>
        <v>69.36</v>
      </c>
      <c r="X10" s="1013" t="s">
        <v>9</v>
      </c>
      <c r="Y10" s="333">
        <f>'XM.FILE GOC'!U39</f>
        <v>0</v>
      </c>
      <c r="Z10" s="66" t="s">
        <v>8</v>
      </c>
      <c r="AA10" s="656">
        <f>'XM.FILE GOC'!X39</f>
        <v>69.36</v>
      </c>
      <c r="AB10" s="657" t="s">
        <v>9</v>
      </c>
      <c r="AC10" s="1010"/>
      <c r="AD10" s="1011" t="s">
        <v>8</v>
      </c>
      <c r="AE10" s="1042">
        <f>('XM.FILE GOC'!$G$39-AC10)*1156/1000</f>
        <v>69.36</v>
      </c>
      <c r="AF10" s="1013" t="s">
        <v>9</v>
      </c>
      <c r="AG10" s="82" t="s">
        <v>12</v>
      </c>
    </row>
    <row r="11" spans="1:33" ht="51" customHeight="1">
      <c r="A11" s="2206"/>
      <c r="B11" s="2143"/>
      <c r="C11" s="2143"/>
      <c r="D11" s="2146" t="s">
        <v>261</v>
      </c>
      <c r="E11" s="2147" t="s">
        <v>261</v>
      </c>
      <c r="F11" s="291"/>
      <c r="G11" s="1000" t="s">
        <v>1048</v>
      </c>
      <c r="H11" s="1000"/>
      <c r="I11" s="333"/>
      <c r="J11" s="66"/>
      <c r="K11" s="1066">
        <f>K10/25*7</f>
        <v>19.4208</v>
      </c>
      <c r="L11" s="657" t="s">
        <v>10</v>
      </c>
      <c r="M11" s="1010"/>
      <c r="N11" s="1014" t="s">
        <v>8</v>
      </c>
      <c r="O11" s="1015">
        <f>O10/25*7</f>
        <v>19.4208</v>
      </c>
      <c r="P11" s="1016" t="s">
        <v>10</v>
      </c>
      <c r="Q11" s="333"/>
      <c r="R11" s="66"/>
      <c r="S11" s="1066">
        <f>S10/25*7</f>
        <v>19.4208</v>
      </c>
      <c r="T11" s="657" t="s">
        <v>10</v>
      </c>
      <c r="U11" s="1010"/>
      <c r="V11" s="1014" t="s">
        <v>8</v>
      </c>
      <c r="W11" s="1015">
        <f>W10/25*7</f>
        <v>19.4208</v>
      </c>
      <c r="X11" s="1016" t="s">
        <v>10</v>
      </c>
      <c r="Y11" s="333"/>
      <c r="Z11" s="66"/>
      <c r="AA11" s="1066">
        <f>AA10/25*7</f>
        <v>19.4208</v>
      </c>
      <c r="AB11" s="657" t="s">
        <v>10</v>
      </c>
      <c r="AC11" s="1010"/>
      <c r="AD11" s="1014" t="s">
        <v>8</v>
      </c>
      <c r="AE11" s="1015">
        <f>AE10/25*7</f>
        <v>19.4208</v>
      </c>
      <c r="AF11" s="1016" t="s">
        <v>10</v>
      </c>
      <c r="AG11" s="20"/>
    </row>
    <row r="12" spans="1:33" ht="51" customHeight="1">
      <c r="A12" s="2205">
        <v>4</v>
      </c>
      <c r="B12" s="2142" t="s">
        <v>150</v>
      </c>
      <c r="C12" s="2143"/>
      <c r="D12" s="2146" t="s">
        <v>260</v>
      </c>
      <c r="E12" s="2147" t="s">
        <v>260</v>
      </c>
      <c r="F12" s="54" t="s">
        <v>4</v>
      </c>
      <c r="G12" s="1000" t="str">
        <f>'XM.FILE GOC'!$E$40</f>
        <v>50~70</v>
      </c>
      <c r="H12" s="1000" t="str">
        <f>'XM.FILE GOC'!$F$40</f>
        <v>(60±5)</v>
      </c>
      <c r="I12" s="333">
        <f>'XM.FILE GOC'!I40</f>
        <v>0</v>
      </c>
      <c r="J12" s="66" t="s">
        <v>8</v>
      </c>
      <c r="K12" s="656">
        <f>'XM.FILE GOC'!L40</f>
        <v>87.54</v>
      </c>
      <c r="L12" s="657" t="s">
        <v>9</v>
      </c>
      <c r="M12" s="1010"/>
      <c r="N12" s="1011" t="s">
        <v>8</v>
      </c>
      <c r="O12" s="1042">
        <f>('XM.FILE GOC'!$G$40-M12)*1459/1000</f>
        <v>87.54</v>
      </c>
      <c r="P12" s="1013" t="s">
        <v>9</v>
      </c>
      <c r="Q12" s="333">
        <f>'XM.FILE GOC'!O40</f>
        <v>0</v>
      </c>
      <c r="R12" s="66" t="s">
        <v>8</v>
      </c>
      <c r="S12" s="656">
        <f>'XM.FILE GOC'!R40</f>
        <v>87.54</v>
      </c>
      <c r="T12" s="657" t="s">
        <v>9</v>
      </c>
      <c r="U12" s="1010"/>
      <c r="V12" s="1011" t="s">
        <v>8</v>
      </c>
      <c r="W12" s="1042">
        <f>('XM.FILE GOC'!$G$40-U12)*1459/1000</f>
        <v>87.54</v>
      </c>
      <c r="X12" s="1013" t="s">
        <v>9</v>
      </c>
      <c r="Y12" s="333">
        <f>'XM.FILE GOC'!U40</f>
        <v>0</v>
      </c>
      <c r="Z12" s="66" t="s">
        <v>8</v>
      </c>
      <c r="AA12" s="656">
        <f>'XM.FILE GOC'!X40</f>
        <v>87.54</v>
      </c>
      <c r="AB12" s="657" t="s">
        <v>9</v>
      </c>
      <c r="AC12" s="1010"/>
      <c r="AD12" s="1011" t="s">
        <v>8</v>
      </c>
      <c r="AE12" s="1042">
        <f>('XM.FILE GOC'!$G$40-AC12)*1459/1000</f>
        <v>87.54</v>
      </c>
      <c r="AF12" s="1013" t="s">
        <v>9</v>
      </c>
      <c r="AG12" s="82" t="s">
        <v>12</v>
      </c>
    </row>
    <row r="13" spans="1:33" ht="51" customHeight="1">
      <c r="A13" s="2206"/>
      <c r="B13" s="2143"/>
      <c r="C13" s="2143"/>
      <c r="D13" s="2146" t="s">
        <v>261</v>
      </c>
      <c r="E13" s="2147" t="s">
        <v>261</v>
      </c>
      <c r="F13" s="291"/>
      <c r="G13" s="1000" t="s">
        <v>1048</v>
      </c>
      <c r="H13" s="1000"/>
      <c r="I13" s="333"/>
      <c r="J13" s="66"/>
      <c r="K13" s="1066">
        <f>K12/25*7</f>
        <v>24.511200000000002</v>
      </c>
      <c r="L13" s="657" t="s">
        <v>10</v>
      </c>
      <c r="M13" s="1010"/>
      <c r="N13" s="1014" t="s">
        <v>8</v>
      </c>
      <c r="O13" s="1015">
        <f>O12/25*7</f>
        <v>24.511200000000002</v>
      </c>
      <c r="P13" s="1016" t="s">
        <v>10</v>
      </c>
      <c r="Q13" s="333"/>
      <c r="R13" s="66"/>
      <c r="S13" s="1066">
        <f>S12/25*7</f>
        <v>24.511200000000002</v>
      </c>
      <c r="T13" s="657" t="s">
        <v>10</v>
      </c>
      <c r="U13" s="1010"/>
      <c r="V13" s="1014" t="s">
        <v>8</v>
      </c>
      <c r="W13" s="1015">
        <f>W12/25*7</f>
        <v>24.511200000000002</v>
      </c>
      <c r="X13" s="1016" t="s">
        <v>10</v>
      </c>
      <c r="Y13" s="333"/>
      <c r="Z13" s="66"/>
      <c r="AA13" s="1066">
        <f>AA12/25*7</f>
        <v>24.511200000000002</v>
      </c>
      <c r="AB13" s="657" t="s">
        <v>10</v>
      </c>
      <c r="AC13" s="1010"/>
      <c r="AD13" s="1014" t="s">
        <v>8</v>
      </c>
      <c r="AE13" s="1015">
        <f>AE12/25*7</f>
        <v>24.511200000000002</v>
      </c>
      <c r="AF13" s="1016" t="s">
        <v>10</v>
      </c>
      <c r="AG13" s="20"/>
    </row>
    <row r="14" spans="1:33" ht="51" customHeight="1">
      <c r="A14" s="54">
        <v>5</v>
      </c>
      <c r="B14" s="2146" t="s">
        <v>82</v>
      </c>
      <c r="C14" s="2180"/>
      <c r="D14" s="2180"/>
      <c r="E14" s="2147"/>
      <c r="F14" s="54" t="s">
        <v>4</v>
      </c>
      <c r="G14" s="1000" t="str">
        <f>'XM.FILE GOC'!$E$41</f>
        <v>130 - 150</v>
      </c>
      <c r="H14" s="1000" t="str">
        <f>'XM.FILE GOC'!$F$41</f>
        <v>(140±10)</v>
      </c>
      <c r="I14" s="333">
        <f>'XM.FILE GOC'!I41</f>
        <v>0</v>
      </c>
      <c r="J14" s="66" t="s">
        <v>8</v>
      </c>
      <c r="K14" s="656">
        <f>'XM.FILE GOC'!L41</f>
        <v>2793.14</v>
      </c>
      <c r="L14" s="657" t="s">
        <v>9</v>
      </c>
      <c r="M14" s="1010"/>
      <c r="N14" s="1011" t="s">
        <v>8</v>
      </c>
      <c r="O14" s="1042">
        <f>('XM.FILE GOC'!$G$41-M14)*19951/1000</f>
        <v>2793.14</v>
      </c>
      <c r="P14" s="1013" t="s">
        <v>9</v>
      </c>
      <c r="Q14" s="333">
        <f>'XM.FILE GOC'!O41</f>
        <v>0</v>
      </c>
      <c r="R14" s="66" t="s">
        <v>8</v>
      </c>
      <c r="S14" s="656">
        <f>'XM.FILE GOC'!R41</f>
        <v>2793.14</v>
      </c>
      <c r="T14" s="657" t="s">
        <v>9</v>
      </c>
      <c r="U14" s="1010"/>
      <c r="V14" s="1011" t="s">
        <v>8</v>
      </c>
      <c r="W14" s="1042">
        <f>('XM.FILE GOC'!$G$41-U14)*19951/1000</f>
        <v>2793.14</v>
      </c>
      <c r="X14" s="1013" t="s">
        <v>9</v>
      </c>
      <c r="Y14" s="333">
        <f>'XM.FILE GOC'!U41</f>
        <v>0</v>
      </c>
      <c r="Z14" s="66" t="s">
        <v>8</v>
      </c>
      <c r="AA14" s="656">
        <f>'XM.FILE GOC'!X41</f>
        <v>2793.14</v>
      </c>
      <c r="AB14" s="657" t="s">
        <v>9</v>
      </c>
      <c r="AC14" s="1010"/>
      <c r="AD14" s="1011" t="s">
        <v>8</v>
      </c>
      <c r="AE14" s="1042">
        <f>('XM.FILE GOC'!$G$41-AC14)*19951/1000</f>
        <v>2793.14</v>
      </c>
      <c r="AF14" s="1013" t="s">
        <v>9</v>
      </c>
      <c r="AG14" s="82" t="s">
        <v>13</v>
      </c>
    </row>
    <row r="15" spans="1:33" ht="51" customHeight="1">
      <c r="A15" s="54">
        <v>6</v>
      </c>
      <c r="B15" s="2146" t="s">
        <v>60</v>
      </c>
      <c r="C15" s="2180"/>
      <c r="D15" s="2180"/>
      <c r="E15" s="2147"/>
      <c r="F15" s="54" t="s">
        <v>4</v>
      </c>
      <c r="G15" s="1000" t="str">
        <f>'XM.FILE GOC'!$E$42</f>
        <v>8~12</v>
      </c>
      <c r="H15" s="1000" t="str">
        <f>'XM.FILE GOC'!$F$42</f>
        <v>(10±1)</v>
      </c>
      <c r="I15" s="333">
        <f>'XM.FILE GOC'!I42</f>
        <v>0</v>
      </c>
      <c r="J15" s="1063" t="s">
        <v>8</v>
      </c>
      <c r="K15" s="1064">
        <f>'XM.FILE GOC'!L42</f>
        <v>199.51</v>
      </c>
      <c r="L15" s="18" t="s">
        <v>9</v>
      </c>
      <c r="M15" s="1010"/>
      <c r="N15" s="1011" t="s">
        <v>8</v>
      </c>
      <c r="O15" s="1042">
        <f>('XM.FILE GOC'!$G$42-M15)*19951/1000</f>
        <v>199.51</v>
      </c>
      <c r="P15" s="1013" t="s">
        <v>9</v>
      </c>
      <c r="Q15" s="333">
        <f>'XM.FILE GOC'!O42</f>
        <v>0</v>
      </c>
      <c r="R15" s="66" t="s">
        <v>8</v>
      </c>
      <c r="S15" s="656">
        <f>'XM.FILE GOC'!R42</f>
        <v>199.51</v>
      </c>
      <c r="T15" s="18" t="s">
        <v>9</v>
      </c>
      <c r="U15" s="1010"/>
      <c r="V15" s="1011" t="s">
        <v>8</v>
      </c>
      <c r="W15" s="1042">
        <f>('XM.FILE GOC'!$G$42-U15)*19951/1000</f>
        <v>199.51</v>
      </c>
      <c r="X15" s="1013" t="s">
        <v>9</v>
      </c>
      <c r="Y15" s="333">
        <f>'XM.FILE GOC'!U42</f>
        <v>0</v>
      </c>
      <c r="Z15" s="1063" t="s">
        <v>8</v>
      </c>
      <c r="AA15" s="1064">
        <f>'XM.FILE GOC'!X42</f>
        <v>199.51</v>
      </c>
      <c r="AB15" s="18" t="s">
        <v>9</v>
      </c>
      <c r="AC15" s="1010"/>
      <c r="AD15" s="1011" t="s">
        <v>8</v>
      </c>
      <c r="AE15" s="1042">
        <f>('XM.FILE GOC'!$G$42-AC15)*19951/1000</f>
        <v>199.51</v>
      </c>
      <c r="AF15" s="1013" t="s">
        <v>9</v>
      </c>
      <c r="AG15" s="82" t="s">
        <v>14</v>
      </c>
    </row>
    <row r="16" spans="1:33" ht="51" customHeight="1">
      <c r="A16" s="2205">
        <v>7</v>
      </c>
      <c r="B16" s="2148" t="s">
        <v>1000</v>
      </c>
      <c r="C16" s="2149"/>
      <c r="D16" s="2149"/>
      <c r="E16" s="2150"/>
      <c r="F16" s="54" t="s">
        <v>3</v>
      </c>
      <c r="G16" s="1000" t="str">
        <f>'XM.FILE GOC'!$E$43</f>
        <v xml:space="preserve">6~10 </v>
      </c>
      <c r="H16" s="1000" t="str">
        <f>'XM.FILE GOC'!$F$43</f>
        <v>(8±0.5)</v>
      </c>
      <c r="I16" s="61">
        <f>'XM.FILE GOC'!I43</f>
        <v>-1.0461</v>
      </c>
      <c r="J16" s="1063" t="s">
        <v>8</v>
      </c>
      <c r="K16" s="1064">
        <f>'XM.FILE GOC'!L43</f>
        <v>52.015074999999996</v>
      </c>
      <c r="L16" s="1065"/>
      <c r="M16" s="1010"/>
      <c r="N16" s="1014" t="s">
        <v>8</v>
      </c>
      <c r="O16" s="1042">
        <f>('XM.FILE GOC'!$G$43-M16)*575/108</f>
        <v>42.592592592592595</v>
      </c>
      <c r="P16" s="1016" t="s">
        <v>10</v>
      </c>
      <c r="Q16" s="61">
        <f>'XM.FILE GOC'!O43</f>
        <v>-1.0461</v>
      </c>
      <c r="R16" s="1063" t="s">
        <v>8</v>
      </c>
      <c r="S16" s="1064">
        <f>'XM.FILE GOC'!R43</f>
        <v>52.015074999999996</v>
      </c>
      <c r="T16" s="1065" t="s">
        <v>10</v>
      </c>
      <c r="U16" s="1010"/>
      <c r="V16" s="1014" t="s">
        <v>8</v>
      </c>
      <c r="W16" s="1042">
        <f>('XM.FILE GOC'!$G$43-U16)*575/108</f>
        <v>42.592592592592595</v>
      </c>
      <c r="X16" s="1016" t="s">
        <v>10</v>
      </c>
      <c r="Y16" s="61">
        <f>'XM.FILE GOC'!U43</f>
        <v>-1.0461</v>
      </c>
      <c r="Z16" s="66" t="s">
        <v>8</v>
      </c>
      <c r="AA16" s="656">
        <f>'XM.FILE GOC'!X43</f>
        <v>52.015074999999996</v>
      </c>
      <c r="AB16" s="657" t="s">
        <v>10</v>
      </c>
      <c r="AC16" s="1010"/>
      <c r="AD16" s="1014" t="s">
        <v>8</v>
      </c>
      <c r="AE16" s="1042">
        <f>('XM.FILE GOC'!$G$43-AC16)*575/108</f>
        <v>42.592592592592595</v>
      </c>
      <c r="AF16" s="1016" t="s">
        <v>10</v>
      </c>
      <c r="AG16" s="82"/>
    </row>
    <row r="17" spans="1:33" ht="51" customHeight="1">
      <c r="A17" s="2206"/>
      <c r="B17" s="2151"/>
      <c r="C17" s="2152"/>
      <c r="D17" s="2152"/>
      <c r="E17" s="2153"/>
      <c r="F17" s="54" t="s">
        <v>5</v>
      </c>
      <c r="G17" s="1000" t="str">
        <f>'XM.FILE GOC'!$E$44</f>
        <v>2~2.5</v>
      </c>
      <c r="H17" s="1000" t="str">
        <f>'XM.FILE GOC'!$F$44</f>
        <v>(2.3±0.1 )</v>
      </c>
      <c r="I17" s="67">
        <f>'XM.FILE GOC'!I44</f>
        <v>0</v>
      </c>
      <c r="J17" s="1067"/>
      <c r="K17" s="1064">
        <f>'XM.FILE GOC'!L44</f>
        <v>0</v>
      </c>
      <c r="L17" s="1068"/>
      <c r="M17" s="1010"/>
      <c r="N17" s="1017"/>
      <c r="O17" s="1045"/>
      <c r="P17" s="1018"/>
      <c r="Q17" s="67">
        <f>'XM.FILE GOC'!O44</f>
        <v>0</v>
      </c>
      <c r="R17" s="1067"/>
      <c r="S17" s="1064">
        <f>'XM.FILE GOC'!R44</f>
        <v>0</v>
      </c>
      <c r="T17" s="1068"/>
      <c r="U17" s="1010"/>
      <c r="V17" s="1017"/>
      <c r="W17" s="1045"/>
      <c r="X17" s="1018"/>
      <c r="Y17" s="67">
        <f>'XM.FILE GOC'!U44</f>
        <v>0</v>
      </c>
      <c r="Z17" s="1067"/>
      <c r="AA17" s="1064">
        <f>'XM.FILE GOC'!X44</f>
        <v>0</v>
      </c>
      <c r="AB17" s="657"/>
      <c r="AC17" s="1010"/>
      <c r="AD17" s="1017"/>
      <c r="AE17" s="1045"/>
      <c r="AF17" s="1018"/>
      <c r="AG17" s="20"/>
    </row>
    <row r="18" spans="1:33" ht="51" customHeight="1">
      <c r="A18" s="54">
        <v>8</v>
      </c>
      <c r="B18" s="2146" t="s">
        <v>61</v>
      </c>
      <c r="C18" s="2180"/>
      <c r="D18" s="2180"/>
      <c r="E18" s="2147"/>
      <c r="F18" s="1073" t="s">
        <v>6</v>
      </c>
      <c r="G18" s="1000" t="str">
        <f>'XM.FILE GOC'!$E$45</f>
        <v xml:space="preserve">30~60 </v>
      </c>
      <c r="H18" s="1000" t="str">
        <f>'XM.FILE GOC'!$F$45</f>
        <v>(45±5)</v>
      </c>
      <c r="I18" s="337">
        <f>'XM.FILE GOC'!I45</f>
        <v>0</v>
      </c>
      <c r="J18" s="66" t="s">
        <v>8</v>
      </c>
      <c r="K18" s="656">
        <f>'XM.FILE GOC'!L45</f>
        <v>954.9</v>
      </c>
      <c r="L18" s="657" t="s">
        <v>10</v>
      </c>
      <c r="M18" s="1020"/>
      <c r="N18" s="1011" t="s">
        <v>8</v>
      </c>
      <c r="O18" s="1042">
        <f>('XM.FILE GOC'!$G$45-M18)*2122</f>
        <v>954.9</v>
      </c>
      <c r="P18" s="1013" t="s">
        <v>10</v>
      </c>
      <c r="Q18" s="337">
        <f>'XM.FILE GOC'!O45</f>
        <v>0</v>
      </c>
      <c r="R18" s="66" t="s">
        <v>8</v>
      </c>
      <c r="S18" s="656">
        <f>'XM.FILE GOC'!R45</f>
        <v>954.9</v>
      </c>
      <c r="T18" s="657" t="s">
        <v>10</v>
      </c>
      <c r="U18" s="1020"/>
      <c r="V18" s="1011" t="s">
        <v>8</v>
      </c>
      <c r="W18" s="1042">
        <f>('XM.FILE GOC'!$G$45-U18)*2122</f>
        <v>954.9</v>
      </c>
      <c r="X18" s="1013" t="s">
        <v>10</v>
      </c>
      <c r="Y18" s="337">
        <f>'XM.FILE GOC'!U45</f>
        <v>0</v>
      </c>
      <c r="Z18" s="66" t="s">
        <v>8</v>
      </c>
      <c r="AA18" s="656">
        <f>'XM.FILE GOC'!X45</f>
        <v>954.9</v>
      </c>
      <c r="AB18" s="657" t="s">
        <v>10</v>
      </c>
      <c r="AC18" s="1020"/>
      <c r="AD18" s="1011" t="s">
        <v>8</v>
      </c>
      <c r="AE18" s="1042">
        <f>('XM.FILE GOC'!$G$45-AC18)*2122</f>
        <v>954.9</v>
      </c>
      <c r="AF18" s="1013" t="s">
        <v>10</v>
      </c>
      <c r="AG18" s="82" t="s">
        <v>15</v>
      </c>
    </row>
    <row r="19" spans="1:33" ht="51" customHeight="1">
      <c r="A19" s="54">
        <v>9</v>
      </c>
      <c r="B19" s="2146" t="s">
        <v>62</v>
      </c>
      <c r="C19" s="2180"/>
      <c r="D19" s="2180"/>
      <c r="E19" s="2147"/>
      <c r="F19" s="1073" t="s">
        <v>6</v>
      </c>
      <c r="G19" s="1000" t="str">
        <f>'XM.FILE GOC'!$E$46</f>
        <v>15~30</v>
      </c>
      <c r="H19" s="1000" t="str">
        <f>'XM.FILE GOC'!$F$46</f>
        <v>(22±5 )</v>
      </c>
      <c r="I19" s="337">
        <f>'XM.FILE GOC'!I46</f>
        <v>0</v>
      </c>
      <c r="J19" s="66" t="s">
        <v>8</v>
      </c>
      <c r="K19" s="656">
        <f>'XM.FILE GOC'!L46</f>
        <v>134.64000000000001</v>
      </c>
      <c r="L19" s="657" t="s">
        <v>10</v>
      </c>
      <c r="M19" s="1020"/>
      <c r="N19" s="1011" t="s">
        <v>8</v>
      </c>
      <c r="O19" s="1042">
        <f>('XM.FILE GOC'!$G$46-M19)*612</f>
        <v>134.64000000000001</v>
      </c>
      <c r="P19" s="1013" t="s">
        <v>10</v>
      </c>
      <c r="Q19" s="337">
        <f>'XM.FILE GOC'!O46</f>
        <v>0</v>
      </c>
      <c r="R19" s="66" t="s">
        <v>8</v>
      </c>
      <c r="S19" s="656">
        <f>'XM.FILE GOC'!R46</f>
        <v>134.64000000000001</v>
      </c>
      <c r="T19" s="657" t="s">
        <v>10</v>
      </c>
      <c r="U19" s="1020"/>
      <c r="V19" s="1011" t="s">
        <v>8</v>
      </c>
      <c r="W19" s="1042">
        <f>('XM.FILE GOC'!$G$46-U19)*612</f>
        <v>134.64000000000001</v>
      </c>
      <c r="X19" s="1013" t="s">
        <v>10</v>
      </c>
      <c r="Y19" s="337">
        <f>'XM.FILE GOC'!U46</f>
        <v>0</v>
      </c>
      <c r="Z19" s="66" t="s">
        <v>8</v>
      </c>
      <c r="AA19" s="656">
        <f>'XM.FILE GOC'!X46</f>
        <v>134.64000000000001</v>
      </c>
      <c r="AB19" s="657" t="s">
        <v>10</v>
      </c>
      <c r="AC19" s="1020"/>
      <c r="AD19" s="1011" t="s">
        <v>8</v>
      </c>
      <c r="AE19" s="1042">
        <f>('XM.FILE GOC'!$G$46-AC19)*612</f>
        <v>134.64000000000001</v>
      </c>
      <c r="AF19" s="1013" t="s">
        <v>10</v>
      </c>
      <c r="AG19" s="82" t="s">
        <v>15</v>
      </c>
    </row>
    <row r="20" spans="1:33" ht="51" customHeight="1">
      <c r="A20" s="54">
        <v>11</v>
      </c>
      <c r="B20" s="2146" t="s">
        <v>116</v>
      </c>
      <c r="C20" s="2180"/>
      <c r="D20" s="2180"/>
      <c r="E20" s="2147"/>
      <c r="F20" s="1073" t="s">
        <v>6</v>
      </c>
      <c r="G20" s="1000" t="str">
        <f>'XM.FILE GOC'!$E$47</f>
        <v>5~15</v>
      </c>
      <c r="H20" s="1000" t="str">
        <f>'XM.FILE GOC'!$F$47</f>
        <v>(10±3)</v>
      </c>
      <c r="I20" s="337">
        <f>'XM.FILE GOC'!I47</f>
        <v>0</v>
      </c>
      <c r="J20" s="1063" t="s">
        <v>8</v>
      </c>
      <c r="K20" s="1064">
        <f>'XM.FILE GOC'!L47</f>
        <v>57.5</v>
      </c>
      <c r="L20" s="1065" t="s">
        <v>10</v>
      </c>
      <c r="M20" s="1020"/>
      <c r="N20" s="1011" t="s">
        <v>8</v>
      </c>
      <c r="O20" s="1042">
        <f>('XM.FILE GOC'!$G$47-M20)*575</f>
        <v>57.5</v>
      </c>
      <c r="P20" s="1013" t="s">
        <v>10</v>
      </c>
      <c r="Q20" s="337">
        <f>'XM.FILE GOC'!O47</f>
        <v>0</v>
      </c>
      <c r="R20" s="1063" t="s">
        <v>8</v>
      </c>
      <c r="S20" s="1064">
        <f>'XM.FILE GOC'!R47</f>
        <v>57.5</v>
      </c>
      <c r="T20" s="1065" t="s">
        <v>10</v>
      </c>
      <c r="U20" s="1020"/>
      <c r="V20" s="1011" t="s">
        <v>8</v>
      </c>
      <c r="W20" s="1042">
        <f>('XM.FILE GOC'!$G$47-U20)*575</f>
        <v>57.5</v>
      </c>
      <c r="X20" s="1013" t="s">
        <v>10</v>
      </c>
      <c r="Y20" s="337">
        <f>'XM.FILE GOC'!U47</f>
        <v>0</v>
      </c>
      <c r="Z20" s="1063" t="s">
        <v>8</v>
      </c>
      <c r="AA20" s="1064">
        <f>'XM.FILE GOC'!X47</f>
        <v>57.5</v>
      </c>
      <c r="AB20" s="657" t="s">
        <v>10</v>
      </c>
      <c r="AC20" s="1020"/>
      <c r="AD20" s="1011" t="s">
        <v>8</v>
      </c>
      <c r="AE20" s="1042">
        <f>('XM.FILE GOC'!$G$47-AC20)*575</f>
        <v>57.5</v>
      </c>
      <c r="AF20" s="1013" t="s">
        <v>10</v>
      </c>
      <c r="AG20" s="82" t="s">
        <v>16</v>
      </c>
    </row>
    <row r="21" spans="1:33" ht="51" customHeight="1">
      <c r="A21" s="54">
        <v>12</v>
      </c>
      <c r="B21" s="2146" t="s">
        <v>1001</v>
      </c>
      <c r="C21" s="2180"/>
      <c r="D21" s="2180"/>
      <c r="E21" s="2147"/>
      <c r="F21" s="1073" t="s">
        <v>3</v>
      </c>
      <c r="G21" s="1000" t="str">
        <f>'XM.FILE GOC'!$E$48</f>
        <v>0.5~1.5</v>
      </c>
      <c r="H21" s="1000" t="str">
        <f>'XM.FILE GOC'!$F$48</f>
        <v>(1±0.2)</v>
      </c>
      <c r="I21" s="340">
        <f>'XM.FILE GOC'!I48</f>
        <v>0</v>
      </c>
      <c r="J21" s="66" t="s">
        <v>8</v>
      </c>
      <c r="K21" s="1066">
        <f>'XM.FILE GOC'!L48</f>
        <v>8.1538461538461533</v>
      </c>
      <c r="L21" s="657" t="s">
        <v>10</v>
      </c>
      <c r="M21" s="1021"/>
      <c r="N21" s="1022" t="s">
        <v>8</v>
      </c>
      <c r="O21" s="1043">
        <f>('XM.FILE GOC'!$G$48-M21)*530/65%</f>
        <v>8.1538461538461533</v>
      </c>
      <c r="P21" s="1024" t="s">
        <v>10</v>
      </c>
      <c r="Q21" s="340">
        <f>'XM.FILE GOC'!O48</f>
        <v>0</v>
      </c>
      <c r="R21" s="66" t="s">
        <v>8</v>
      </c>
      <c r="S21" s="1066">
        <f>'XM.FILE GOC'!R48</f>
        <v>8.1538461538461533</v>
      </c>
      <c r="T21" s="657" t="s">
        <v>10</v>
      </c>
      <c r="U21" s="1021"/>
      <c r="V21" s="1022" t="s">
        <v>8</v>
      </c>
      <c r="W21" s="1043">
        <f>('XM.FILE GOC'!$G$48-U21)*530/65%</f>
        <v>8.1538461538461533</v>
      </c>
      <c r="X21" s="1024" t="s">
        <v>10</v>
      </c>
      <c r="Y21" s="340">
        <f>'XM.FILE GOC'!U48</f>
        <v>0</v>
      </c>
      <c r="Z21" s="66" t="s">
        <v>8</v>
      </c>
      <c r="AA21" s="1066">
        <f>'XM.FILE GOC'!X48</f>
        <v>8.1538461538461533</v>
      </c>
      <c r="AB21" s="657" t="s">
        <v>10</v>
      </c>
      <c r="AC21" s="1021"/>
      <c r="AD21" s="1022" t="s">
        <v>8</v>
      </c>
      <c r="AE21" s="1043">
        <f>('XM.FILE GOC'!$G$48-AC21)*530/65%</f>
        <v>8.1538461538461533</v>
      </c>
      <c r="AF21" s="1024" t="s">
        <v>10</v>
      </c>
      <c r="AG21" s="82" t="s">
        <v>16</v>
      </c>
    </row>
    <row r="22" spans="1:33" ht="51" customHeight="1">
      <c r="A22" s="54"/>
      <c r="B22" s="2202" t="s">
        <v>117</v>
      </c>
      <c r="C22" s="2202"/>
      <c r="D22" s="2202"/>
      <c r="E22" s="2202"/>
      <c r="F22" s="2202"/>
      <c r="G22" s="2202"/>
      <c r="H22" s="2202"/>
      <c r="I22" s="2202"/>
      <c r="J22" s="2202"/>
      <c r="K22" s="2202"/>
      <c r="L22" s="2202"/>
      <c r="M22" s="2202"/>
      <c r="N22" s="2202"/>
      <c r="O22" s="2202"/>
      <c r="P22" s="2202"/>
      <c r="Q22" s="2202"/>
      <c r="R22" s="2202"/>
      <c r="S22" s="2202"/>
      <c r="T22" s="2202"/>
      <c r="U22" s="2202"/>
      <c r="V22" s="2202"/>
      <c r="W22" s="2202"/>
      <c r="X22" s="2202"/>
      <c r="Y22" s="2202"/>
      <c r="Z22" s="2202"/>
      <c r="AA22" s="2202"/>
      <c r="AB22" s="2202"/>
      <c r="AC22" s="2202"/>
      <c r="AD22" s="2202"/>
      <c r="AE22" s="2202"/>
      <c r="AF22" s="2202"/>
      <c r="AG22" s="2202"/>
    </row>
    <row r="23" spans="1:33" ht="54" customHeight="1">
      <c r="A23" s="1073" t="s">
        <v>7</v>
      </c>
      <c r="B23" s="2146" t="s">
        <v>64</v>
      </c>
      <c r="C23" s="2180"/>
      <c r="D23" s="2180"/>
      <c r="E23" s="2147"/>
      <c r="F23" s="275" t="s">
        <v>66</v>
      </c>
      <c r="G23" s="1094" t="s">
        <v>1424</v>
      </c>
      <c r="H23" s="1618" t="s">
        <v>1412</v>
      </c>
      <c r="I23" s="2203" t="s">
        <v>48</v>
      </c>
      <c r="J23" s="2204"/>
      <c r="K23" s="2203" t="s">
        <v>65</v>
      </c>
      <c r="L23" s="2204"/>
      <c r="M23" s="1025"/>
      <c r="N23" s="1026"/>
      <c r="O23" s="1026"/>
      <c r="P23" s="1027"/>
      <c r="Q23" s="2203" t="s">
        <v>48</v>
      </c>
      <c r="R23" s="2204"/>
      <c r="S23" s="2203" t="s">
        <v>65</v>
      </c>
      <c r="T23" s="2204"/>
      <c r="U23" s="1025"/>
      <c r="V23" s="1026"/>
      <c r="W23" s="1026"/>
      <c r="X23" s="1027"/>
      <c r="Y23" s="2203" t="s">
        <v>48</v>
      </c>
      <c r="Z23" s="2204"/>
      <c r="AA23" s="2203" t="s">
        <v>65</v>
      </c>
      <c r="AB23" s="2204"/>
      <c r="AC23" s="1025"/>
      <c r="AD23" s="1026"/>
      <c r="AE23" s="1026"/>
      <c r="AF23" s="1027"/>
      <c r="AG23" s="83"/>
    </row>
    <row r="24" spans="1:33" ht="51" customHeight="1">
      <c r="A24" s="1073">
        <v>1</v>
      </c>
      <c r="B24" s="2146" t="s">
        <v>68</v>
      </c>
      <c r="C24" s="2180"/>
      <c r="D24" s="2180"/>
      <c r="E24" s="2147"/>
      <c r="F24" s="274" t="s">
        <v>214</v>
      </c>
      <c r="G24" s="1000" t="str">
        <f>'XM.FILE GOC'!$E$53</f>
        <v>50~70</v>
      </c>
      <c r="H24" s="1000" t="str">
        <f>'XM.FILE GOC'!$F$53</f>
        <v>(60±3)</v>
      </c>
      <c r="I24" s="2088">
        <f>'XM.GUI MAIL'!I53</f>
        <v>0</v>
      </c>
      <c r="J24" s="2089"/>
      <c r="K24" s="2088">
        <f>'XM.FILE GOC'!L53</f>
        <v>0</v>
      </c>
      <c r="L24" s="2089"/>
      <c r="M24" s="1028"/>
      <c r="N24" s="1029"/>
      <c r="O24" s="1029"/>
      <c r="P24" s="1030"/>
      <c r="Q24" s="2088">
        <f>'XM.GUI MAIL'!O53</f>
        <v>0</v>
      </c>
      <c r="R24" s="2089"/>
      <c r="S24" s="2088">
        <f>'XM.FILE GOC'!R53</f>
        <v>0</v>
      </c>
      <c r="T24" s="2089"/>
      <c r="U24" s="1028"/>
      <c r="V24" s="1029"/>
      <c r="W24" s="1029"/>
      <c r="X24" s="1030"/>
      <c r="Y24" s="2088">
        <f>'XM.GUI MAIL'!U53</f>
        <v>0</v>
      </c>
      <c r="Z24" s="2089"/>
      <c r="AA24" s="2088">
        <f>'XM.FILE GOC'!X53</f>
        <v>0</v>
      </c>
      <c r="AB24" s="2089"/>
      <c r="AC24" s="1028"/>
      <c r="AD24" s="1029"/>
      <c r="AE24" s="1029"/>
      <c r="AF24" s="1030"/>
      <c r="AG24" s="20"/>
    </row>
    <row r="25" spans="1:33" ht="51" customHeight="1">
      <c r="A25" s="1073">
        <v>2</v>
      </c>
      <c r="B25" s="2146" t="s">
        <v>69</v>
      </c>
      <c r="C25" s="2180" t="s">
        <v>69</v>
      </c>
      <c r="D25" s="2180" t="s">
        <v>69</v>
      </c>
      <c r="E25" s="2147" t="s">
        <v>69</v>
      </c>
      <c r="F25" s="274" t="s">
        <v>214</v>
      </c>
      <c r="G25" s="1000" t="str">
        <f>'XM.FILE GOC'!$E$54</f>
        <v>50~70</v>
      </c>
      <c r="H25" s="1000" t="str">
        <f>'XM.FILE GOC'!$F$54</f>
        <v>(60±3)</v>
      </c>
      <c r="I25" s="2088">
        <f>'XM.GUI MAIL'!I54</f>
        <v>0</v>
      </c>
      <c r="J25" s="2089"/>
      <c r="K25" s="2088">
        <f>'XM.FILE GOC'!L54</f>
        <v>0</v>
      </c>
      <c r="L25" s="2089"/>
      <c r="M25" s="1028"/>
      <c r="N25" s="1029"/>
      <c r="O25" s="1029"/>
      <c r="P25" s="1030"/>
      <c r="Q25" s="2088">
        <f>'XM.GUI MAIL'!O54</f>
        <v>0</v>
      </c>
      <c r="R25" s="2089"/>
      <c r="S25" s="2088">
        <f>'XM.FILE GOC'!R54</f>
        <v>0</v>
      </c>
      <c r="T25" s="2089"/>
      <c r="U25" s="1028"/>
      <c r="V25" s="1029"/>
      <c r="W25" s="1029"/>
      <c r="X25" s="1030"/>
      <c r="Y25" s="2088">
        <f>'XM.GUI MAIL'!U54</f>
        <v>0</v>
      </c>
      <c r="Z25" s="2089"/>
      <c r="AA25" s="2088">
        <f>'XM.FILE GOC'!X54</f>
        <v>0</v>
      </c>
      <c r="AB25" s="2089"/>
      <c r="AC25" s="1028"/>
      <c r="AD25" s="1029"/>
      <c r="AE25" s="1029"/>
      <c r="AF25" s="1030"/>
      <c r="AG25" s="20"/>
    </row>
    <row r="26" spans="1:33" ht="51" customHeight="1">
      <c r="A26" s="1073">
        <v>3</v>
      </c>
      <c r="B26" s="2146" t="s">
        <v>71</v>
      </c>
      <c r="C26" s="2180" t="s">
        <v>71</v>
      </c>
      <c r="D26" s="2180" t="s">
        <v>71</v>
      </c>
      <c r="E26" s="2147" t="s">
        <v>71</v>
      </c>
      <c r="F26" s="274" t="s">
        <v>214</v>
      </c>
      <c r="G26" s="1000" t="str">
        <f>'XM.FILE GOC'!$E$55</f>
        <v>50~70</v>
      </c>
      <c r="H26" s="1000" t="str">
        <f>'XM.FILE GOC'!$F$55</f>
        <v>(60±3)</v>
      </c>
      <c r="I26" s="2088">
        <f>'XM.GUI MAIL'!I55</f>
        <v>0</v>
      </c>
      <c r="J26" s="2089"/>
      <c r="K26" s="2088">
        <f>'XM.FILE GOC'!L55</f>
        <v>0</v>
      </c>
      <c r="L26" s="2089"/>
      <c r="M26" s="1028"/>
      <c r="N26" s="1029"/>
      <c r="O26" s="1029"/>
      <c r="P26" s="1030"/>
      <c r="Q26" s="2088">
        <f>'XM.GUI MAIL'!O55</f>
        <v>0</v>
      </c>
      <c r="R26" s="2089"/>
      <c r="S26" s="2088">
        <f>'XM.FILE GOC'!R55</f>
        <v>0</v>
      </c>
      <c r="T26" s="2089"/>
      <c r="U26" s="1028"/>
      <c r="V26" s="1029"/>
      <c r="W26" s="1029"/>
      <c r="X26" s="1030"/>
      <c r="Y26" s="2088">
        <f>'XM.GUI MAIL'!U55</f>
        <v>0</v>
      </c>
      <c r="Z26" s="2089"/>
      <c r="AA26" s="2088">
        <f>'XM.FILE GOC'!X55</f>
        <v>0</v>
      </c>
      <c r="AB26" s="2089"/>
      <c r="AC26" s="1028"/>
      <c r="AD26" s="1029"/>
      <c r="AE26" s="1029"/>
      <c r="AF26" s="1030"/>
      <c r="AG26" s="20"/>
    </row>
    <row r="27" spans="1:33" ht="51" customHeight="1">
      <c r="A27" s="1073">
        <v>4</v>
      </c>
      <c r="B27" s="2146" t="s">
        <v>70</v>
      </c>
      <c r="C27" s="2180" t="s">
        <v>70</v>
      </c>
      <c r="D27" s="2180" t="s">
        <v>70</v>
      </c>
      <c r="E27" s="2147" t="s">
        <v>70</v>
      </c>
      <c r="F27" s="274" t="s">
        <v>214</v>
      </c>
      <c r="G27" s="1000" t="str">
        <f>'XM.FILE GOC'!$E$56</f>
        <v>50~70</v>
      </c>
      <c r="H27" s="1000" t="str">
        <f>'XM.FILE GOC'!$F$56</f>
        <v>(60±3)</v>
      </c>
      <c r="I27" s="2088">
        <f>'XM.GUI MAIL'!I56</f>
        <v>0</v>
      </c>
      <c r="J27" s="2089"/>
      <c r="K27" s="2088">
        <f>'XM.FILE GOC'!L56</f>
        <v>0</v>
      </c>
      <c r="L27" s="2089"/>
      <c r="M27" s="1028"/>
      <c r="N27" s="1029"/>
      <c r="O27" s="1029"/>
      <c r="P27" s="1030"/>
      <c r="Q27" s="2088">
        <f>'XM.GUI MAIL'!O56</f>
        <v>0</v>
      </c>
      <c r="R27" s="2089"/>
      <c r="S27" s="2088">
        <f>'XM.FILE GOC'!R56</f>
        <v>0</v>
      </c>
      <c r="T27" s="2089"/>
      <c r="U27" s="1028"/>
      <c r="V27" s="1029"/>
      <c r="W27" s="1029"/>
      <c r="X27" s="1030"/>
      <c r="Y27" s="2088">
        <f>'XM.GUI MAIL'!U56</f>
        <v>0</v>
      </c>
      <c r="Z27" s="2089"/>
      <c r="AA27" s="2088">
        <f>'XM.FILE GOC'!X56</f>
        <v>0</v>
      </c>
      <c r="AB27" s="2089"/>
      <c r="AC27" s="1028"/>
      <c r="AD27" s="1029"/>
      <c r="AE27" s="1029"/>
      <c r="AF27" s="1030"/>
      <c r="AG27" s="20"/>
    </row>
    <row r="28" spans="1:33" ht="51" customHeight="1">
      <c r="A28" s="1073">
        <v>5</v>
      </c>
      <c r="B28" s="2146" t="s">
        <v>72</v>
      </c>
      <c r="C28" s="2180" t="s">
        <v>72</v>
      </c>
      <c r="D28" s="2180" t="s">
        <v>72</v>
      </c>
      <c r="E28" s="2147" t="s">
        <v>72</v>
      </c>
      <c r="F28" s="274" t="s">
        <v>214</v>
      </c>
      <c r="G28" s="1000" t="str">
        <f>'XM.FILE GOC'!$E$57</f>
        <v>22~30</v>
      </c>
      <c r="H28" s="1000" t="str">
        <f>'XM.FILE GOC'!$F$57</f>
        <v>(24±1)</v>
      </c>
      <c r="I28" s="2088">
        <f>'XM.GUI MAIL'!I57</f>
        <v>0</v>
      </c>
      <c r="J28" s="2089"/>
      <c r="K28" s="2088">
        <f>'XM.FILE GOC'!L57</f>
        <v>0</v>
      </c>
      <c r="L28" s="2089"/>
      <c r="M28" s="1028"/>
      <c r="N28" s="1029"/>
      <c r="O28" s="1029"/>
      <c r="P28" s="1030"/>
      <c r="Q28" s="2088">
        <f>'XM.GUI MAIL'!O57</f>
        <v>0</v>
      </c>
      <c r="R28" s="2089"/>
      <c r="S28" s="2088">
        <f>'XM.FILE GOC'!R57</f>
        <v>0</v>
      </c>
      <c r="T28" s="2089"/>
      <c r="U28" s="1028"/>
      <c r="V28" s="1029"/>
      <c r="W28" s="1029"/>
      <c r="X28" s="1030"/>
      <c r="Y28" s="2088">
        <f>'XM.GUI MAIL'!U57</f>
        <v>0</v>
      </c>
      <c r="Z28" s="2089"/>
      <c r="AA28" s="2088">
        <f>'XM.FILE GOC'!X57</f>
        <v>0</v>
      </c>
      <c r="AB28" s="2089"/>
      <c r="AC28" s="1028"/>
      <c r="AD28" s="1029"/>
      <c r="AE28" s="1029"/>
      <c r="AF28" s="1030"/>
      <c r="AG28" s="20"/>
    </row>
    <row r="29" spans="1:33" ht="51" customHeight="1">
      <c r="A29" s="1073">
        <v>6</v>
      </c>
      <c r="B29" s="2146" t="s">
        <v>1002</v>
      </c>
      <c r="C29" s="2180" t="s">
        <v>1002</v>
      </c>
      <c r="D29" s="2180" t="s">
        <v>1002</v>
      </c>
      <c r="E29" s="2147" t="s">
        <v>1002</v>
      </c>
      <c r="F29" s="274" t="s">
        <v>214</v>
      </c>
      <c r="G29" s="1000" t="str">
        <f>'XM.FILE GOC'!$E$58</f>
        <v>30-38</v>
      </c>
      <c r="H29" s="1000" t="str">
        <f>'XM.FILE GOC'!$F$58</f>
        <v>(34±2)</v>
      </c>
      <c r="I29" s="2088">
        <f>'XM.GUI MAIL'!I58</f>
        <v>0</v>
      </c>
      <c r="J29" s="2089"/>
      <c r="K29" s="2088">
        <f>'XM.FILE GOC'!L58</f>
        <v>0</v>
      </c>
      <c r="L29" s="2089"/>
      <c r="M29" s="1028"/>
      <c r="N29" s="1029"/>
      <c r="O29" s="1029"/>
      <c r="P29" s="1030"/>
      <c r="Q29" s="2088">
        <f>'XM.GUI MAIL'!O58</f>
        <v>0</v>
      </c>
      <c r="R29" s="2089"/>
      <c r="S29" s="2088">
        <f>'XM.FILE GOC'!R58</f>
        <v>0</v>
      </c>
      <c r="T29" s="2089"/>
      <c r="U29" s="1028"/>
      <c r="V29" s="1029"/>
      <c r="W29" s="1029"/>
      <c r="X29" s="1030"/>
      <c r="Y29" s="2088">
        <f>'XM.GUI MAIL'!U58</f>
        <v>0</v>
      </c>
      <c r="Z29" s="2089"/>
      <c r="AA29" s="2088">
        <f>'XM.FILE GOC'!X58</f>
        <v>0</v>
      </c>
      <c r="AB29" s="2089"/>
      <c r="AC29" s="1028"/>
      <c r="AD29" s="1029"/>
      <c r="AE29" s="1029"/>
      <c r="AF29" s="1030"/>
      <c r="AG29" s="22"/>
    </row>
    <row r="30" spans="1:33" ht="51" customHeight="1">
      <c r="A30" s="1073">
        <v>7</v>
      </c>
      <c r="B30" s="2146" t="s">
        <v>73</v>
      </c>
      <c r="C30" s="2180" t="s">
        <v>73</v>
      </c>
      <c r="D30" s="2180" t="s">
        <v>73</v>
      </c>
      <c r="E30" s="2147" t="s">
        <v>73</v>
      </c>
      <c r="F30" s="274" t="s">
        <v>214</v>
      </c>
      <c r="G30" s="1000" t="str">
        <f>'XM.FILE GOC'!$E$59</f>
        <v>55~65</v>
      </c>
      <c r="H30" s="1000" t="str">
        <f>'XM.FILE GOC'!$F$59</f>
        <v>(60±3)</v>
      </c>
      <c r="I30" s="2088">
        <f>'XM.GUI MAIL'!I59</f>
        <v>0</v>
      </c>
      <c r="J30" s="2089"/>
      <c r="K30" s="2088">
        <f>'XM.FILE GOC'!L59</f>
        <v>0</v>
      </c>
      <c r="L30" s="2089"/>
      <c r="M30" s="1028"/>
      <c r="N30" s="1029"/>
      <c r="O30" s="1029"/>
      <c r="P30" s="1030"/>
      <c r="Q30" s="2088">
        <f>'XM.GUI MAIL'!O59</f>
        <v>0</v>
      </c>
      <c r="R30" s="2089"/>
      <c r="S30" s="2088">
        <f>'XM.FILE GOC'!R59</f>
        <v>0</v>
      </c>
      <c r="T30" s="2089"/>
      <c r="U30" s="1028"/>
      <c r="V30" s="1029"/>
      <c r="W30" s="1029"/>
      <c r="X30" s="1030"/>
      <c r="Y30" s="2088">
        <f>'XM.GUI MAIL'!U59</f>
        <v>0</v>
      </c>
      <c r="Z30" s="2089"/>
      <c r="AA30" s="2088">
        <f>'XM.FILE GOC'!X59</f>
        <v>0</v>
      </c>
      <c r="AB30" s="2089"/>
      <c r="AC30" s="1028"/>
      <c r="AD30" s="1029"/>
      <c r="AE30" s="1029"/>
      <c r="AF30" s="1030"/>
      <c r="AG30" s="20"/>
    </row>
    <row r="31" spans="1:33" ht="51" customHeight="1">
      <c r="A31" s="1073">
        <v>8</v>
      </c>
      <c r="B31" s="2193" t="s">
        <v>74</v>
      </c>
      <c r="C31" s="2194" t="s">
        <v>74</v>
      </c>
      <c r="D31" s="2194" t="s">
        <v>74</v>
      </c>
      <c r="E31" s="2195" t="s">
        <v>74</v>
      </c>
      <c r="F31" s="274" t="s">
        <v>214</v>
      </c>
      <c r="G31" s="1000" t="str">
        <f>'XM.FILE GOC'!$E$60</f>
        <v>65~75</v>
      </c>
      <c r="H31" s="1000" t="str">
        <f>'XM.FILE GOC'!$F$60</f>
        <v>(70±3)</v>
      </c>
      <c r="I31" s="2203" t="s">
        <v>50</v>
      </c>
      <c r="J31" s="2204"/>
      <c r="K31" s="2088">
        <f>'XM.FILE GOC'!L60</f>
        <v>0</v>
      </c>
      <c r="L31" s="2089"/>
      <c r="M31" s="1031"/>
      <c r="N31" s="1032"/>
      <c r="O31" s="1032"/>
      <c r="P31" s="1033"/>
      <c r="Q31" s="2203" t="s">
        <v>50</v>
      </c>
      <c r="R31" s="2204"/>
      <c r="S31" s="2088">
        <f>'XM.FILE GOC'!R60</f>
        <v>0</v>
      </c>
      <c r="T31" s="2089"/>
      <c r="U31" s="1031"/>
      <c r="V31" s="1032"/>
      <c r="W31" s="1032"/>
      <c r="X31" s="1033"/>
      <c r="Y31" s="2203" t="s">
        <v>50</v>
      </c>
      <c r="Z31" s="2204"/>
      <c r="AA31" s="2088">
        <f>'XM.FILE GOC'!X60</f>
        <v>0</v>
      </c>
      <c r="AB31" s="2089"/>
      <c r="AC31" s="1031"/>
      <c r="AD31" s="1032"/>
      <c r="AE31" s="1032"/>
      <c r="AF31" s="1033"/>
      <c r="AG31" s="20"/>
    </row>
    <row r="32" spans="1:33" ht="51" customHeight="1">
      <c r="A32" s="54"/>
      <c r="B32" s="2214" t="s">
        <v>118</v>
      </c>
      <c r="C32" s="2215"/>
      <c r="D32" s="2215"/>
      <c r="E32" s="2215"/>
      <c r="F32" s="2215"/>
      <c r="G32" s="2215"/>
      <c r="H32" s="2215"/>
      <c r="I32" s="2215"/>
      <c r="J32" s="2215"/>
      <c r="K32" s="2215"/>
      <c r="L32" s="2215"/>
      <c r="M32" s="2215"/>
      <c r="N32" s="2215"/>
      <c r="O32" s="2215"/>
      <c r="P32" s="2215"/>
      <c r="Q32" s="2215"/>
      <c r="R32" s="2215"/>
      <c r="S32" s="2215"/>
      <c r="T32" s="2215"/>
      <c r="U32" s="2215"/>
      <c r="V32" s="2215"/>
      <c r="W32" s="2215"/>
      <c r="X32" s="2215"/>
      <c r="Y32" s="2215"/>
      <c r="Z32" s="2215"/>
      <c r="AA32" s="2215"/>
      <c r="AB32" s="2215"/>
      <c r="AC32" s="2215"/>
      <c r="AD32" s="2215"/>
      <c r="AE32" s="2215"/>
      <c r="AF32" s="2215"/>
      <c r="AG32" s="2216"/>
    </row>
    <row r="33" spans="1:33" ht="56.25" customHeight="1">
      <c r="A33" s="1073" t="s">
        <v>7</v>
      </c>
      <c r="B33" s="2146" t="s">
        <v>100</v>
      </c>
      <c r="C33" s="2180"/>
      <c r="D33" s="2180"/>
      <c r="E33" s="2147"/>
      <c r="F33" s="642" t="s">
        <v>101</v>
      </c>
      <c r="G33" s="1094" t="s">
        <v>1424</v>
      </c>
      <c r="H33" s="1618" t="s">
        <v>1412</v>
      </c>
      <c r="I33" s="2103" t="s">
        <v>119</v>
      </c>
      <c r="J33" s="2103"/>
      <c r="K33" s="2103"/>
      <c r="L33" s="2103"/>
      <c r="M33" s="1025"/>
      <c r="N33" s="1026"/>
      <c r="O33" s="1026"/>
      <c r="P33" s="1027"/>
      <c r="Q33" s="2103" t="s">
        <v>119</v>
      </c>
      <c r="R33" s="2103"/>
      <c r="S33" s="2103"/>
      <c r="T33" s="2103"/>
      <c r="U33" s="1025"/>
      <c r="V33" s="1026"/>
      <c r="W33" s="1026"/>
      <c r="X33" s="1027"/>
      <c r="Y33" s="2103" t="s">
        <v>119</v>
      </c>
      <c r="Z33" s="2103"/>
      <c r="AA33" s="2103"/>
      <c r="AB33" s="2103"/>
      <c r="AC33" s="1025"/>
      <c r="AD33" s="1026"/>
      <c r="AE33" s="1026"/>
      <c r="AF33" s="1027"/>
      <c r="AG33" s="83"/>
    </row>
    <row r="34" spans="1:33" ht="51" customHeight="1">
      <c r="A34" s="54">
        <v>1</v>
      </c>
      <c r="B34" s="2199" t="s">
        <v>253</v>
      </c>
      <c r="C34" s="2200"/>
      <c r="D34" s="2200"/>
      <c r="E34" s="2201"/>
      <c r="F34" s="1074" t="s">
        <v>51</v>
      </c>
      <c r="G34" s="1000" t="str">
        <f>'XM.FILE GOC'!$E$62</f>
        <v>100-200</v>
      </c>
      <c r="H34" s="1000" t="str">
        <f>'XM.FILE GOC'!$F$62</f>
        <v>100-200</v>
      </c>
      <c r="I34" s="2181">
        <f>'XM.GUI MAIL'!I62</f>
        <v>0</v>
      </c>
      <c r="J34" s="2182"/>
      <c r="K34" s="2182"/>
      <c r="L34" s="2182"/>
      <c r="M34" s="1034"/>
      <c r="N34" s="1007"/>
      <c r="O34" s="1007"/>
      <c r="P34" s="1035"/>
      <c r="Q34" s="2181">
        <f>'XM.GUI MAIL'!O62</f>
        <v>0</v>
      </c>
      <c r="R34" s="2182"/>
      <c r="S34" s="2182"/>
      <c r="T34" s="2182"/>
      <c r="U34" s="1034"/>
      <c r="V34" s="1007"/>
      <c r="W34" s="1007"/>
      <c r="X34" s="1035"/>
      <c r="Y34" s="2181">
        <f>'XM.GUI MAIL'!U62</f>
        <v>0</v>
      </c>
      <c r="Z34" s="2182"/>
      <c r="AA34" s="2182"/>
      <c r="AB34" s="2182"/>
      <c r="AC34" s="1034"/>
      <c r="AD34" s="1007"/>
      <c r="AE34" s="1007"/>
      <c r="AF34" s="1035"/>
      <c r="AG34" s="22"/>
    </row>
    <row r="35" spans="1:33" ht="51" customHeight="1">
      <c r="A35" s="54">
        <v>2</v>
      </c>
      <c r="B35" s="2199" t="s">
        <v>254</v>
      </c>
      <c r="C35" s="2200"/>
      <c r="D35" s="2200"/>
      <c r="E35" s="2201"/>
      <c r="F35" s="1074" t="s">
        <v>51</v>
      </c>
      <c r="G35" s="1000" t="str">
        <f>'XM.FILE GOC'!$E$63</f>
        <v>20-50</v>
      </c>
      <c r="H35" s="1000" t="str">
        <f>'XM.FILE GOC'!$F$63</f>
        <v>20-50</v>
      </c>
      <c r="I35" s="2181">
        <f>'XM.GUI MAIL'!I63</f>
        <v>0</v>
      </c>
      <c r="J35" s="2182"/>
      <c r="K35" s="2182"/>
      <c r="L35" s="2182"/>
      <c r="M35" s="1036"/>
      <c r="N35" s="1037"/>
      <c r="O35" s="1037"/>
      <c r="P35" s="1038"/>
      <c r="Q35" s="2181">
        <f>'XM.GUI MAIL'!O63</f>
        <v>0</v>
      </c>
      <c r="R35" s="2182"/>
      <c r="S35" s="2182"/>
      <c r="T35" s="2182"/>
      <c r="U35" s="1036"/>
      <c r="V35" s="1037"/>
      <c r="W35" s="1037"/>
      <c r="X35" s="1038"/>
      <c r="Y35" s="2181">
        <f>'XM.GUI MAIL'!U63</f>
        <v>0</v>
      </c>
      <c r="Z35" s="2182"/>
      <c r="AA35" s="2182"/>
      <c r="AB35" s="2182"/>
      <c r="AC35" s="1036"/>
      <c r="AD35" s="1037"/>
      <c r="AE35" s="1037"/>
      <c r="AF35" s="1038"/>
      <c r="AG35" s="22"/>
    </row>
    <row r="36" spans="1:33" ht="54" customHeight="1">
      <c r="A36" s="478"/>
      <c r="B36" s="479"/>
      <c r="C36" s="479"/>
      <c r="D36" s="479"/>
      <c r="E36" s="479"/>
      <c r="F36" s="1070"/>
      <c r="G36" s="1070"/>
      <c r="H36" s="1070"/>
      <c r="I36" s="1070"/>
      <c r="J36" s="1070"/>
      <c r="K36" s="1070"/>
      <c r="L36" s="1070"/>
      <c r="M36" s="1039"/>
      <c r="N36" s="1039"/>
      <c r="O36" s="1039"/>
      <c r="P36" s="1039"/>
      <c r="Q36" s="1070"/>
      <c r="R36" s="1070"/>
      <c r="S36" s="1070"/>
      <c r="T36" s="1070"/>
      <c r="U36" s="1039"/>
      <c r="V36" s="1039"/>
      <c r="W36" s="1039"/>
      <c r="X36" s="1039"/>
      <c r="Y36" s="1070"/>
      <c r="Z36" s="1070"/>
      <c r="AA36" s="1070"/>
      <c r="AB36" s="1070"/>
      <c r="AC36" s="1039"/>
      <c r="AD36" s="1039"/>
      <c r="AE36" s="1039"/>
      <c r="AF36" s="1039"/>
      <c r="AG36" s="1003"/>
    </row>
    <row r="37" spans="1:33" ht="28.5" customHeight="1">
      <c r="A37" s="2212" t="s">
        <v>146</v>
      </c>
      <c r="B37" s="2212"/>
      <c r="C37" s="2212"/>
      <c r="D37" s="2212"/>
      <c r="E37" s="2212"/>
      <c r="F37" s="2212"/>
      <c r="G37" s="2212"/>
      <c r="H37" s="2212"/>
      <c r="I37" s="2212"/>
      <c r="J37" s="2212"/>
      <c r="K37" s="2212"/>
      <c r="L37" s="2212"/>
      <c r="M37" s="2212"/>
      <c r="N37" s="2212"/>
      <c r="O37" s="2212"/>
      <c r="P37" s="2212"/>
      <c r="Q37" s="2212"/>
      <c r="R37" s="2212"/>
      <c r="S37" s="2212"/>
      <c r="T37" s="2212"/>
      <c r="U37" s="2212"/>
      <c r="V37" s="2212"/>
      <c r="W37" s="2212"/>
      <c r="X37" s="2212"/>
      <c r="Y37" s="2212"/>
      <c r="Z37" s="2212"/>
      <c r="AA37" s="57"/>
      <c r="AB37" s="57"/>
      <c r="AC37" s="1051"/>
      <c r="AD37" s="1051"/>
      <c r="AE37" s="1051"/>
      <c r="AF37" s="1051"/>
      <c r="AG37" s="57"/>
    </row>
    <row r="38" spans="1:33" ht="46.5" customHeight="1">
      <c r="A38" s="2186" t="s">
        <v>237</v>
      </c>
      <c r="B38" s="2186"/>
      <c r="C38" s="2186"/>
      <c r="D38" s="2186"/>
      <c r="E38" s="2186"/>
      <c r="F38" s="2186"/>
      <c r="G38" s="2186"/>
      <c r="H38" s="2186"/>
      <c r="I38" s="2186"/>
      <c r="J38" s="2186"/>
      <c r="K38" s="2186"/>
      <c r="L38" s="2186"/>
      <c r="M38" s="2186"/>
      <c r="N38" s="2186"/>
      <c r="O38" s="2186"/>
      <c r="P38" s="2186"/>
      <c r="Q38" s="2186"/>
      <c r="R38" s="2186"/>
      <c r="S38" s="2186"/>
      <c r="T38" s="2186"/>
      <c r="U38" s="2186"/>
      <c r="V38" s="2186"/>
      <c r="W38" s="2186"/>
      <c r="X38" s="2186"/>
      <c r="Y38" s="2186"/>
      <c r="Z38" s="2186"/>
      <c r="AA38" s="2213"/>
      <c r="AB38" s="2213"/>
      <c r="AC38" s="1049"/>
      <c r="AD38" s="2188" t="s">
        <v>96</v>
      </c>
      <c r="AE38" s="2188"/>
      <c r="AF38" s="2162" t="s">
        <v>97</v>
      </c>
      <c r="AG38" s="2165"/>
    </row>
    <row r="39" spans="1:33" ht="38.25" customHeight="1">
      <c r="A39" s="1078"/>
      <c r="B39" s="2154" t="s">
        <v>233</v>
      </c>
      <c r="C39" s="2154"/>
      <c r="D39" s="645"/>
      <c r="E39" s="646"/>
      <c r="F39" s="1079"/>
      <c r="G39" s="1080"/>
      <c r="H39" s="1633"/>
      <c r="I39" s="1640" t="str">
        <f>'1. XL-1E kh'!$G$3</f>
        <v>2023/03/21</v>
      </c>
      <c r="J39" s="648"/>
      <c r="K39" s="648"/>
      <c r="L39" s="648"/>
      <c r="M39" s="1046"/>
      <c r="N39" s="1046"/>
      <c r="O39" s="1046"/>
      <c r="P39" s="1047"/>
      <c r="Q39" s="1082"/>
      <c r="R39" s="1082"/>
      <c r="S39" s="1082"/>
      <c r="Z39" s="1083"/>
      <c r="AA39" s="2210"/>
      <c r="AB39" s="2210"/>
      <c r="AC39" s="1050"/>
      <c r="AD39" s="2196" t="str">
        <f>MENU!AD7</f>
        <v>L.Yen</v>
      </c>
      <c r="AE39" s="2196"/>
      <c r="AF39" s="2218" t="s">
        <v>11</v>
      </c>
      <c r="AG39" s="2198"/>
    </row>
    <row r="40" spans="1:33" s="59" customFormat="1" ht="54.75" customHeight="1">
      <c r="A40" s="2192" t="s">
        <v>7</v>
      </c>
      <c r="B40" s="2148" t="s">
        <v>79</v>
      </c>
      <c r="C40" s="2149"/>
      <c r="D40" s="2149"/>
      <c r="E40" s="2150"/>
      <c r="F40" s="2191" t="s">
        <v>136</v>
      </c>
      <c r="G40" s="2125" t="s">
        <v>1424</v>
      </c>
      <c r="H40" s="2173" t="s">
        <v>1412</v>
      </c>
      <c r="I40" s="2131">
        <v>0.76041666666666663</v>
      </c>
      <c r="J40" s="2132"/>
      <c r="K40" s="2132"/>
      <c r="L40" s="2133"/>
      <c r="M40" s="2155" t="s">
        <v>998</v>
      </c>
      <c r="N40" s="2156"/>
      <c r="O40" s="2156"/>
      <c r="P40" s="2157"/>
      <c r="Q40" s="2131">
        <v>0.92708333333333337</v>
      </c>
      <c r="R40" s="2132"/>
      <c r="S40" s="2132"/>
      <c r="T40" s="2133"/>
      <c r="U40" s="2155" t="s">
        <v>998</v>
      </c>
      <c r="V40" s="2156"/>
      <c r="W40" s="2156"/>
      <c r="X40" s="2157"/>
      <c r="Y40" s="2211">
        <v>9.375E-2</v>
      </c>
      <c r="Z40" s="2191"/>
      <c r="AA40" s="2191"/>
      <c r="AB40" s="2191"/>
      <c r="AC40" s="2155" t="s">
        <v>998</v>
      </c>
      <c r="AD40" s="2156"/>
      <c r="AE40" s="2156"/>
      <c r="AF40" s="2157"/>
      <c r="AG40" s="2208" t="s">
        <v>98</v>
      </c>
    </row>
    <row r="41" spans="1:33" s="59" customFormat="1" ht="48" customHeight="1">
      <c r="A41" s="2192"/>
      <c r="B41" s="2151"/>
      <c r="C41" s="2152"/>
      <c r="D41" s="2152"/>
      <c r="E41" s="2153"/>
      <c r="F41" s="2192"/>
      <c r="G41" s="2126"/>
      <c r="H41" s="2174"/>
      <c r="I41" s="1062" t="s">
        <v>145</v>
      </c>
      <c r="J41" s="2137" t="s">
        <v>1</v>
      </c>
      <c r="K41" s="2138"/>
      <c r="L41" s="2139"/>
      <c r="M41" s="1009" t="s">
        <v>999</v>
      </c>
      <c r="N41" s="2158" t="s">
        <v>1</v>
      </c>
      <c r="O41" s="2158"/>
      <c r="P41" s="2159"/>
      <c r="Q41" s="1062" t="s">
        <v>145</v>
      </c>
      <c r="R41" s="2137" t="s">
        <v>1</v>
      </c>
      <c r="S41" s="2138"/>
      <c r="T41" s="2139"/>
      <c r="U41" s="1009" t="s">
        <v>999</v>
      </c>
      <c r="V41" s="2158" t="s">
        <v>1</v>
      </c>
      <c r="W41" s="2158"/>
      <c r="X41" s="2159"/>
      <c r="Y41" s="1062" t="s">
        <v>145</v>
      </c>
      <c r="Z41" s="2137" t="s">
        <v>1</v>
      </c>
      <c r="AA41" s="2138"/>
      <c r="AB41" s="2139"/>
      <c r="AC41" s="1009" t="s">
        <v>999</v>
      </c>
      <c r="AD41" s="2158" t="s">
        <v>1</v>
      </c>
      <c r="AE41" s="2158"/>
      <c r="AF41" s="2159"/>
      <c r="AG41" s="2209"/>
    </row>
    <row r="42" spans="1:33" ht="51.75" customHeight="1">
      <c r="A42" s="2205">
        <v>1</v>
      </c>
      <c r="B42" s="2148" t="s">
        <v>147</v>
      </c>
      <c r="C42" s="2166"/>
      <c r="D42" s="2144" t="s">
        <v>258</v>
      </c>
      <c r="E42" s="2145"/>
      <c r="F42" s="54" t="s">
        <v>4</v>
      </c>
      <c r="G42" s="1000" t="str">
        <f>'XM.FILE GOC'!$E$37</f>
        <v>60~80</v>
      </c>
      <c r="H42" s="1000" t="str">
        <f>'XM.FILE GOC'!$F$37</f>
        <v>(70±5)</v>
      </c>
      <c r="I42" s="61">
        <f>'XM.FILE GOC'!AA37</f>
        <v>0</v>
      </c>
      <c r="J42" s="1063" t="s">
        <v>8</v>
      </c>
      <c r="K42" s="1064">
        <f>'XM.FILE GOC'!AD37</f>
        <v>188.51</v>
      </c>
      <c r="L42" s="1065" t="s">
        <v>9</v>
      </c>
      <c r="M42" s="1010"/>
      <c r="N42" s="1011" t="s">
        <v>8</v>
      </c>
      <c r="O42" s="1042">
        <f>('XM.FILE GOC'!$G$37-M42)*2693/1000</f>
        <v>188.51</v>
      </c>
      <c r="P42" s="1013" t="s">
        <v>9</v>
      </c>
      <c r="Q42" s="61">
        <f>'XM.FILE GOC'!AG37</f>
        <v>0</v>
      </c>
      <c r="R42" s="1063" t="s">
        <v>8</v>
      </c>
      <c r="S42" s="1064">
        <f>'XM.FILE GOC'!AJ37</f>
        <v>188.51</v>
      </c>
      <c r="T42" s="1065" t="s">
        <v>9</v>
      </c>
      <c r="U42" s="1010"/>
      <c r="V42" s="1011" t="s">
        <v>8</v>
      </c>
      <c r="W42" s="1042">
        <f>('XM.FILE GOC'!$G$37-U42)*2693/1000</f>
        <v>188.51</v>
      </c>
      <c r="X42" s="1013" t="s">
        <v>9</v>
      </c>
      <c r="Y42" s="61">
        <f>'XM.FILE GOC'!AM37</f>
        <v>0</v>
      </c>
      <c r="Z42" s="66" t="s">
        <v>8</v>
      </c>
      <c r="AA42" s="656">
        <f>'XM.FILE GOC'!AP37</f>
        <v>188.51</v>
      </c>
      <c r="AB42" s="657" t="s">
        <v>9</v>
      </c>
      <c r="AC42" s="1010"/>
      <c r="AD42" s="1011" t="s">
        <v>8</v>
      </c>
      <c r="AE42" s="1042">
        <f>('XM.FILE GOC'!$G$37-AC42)*2693/1000</f>
        <v>188.51</v>
      </c>
      <c r="AF42" s="1013" t="s">
        <v>9</v>
      </c>
      <c r="AG42" s="82" t="s">
        <v>12</v>
      </c>
    </row>
    <row r="43" spans="1:33" ht="51.75" customHeight="1">
      <c r="A43" s="2207"/>
      <c r="B43" s="2167"/>
      <c r="C43" s="2168"/>
      <c r="D43" s="2144" t="s">
        <v>259</v>
      </c>
      <c r="E43" s="2145"/>
      <c r="F43" s="291"/>
      <c r="G43" s="1000" t="s">
        <v>1003</v>
      </c>
      <c r="H43" s="1000"/>
      <c r="I43" s="333"/>
      <c r="J43" s="66"/>
      <c r="K43" s="1066">
        <f>K42/25*7.5</f>
        <v>56.552999999999997</v>
      </c>
      <c r="L43" s="657" t="s">
        <v>10</v>
      </c>
      <c r="M43" s="1010"/>
      <c r="N43" s="1014" t="s">
        <v>8</v>
      </c>
      <c r="O43" s="1015">
        <f>O42/25*7.5</f>
        <v>56.552999999999997</v>
      </c>
      <c r="P43" s="1016" t="s">
        <v>10</v>
      </c>
      <c r="Q43" s="333"/>
      <c r="R43" s="66"/>
      <c r="S43" s="1066">
        <f>S42/25*7.5</f>
        <v>56.552999999999997</v>
      </c>
      <c r="T43" s="657" t="s">
        <v>10</v>
      </c>
      <c r="U43" s="1010"/>
      <c r="V43" s="1014" t="s">
        <v>8</v>
      </c>
      <c r="W43" s="1015">
        <f>W42/25*7.5</f>
        <v>56.552999999999997</v>
      </c>
      <c r="X43" s="1016" t="s">
        <v>10</v>
      </c>
      <c r="Y43" s="333"/>
      <c r="Z43" s="66"/>
      <c r="AA43" s="1066">
        <f>AA42/25*7.5</f>
        <v>56.552999999999997</v>
      </c>
      <c r="AB43" s="657" t="s">
        <v>10</v>
      </c>
      <c r="AC43" s="1010"/>
      <c r="AD43" s="1014" t="s">
        <v>8</v>
      </c>
      <c r="AE43" s="1015">
        <f>AE42/25*7.5</f>
        <v>56.552999999999997</v>
      </c>
      <c r="AF43" s="1016" t="s">
        <v>10</v>
      </c>
      <c r="AG43" s="300"/>
    </row>
    <row r="44" spans="1:33" ht="51.75" customHeight="1">
      <c r="A44" s="2205">
        <v>2</v>
      </c>
      <c r="B44" s="2148" t="s">
        <v>148</v>
      </c>
      <c r="C44" s="2166"/>
      <c r="D44" s="2144" t="s">
        <v>258</v>
      </c>
      <c r="E44" s="2145"/>
      <c r="F44" s="54" t="s">
        <v>4</v>
      </c>
      <c r="G44" s="1000" t="str">
        <f>'XM.FILE GOC'!$E$38</f>
        <v>60~80</v>
      </c>
      <c r="H44" s="1000" t="str">
        <f>'XM.FILE GOC'!$F$38</f>
        <v>(70±5)</v>
      </c>
      <c r="I44" s="61">
        <f>'XM.FILE GOC'!AA38</f>
        <v>0</v>
      </c>
      <c r="J44" s="1063" t="s">
        <v>8</v>
      </c>
      <c r="K44" s="1064">
        <f>'XM.FILE GOC'!AD38</f>
        <v>231.35</v>
      </c>
      <c r="L44" s="1065" t="s">
        <v>9</v>
      </c>
      <c r="M44" s="1010"/>
      <c r="N44" s="1011" t="s">
        <v>8</v>
      </c>
      <c r="O44" s="1042">
        <f>('XM.FILE GOC'!$G$38-M44)*3305/1000</f>
        <v>231.35</v>
      </c>
      <c r="P44" s="1013" t="s">
        <v>9</v>
      </c>
      <c r="Q44" s="61">
        <f>'XM.FILE GOC'!AG38</f>
        <v>0</v>
      </c>
      <c r="R44" s="1063" t="s">
        <v>8</v>
      </c>
      <c r="S44" s="1064">
        <f>'XM.FILE GOC'!AJ38</f>
        <v>231.35</v>
      </c>
      <c r="T44" s="1065" t="s">
        <v>9</v>
      </c>
      <c r="U44" s="1010"/>
      <c r="V44" s="1011" t="s">
        <v>8</v>
      </c>
      <c r="W44" s="1042">
        <f>('XM.FILE GOC'!$G$38-U44)*3305/1000</f>
        <v>231.35</v>
      </c>
      <c r="X44" s="1013" t="s">
        <v>9</v>
      </c>
      <c r="Y44" s="61">
        <f>'XM.FILE GOC'!AM38</f>
        <v>0</v>
      </c>
      <c r="Z44" s="66" t="s">
        <v>8</v>
      </c>
      <c r="AA44" s="656">
        <f>'XM.FILE GOC'!AP38</f>
        <v>231.35</v>
      </c>
      <c r="AB44" s="657" t="s">
        <v>9</v>
      </c>
      <c r="AC44" s="1010"/>
      <c r="AD44" s="1011" t="s">
        <v>8</v>
      </c>
      <c r="AE44" s="1042">
        <f>('XM.FILE GOC'!$G$38-AC44)*3305/1000</f>
        <v>231.35</v>
      </c>
      <c r="AF44" s="1013" t="s">
        <v>9</v>
      </c>
      <c r="AG44" s="82" t="s">
        <v>12</v>
      </c>
    </row>
    <row r="45" spans="1:33" ht="51.75" customHeight="1">
      <c r="A45" s="2207"/>
      <c r="B45" s="2167"/>
      <c r="C45" s="2168"/>
      <c r="D45" s="2144" t="s">
        <v>259</v>
      </c>
      <c r="E45" s="2145"/>
      <c r="F45" s="291"/>
      <c r="G45" s="1000" t="s">
        <v>1003</v>
      </c>
      <c r="H45" s="1000"/>
      <c r="I45" s="333"/>
      <c r="J45" s="66"/>
      <c r="K45" s="1066">
        <f>K44/25*7.5</f>
        <v>69.405000000000001</v>
      </c>
      <c r="L45" s="657" t="s">
        <v>10</v>
      </c>
      <c r="M45" s="1010"/>
      <c r="N45" s="1014" t="s">
        <v>8</v>
      </c>
      <c r="O45" s="1015">
        <f>O44/25*7.5</f>
        <v>69.405000000000001</v>
      </c>
      <c r="P45" s="1016" t="s">
        <v>10</v>
      </c>
      <c r="Q45" s="333"/>
      <c r="R45" s="66"/>
      <c r="S45" s="1066">
        <f>S44/25*7.5</f>
        <v>69.405000000000001</v>
      </c>
      <c r="T45" s="657" t="s">
        <v>10</v>
      </c>
      <c r="U45" s="1010"/>
      <c r="V45" s="1014" t="s">
        <v>8</v>
      </c>
      <c r="W45" s="1015">
        <f>W44/25*7.5</f>
        <v>69.405000000000001</v>
      </c>
      <c r="X45" s="1016" t="s">
        <v>10</v>
      </c>
      <c r="Y45" s="333"/>
      <c r="Z45" s="66"/>
      <c r="AA45" s="1066">
        <f>AA44/25*7.5</f>
        <v>69.405000000000001</v>
      </c>
      <c r="AB45" s="657" t="s">
        <v>10</v>
      </c>
      <c r="AC45" s="1010"/>
      <c r="AD45" s="1014" t="s">
        <v>8</v>
      </c>
      <c r="AE45" s="1015">
        <f>AE44/25*7.5</f>
        <v>69.405000000000001</v>
      </c>
      <c r="AF45" s="1016" t="s">
        <v>10</v>
      </c>
      <c r="AG45" s="300"/>
    </row>
    <row r="46" spans="1:33" ht="51.75" customHeight="1">
      <c r="A46" s="2205">
        <v>3</v>
      </c>
      <c r="B46" s="2142" t="s">
        <v>149</v>
      </c>
      <c r="C46" s="2143"/>
      <c r="D46" s="2146" t="s">
        <v>260</v>
      </c>
      <c r="E46" s="2147" t="s">
        <v>260</v>
      </c>
      <c r="F46" s="54" t="s">
        <v>4</v>
      </c>
      <c r="G46" s="1000" t="str">
        <f>'XM.FILE GOC'!$E$39</f>
        <v>50~70</v>
      </c>
      <c r="H46" s="1000" t="str">
        <f>'XM.FILE GOC'!$F$39</f>
        <v>(60±5)</v>
      </c>
      <c r="I46" s="333">
        <f>'XM.FILE GOC'!AA39</f>
        <v>0</v>
      </c>
      <c r="J46" s="1063" t="s">
        <v>8</v>
      </c>
      <c r="K46" s="1064">
        <f>'XM.FILE GOC'!AD39</f>
        <v>69.36</v>
      </c>
      <c r="L46" s="1065" t="s">
        <v>9</v>
      </c>
      <c r="M46" s="1010"/>
      <c r="N46" s="1011" t="s">
        <v>8</v>
      </c>
      <c r="O46" s="1042">
        <f>('XM.FILE GOC'!$G$39-M46)*1156/1000</f>
        <v>69.36</v>
      </c>
      <c r="P46" s="1013" t="s">
        <v>9</v>
      </c>
      <c r="Q46" s="333">
        <f>'XM.FILE GOC'!AG39</f>
        <v>0</v>
      </c>
      <c r="R46" s="1063" t="s">
        <v>8</v>
      </c>
      <c r="S46" s="1064">
        <f>'XM.FILE GOC'!AJ39</f>
        <v>69.36</v>
      </c>
      <c r="T46" s="1065" t="s">
        <v>9</v>
      </c>
      <c r="U46" s="1010"/>
      <c r="V46" s="1011" t="s">
        <v>8</v>
      </c>
      <c r="W46" s="1042">
        <f>('XM.FILE GOC'!$G$39-U46)*1156/1000</f>
        <v>69.36</v>
      </c>
      <c r="X46" s="1013" t="s">
        <v>9</v>
      </c>
      <c r="Y46" s="333">
        <f>'XM.FILE GOC'!AM39</f>
        <v>0</v>
      </c>
      <c r="Z46" s="66" t="s">
        <v>8</v>
      </c>
      <c r="AA46" s="656">
        <f>'XM.FILE GOC'!AP39</f>
        <v>69.36</v>
      </c>
      <c r="AB46" s="657" t="s">
        <v>9</v>
      </c>
      <c r="AC46" s="1010"/>
      <c r="AD46" s="1011" t="s">
        <v>8</v>
      </c>
      <c r="AE46" s="1042">
        <f>('XM.FILE GOC'!$G$39-AC46)*1156/1000</f>
        <v>69.36</v>
      </c>
      <c r="AF46" s="1013" t="s">
        <v>9</v>
      </c>
      <c r="AG46" s="82" t="s">
        <v>12</v>
      </c>
    </row>
    <row r="47" spans="1:33" ht="51.75" customHeight="1">
      <c r="A47" s="2206"/>
      <c r="B47" s="2143"/>
      <c r="C47" s="2143"/>
      <c r="D47" s="2146" t="s">
        <v>261</v>
      </c>
      <c r="E47" s="2147" t="s">
        <v>261</v>
      </c>
      <c r="F47" s="291"/>
      <c r="G47" s="1000" t="s">
        <v>1048</v>
      </c>
      <c r="H47" s="1000"/>
      <c r="I47" s="333"/>
      <c r="J47" s="66"/>
      <c r="K47" s="1066">
        <f>K46/25*7</f>
        <v>19.4208</v>
      </c>
      <c r="L47" s="657" t="s">
        <v>10</v>
      </c>
      <c r="M47" s="1010"/>
      <c r="N47" s="1014" t="s">
        <v>8</v>
      </c>
      <c r="O47" s="1015">
        <f>O46/25*7</f>
        <v>19.4208</v>
      </c>
      <c r="P47" s="1016" t="s">
        <v>10</v>
      </c>
      <c r="Q47" s="333"/>
      <c r="R47" s="66"/>
      <c r="S47" s="1066">
        <f>S46/25*7</f>
        <v>19.4208</v>
      </c>
      <c r="T47" s="657" t="s">
        <v>10</v>
      </c>
      <c r="U47" s="1010"/>
      <c r="V47" s="1014" t="s">
        <v>8</v>
      </c>
      <c r="W47" s="1015">
        <f>W46/25*7</f>
        <v>19.4208</v>
      </c>
      <c r="X47" s="1016" t="s">
        <v>10</v>
      </c>
      <c r="Y47" s="333"/>
      <c r="Z47" s="66"/>
      <c r="AA47" s="1066">
        <f>AA46/25*7</f>
        <v>19.4208</v>
      </c>
      <c r="AB47" s="657" t="s">
        <v>10</v>
      </c>
      <c r="AC47" s="1010"/>
      <c r="AD47" s="1014" t="s">
        <v>8</v>
      </c>
      <c r="AE47" s="1015">
        <f>AE46/25*7</f>
        <v>19.4208</v>
      </c>
      <c r="AF47" s="1016" t="s">
        <v>10</v>
      </c>
      <c r="AG47" s="20"/>
    </row>
    <row r="48" spans="1:33" ht="51.75" customHeight="1">
      <c r="A48" s="2205">
        <v>4</v>
      </c>
      <c r="B48" s="2142" t="s">
        <v>150</v>
      </c>
      <c r="C48" s="2143"/>
      <c r="D48" s="2146" t="s">
        <v>260</v>
      </c>
      <c r="E48" s="2147" t="s">
        <v>260</v>
      </c>
      <c r="F48" s="54" t="s">
        <v>4</v>
      </c>
      <c r="G48" s="1000" t="str">
        <f>'XM.FILE GOC'!$E$40</f>
        <v>50~70</v>
      </c>
      <c r="H48" s="1000" t="str">
        <f>'XM.FILE GOC'!$F$40</f>
        <v>(60±5)</v>
      </c>
      <c r="I48" s="333">
        <f>'XM.FILE GOC'!AA40</f>
        <v>0</v>
      </c>
      <c r="J48" s="1063" t="s">
        <v>8</v>
      </c>
      <c r="K48" s="1064">
        <f>'XM.FILE GOC'!AD40</f>
        <v>87.54</v>
      </c>
      <c r="L48" s="1065" t="s">
        <v>9</v>
      </c>
      <c r="M48" s="1010"/>
      <c r="N48" s="1011" t="s">
        <v>8</v>
      </c>
      <c r="O48" s="1042">
        <f>('XM.FILE GOC'!$G$40-M48)*1459/1000</f>
        <v>87.54</v>
      </c>
      <c r="P48" s="1013" t="s">
        <v>9</v>
      </c>
      <c r="Q48" s="333">
        <f>'XM.FILE GOC'!AG40</f>
        <v>0</v>
      </c>
      <c r="R48" s="1063" t="s">
        <v>8</v>
      </c>
      <c r="S48" s="1064">
        <f>'XM.FILE GOC'!AJ40</f>
        <v>87.54</v>
      </c>
      <c r="T48" s="1065" t="s">
        <v>9</v>
      </c>
      <c r="U48" s="1010"/>
      <c r="V48" s="1011" t="s">
        <v>8</v>
      </c>
      <c r="W48" s="1042">
        <f>('XM.FILE GOC'!$G$40-U48)*1459/1000</f>
        <v>87.54</v>
      </c>
      <c r="X48" s="1013" t="s">
        <v>9</v>
      </c>
      <c r="Y48" s="333">
        <f>'XM.FILE GOC'!AM40</f>
        <v>0</v>
      </c>
      <c r="Z48" s="66" t="s">
        <v>8</v>
      </c>
      <c r="AA48" s="656">
        <f>'XM.FILE GOC'!AP40</f>
        <v>87.54</v>
      </c>
      <c r="AB48" s="657" t="s">
        <v>9</v>
      </c>
      <c r="AC48" s="1010"/>
      <c r="AD48" s="1011" t="s">
        <v>8</v>
      </c>
      <c r="AE48" s="1042">
        <f>('XM.FILE GOC'!$G$40-AC48)*1459/1000</f>
        <v>87.54</v>
      </c>
      <c r="AF48" s="1013" t="s">
        <v>9</v>
      </c>
      <c r="AG48" s="82" t="s">
        <v>12</v>
      </c>
    </row>
    <row r="49" spans="1:33" ht="51.75" customHeight="1">
      <c r="A49" s="2206"/>
      <c r="B49" s="2143"/>
      <c r="C49" s="2143"/>
      <c r="D49" s="2146" t="s">
        <v>261</v>
      </c>
      <c r="E49" s="2147" t="s">
        <v>261</v>
      </c>
      <c r="F49" s="291"/>
      <c r="G49" s="1000" t="s">
        <v>1048</v>
      </c>
      <c r="H49" s="1000"/>
      <c r="I49" s="333"/>
      <c r="J49" s="66"/>
      <c r="K49" s="1066">
        <f>K48/25*7</f>
        <v>24.511200000000002</v>
      </c>
      <c r="L49" s="657" t="s">
        <v>10</v>
      </c>
      <c r="M49" s="1010"/>
      <c r="N49" s="1014" t="s">
        <v>8</v>
      </c>
      <c r="O49" s="1015">
        <f>O48/25*7</f>
        <v>24.511200000000002</v>
      </c>
      <c r="P49" s="1016" t="s">
        <v>10</v>
      </c>
      <c r="Q49" s="333"/>
      <c r="R49" s="66"/>
      <c r="S49" s="1066">
        <f>S48/25*7</f>
        <v>24.511200000000002</v>
      </c>
      <c r="T49" s="657" t="s">
        <v>10</v>
      </c>
      <c r="U49" s="1010"/>
      <c r="V49" s="1014" t="s">
        <v>8</v>
      </c>
      <c r="W49" s="1015">
        <f>W48/25*7</f>
        <v>24.511200000000002</v>
      </c>
      <c r="X49" s="1016" t="s">
        <v>10</v>
      </c>
      <c r="Y49" s="333"/>
      <c r="Z49" s="66"/>
      <c r="AA49" s="1066">
        <f>AA48/25*7</f>
        <v>24.511200000000002</v>
      </c>
      <c r="AB49" s="657" t="s">
        <v>10</v>
      </c>
      <c r="AC49" s="1010"/>
      <c r="AD49" s="1014" t="s">
        <v>8</v>
      </c>
      <c r="AE49" s="1015">
        <f>AE48/25*7</f>
        <v>24.511200000000002</v>
      </c>
      <c r="AF49" s="1016" t="s">
        <v>10</v>
      </c>
      <c r="AG49" s="20"/>
    </row>
    <row r="50" spans="1:33" ht="51.75" customHeight="1">
      <c r="A50" s="54">
        <v>5</v>
      </c>
      <c r="B50" s="2146" t="s">
        <v>82</v>
      </c>
      <c r="C50" s="2180"/>
      <c r="D50" s="2180"/>
      <c r="E50" s="2147"/>
      <c r="F50" s="54" t="s">
        <v>4</v>
      </c>
      <c r="G50" s="1000" t="str">
        <f>'XM.FILE GOC'!$E$41</f>
        <v>130 - 150</v>
      </c>
      <c r="H50" s="1000" t="str">
        <f>'XM.FILE GOC'!$F$41</f>
        <v>(140±10)</v>
      </c>
      <c r="I50" s="334">
        <f>'XM.FILE GOC'!AA41</f>
        <v>0</v>
      </c>
      <c r="J50" s="1063" t="s">
        <v>8</v>
      </c>
      <c r="K50" s="1064">
        <f>'XM.FILE GOC'!AD41</f>
        <v>2793.14</v>
      </c>
      <c r="L50" s="1065" t="s">
        <v>9</v>
      </c>
      <c r="M50" s="1010"/>
      <c r="N50" s="1011" t="s">
        <v>8</v>
      </c>
      <c r="O50" s="1042">
        <f>('XM.FILE GOC'!$G$41-M50)*19951/1000</f>
        <v>2793.14</v>
      </c>
      <c r="P50" s="1013" t="s">
        <v>9</v>
      </c>
      <c r="Q50" s="334">
        <f>'XM.FILE GOC'!AG41</f>
        <v>0</v>
      </c>
      <c r="R50" s="1063" t="s">
        <v>8</v>
      </c>
      <c r="S50" s="1064">
        <f>'XM.FILE GOC'!AJ41</f>
        <v>2793.14</v>
      </c>
      <c r="T50" s="1065" t="s">
        <v>9</v>
      </c>
      <c r="U50" s="1010"/>
      <c r="V50" s="1011" t="s">
        <v>8</v>
      </c>
      <c r="W50" s="1042">
        <f>('XM.FILE GOC'!$G$41-U50)*19951/1000</f>
        <v>2793.14</v>
      </c>
      <c r="X50" s="1013" t="s">
        <v>9</v>
      </c>
      <c r="Y50" s="334">
        <f>'XM.FILE GOC'!AM41</f>
        <v>0</v>
      </c>
      <c r="Z50" s="66" t="s">
        <v>8</v>
      </c>
      <c r="AA50" s="656">
        <f>'XM.FILE GOC'!AP41</f>
        <v>2793.14</v>
      </c>
      <c r="AB50" s="657" t="s">
        <v>9</v>
      </c>
      <c r="AC50" s="1010"/>
      <c r="AD50" s="1011" t="s">
        <v>8</v>
      </c>
      <c r="AE50" s="1042">
        <f>('XM.FILE GOC'!$G$41-AC50)*19951/1000</f>
        <v>2793.14</v>
      </c>
      <c r="AF50" s="1013" t="s">
        <v>9</v>
      </c>
      <c r="AG50" s="82" t="s">
        <v>13</v>
      </c>
    </row>
    <row r="51" spans="1:33" ht="51.75" customHeight="1">
      <c r="A51" s="54">
        <v>6</v>
      </c>
      <c r="B51" s="2146" t="s">
        <v>60</v>
      </c>
      <c r="C51" s="2180"/>
      <c r="D51" s="2180"/>
      <c r="E51" s="2147"/>
      <c r="F51" s="54" t="s">
        <v>4</v>
      </c>
      <c r="G51" s="1000" t="str">
        <f>'XM.FILE GOC'!$E$42</f>
        <v>8~12</v>
      </c>
      <c r="H51" s="1000" t="str">
        <f>'XM.FILE GOC'!$F$42</f>
        <v>(10±1)</v>
      </c>
      <c r="I51" s="333">
        <f>'XM.FILE GOC'!AA42</f>
        <v>0</v>
      </c>
      <c r="J51" s="1063" t="s">
        <v>8</v>
      </c>
      <c r="K51" s="1064">
        <f>'XM.FILE GOC'!AD42</f>
        <v>199.51</v>
      </c>
      <c r="L51" s="18" t="s">
        <v>9</v>
      </c>
      <c r="M51" s="1010"/>
      <c r="N51" s="1011" t="s">
        <v>8</v>
      </c>
      <c r="O51" s="1042">
        <f>('XM.FILE GOC'!$G$42-M51)*19951/1000</f>
        <v>199.51</v>
      </c>
      <c r="P51" s="1013" t="s">
        <v>9</v>
      </c>
      <c r="Q51" s="333">
        <f>'XM.FILE GOC'!AG42</f>
        <v>0</v>
      </c>
      <c r="R51" s="66" t="s">
        <v>8</v>
      </c>
      <c r="S51" s="656">
        <f>'XM.FILE GOC'!AJ42</f>
        <v>199.51</v>
      </c>
      <c r="T51" s="18" t="s">
        <v>9</v>
      </c>
      <c r="U51" s="1010"/>
      <c r="V51" s="1011" t="s">
        <v>8</v>
      </c>
      <c r="W51" s="1042">
        <f>('XM.FILE GOC'!$G$42-U51)*19951/1000</f>
        <v>199.51</v>
      </c>
      <c r="X51" s="1013" t="s">
        <v>9</v>
      </c>
      <c r="Y51" s="333">
        <f>'XM.FILE GOC'!AM42</f>
        <v>0</v>
      </c>
      <c r="Z51" s="66" t="s">
        <v>8</v>
      </c>
      <c r="AA51" s="656">
        <f>'XM.FILE GOC'!AP42</f>
        <v>199.51</v>
      </c>
      <c r="AB51" s="1013" t="s">
        <v>9</v>
      </c>
      <c r="AC51" s="1010"/>
      <c r="AD51" s="1011" t="s">
        <v>8</v>
      </c>
      <c r="AE51" s="1042">
        <f>('XM.FILE GOC'!$G$42-AC51)*19951/1000</f>
        <v>199.51</v>
      </c>
      <c r="AF51" s="1013" t="s">
        <v>9</v>
      </c>
      <c r="AG51" s="82" t="s">
        <v>14</v>
      </c>
    </row>
    <row r="52" spans="1:33" ht="51.75" customHeight="1">
      <c r="A52" s="2205">
        <v>7</v>
      </c>
      <c r="B52" s="2148" t="s">
        <v>1000</v>
      </c>
      <c r="C52" s="2149"/>
      <c r="D52" s="2149"/>
      <c r="E52" s="2150"/>
      <c r="F52" s="54" t="s">
        <v>3</v>
      </c>
      <c r="G52" s="1000" t="str">
        <f>'XM.FILE GOC'!$E$43</f>
        <v xml:space="preserve">6~10 </v>
      </c>
      <c r="H52" s="1000" t="str">
        <f>'XM.FILE GOC'!$F$43</f>
        <v>(8±0.5)</v>
      </c>
      <c r="I52" s="61">
        <f>'XM.FILE GOC'!AA43</f>
        <v>-1.0461</v>
      </c>
      <c r="J52" s="1063" t="s">
        <v>8</v>
      </c>
      <c r="K52" s="1064">
        <f>'XM.FILE GOC'!AD43</f>
        <v>52.015074999999996</v>
      </c>
      <c r="L52" s="1065" t="s">
        <v>10</v>
      </c>
      <c r="M52" s="1010"/>
      <c r="N52" s="1014" t="s">
        <v>8</v>
      </c>
      <c r="O52" s="1042">
        <f>('XM.FILE GOC'!$G$43-M52)*575/108</f>
        <v>42.592592592592595</v>
      </c>
      <c r="P52" s="1016" t="s">
        <v>10</v>
      </c>
      <c r="Q52" s="61">
        <f>'XM.FILE GOC'!AG43</f>
        <v>-1.0461</v>
      </c>
      <c r="R52" s="1063" t="s">
        <v>8</v>
      </c>
      <c r="S52" s="1064">
        <f>'XM.FILE GOC'!AJ43</f>
        <v>52.015074999999996</v>
      </c>
      <c r="T52" s="1065" t="s">
        <v>10</v>
      </c>
      <c r="U52" s="1010"/>
      <c r="V52" s="1014" t="s">
        <v>8</v>
      </c>
      <c r="W52" s="1042">
        <f>('XM.FILE GOC'!$G$43-U52)*575/108</f>
        <v>42.592592592592595</v>
      </c>
      <c r="X52" s="1016" t="s">
        <v>10</v>
      </c>
      <c r="Y52" s="61">
        <f>'XM.FILE GOC'!AM43</f>
        <v>-1.0461</v>
      </c>
      <c r="Z52" s="66" t="s">
        <v>8</v>
      </c>
      <c r="AA52" s="656">
        <f>'XM.FILE GOC'!AP43</f>
        <v>52.015074999999996</v>
      </c>
      <c r="AB52" s="657" t="s">
        <v>10</v>
      </c>
      <c r="AC52" s="1010"/>
      <c r="AD52" s="1014" t="s">
        <v>8</v>
      </c>
      <c r="AE52" s="1042">
        <f>('XM.FILE GOC'!$G$43-AC52)*575/108</f>
        <v>42.592592592592595</v>
      </c>
      <c r="AF52" s="1016" t="s">
        <v>10</v>
      </c>
      <c r="AG52" s="82"/>
    </row>
    <row r="53" spans="1:33" ht="51.75" customHeight="1">
      <c r="A53" s="2206"/>
      <c r="B53" s="2151"/>
      <c r="C53" s="2152"/>
      <c r="D53" s="2152"/>
      <c r="E53" s="2153"/>
      <c r="F53" s="54" t="s">
        <v>5</v>
      </c>
      <c r="G53" s="1000" t="str">
        <f>'XM.FILE GOC'!$E$44</f>
        <v>2~2.5</v>
      </c>
      <c r="H53" s="1000" t="str">
        <f>'XM.FILE GOC'!$F$44</f>
        <v>(2.3±0.1 )</v>
      </c>
      <c r="I53" s="67">
        <f>'XM.FILE GOC'!AA44</f>
        <v>0</v>
      </c>
      <c r="J53" s="1067"/>
      <c r="K53" s="1064">
        <f>'XM.FILE GOC'!AD44</f>
        <v>0</v>
      </c>
      <c r="L53" s="1068"/>
      <c r="M53" s="1010"/>
      <c r="N53" s="1017"/>
      <c r="O53" s="1045"/>
      <c r="P53" s="1018"/>
      <c r="Q53" s="67">
        <f>'XM.FILE GOC'!AG44</f>
        <v>0</v>
      </c>
      <c r="R53" s="1067"/>
      <c r="S53" s="1064">
        <f>'XM.FILE GOC'!AJ44</f>
        <v>0</v>
      </c>
      <c r="T53" s="1068"/>
      <c r="U53" s="1010"/>
      <c r="V53" s="1017"/>
      <c r="W53" s="1045"/>
      <c r="X53" s="1018"/>
      <c r="Y53" s="67">
        <f>'XM.FILE GOC'!AM44</f>
        <v>0</v>
      </c>
      <c r="Z53" s="66"/>
      <c r="AA53" s="656">
        <f>'XM.FILE GOC'!AP44</f>
        <v>0</v>
      </c>
      <c r="AB53" s="657"/>
      <c r="AC53" s="1010"/>
      <c r="AD53" s="1017"/>
      <c r="AE53" s="1045"/>
      <c r="AF53" s="1018"/>
      <c r="AG53" s="20"/>
    </row>
    <row r="54" spans="1:33" ht="51.75" customHeight="1">
      <c r="A54" s="54">
        <v>8</v>
      </c>
      <c r="B54" s="2146" t="s">
        <v>61</v>
      </c>
      <c r="C54" s="2180"/>
      <c r="D54" s="2180"/>
      <c r="E54" s="2147"/>
      <c r="F54" s="1073" t="s">
        <v>6</v>
      </c>
      <c r="G54" s="1000" t="str">
        <f>'XM.FILE GOC'!$E$45</f>
        <v xml:space="preserve">30~60 </v>
      </c>
      <c r="H54" s="1000" t="str">
        <f>'XM.FILE GOC'!$F$45</f>
        <v>(45±5)</v>
      </c>
      <c r="I54" s="337">
        <f>'XM.FILE GOC'!AA45</f>
        <v>0</v>
      </c>
      <c r="J54" s="1063" t="s">
        <v>8</v>
      </c>
      <c r="K54" s="1064">
        <f>'XM.FILE GOC'!AD45</f>
        <v>954.9</v>
      </c>
      <c r="L54" s="1065" t="s">
        <v>10</v>
      </c>
      <c r="M54" s="1020"/>
      <c r="N54" s="1011" t="s">
        <v>8</v>
      </c>
      <c r="O54" s="1042">
        <f>('XM.FILE GOC'!$G$45-M54)*2122</f>
        <v>954.9</v>
      </c>
      <c r="P54" s="1013" t="s">
        <v>10</v>
      </c>
      <c r="Q54" s="337">
        <f>'XM.FILE GOC'!AG45</f>
        <v>0</v>
      </c>
      <c r="R54" s="1063" t="s">
        <v>8</v>
      </c>
      <c r="S54" s="1064">
        <f>'XM.FILE GOC'!AJ45</f>
        <v>954.9</v>
      </c>
      <c r="T54" s="1065" t="s">
        <v>10</v>
      </c>
      <c r="U54" s="1020"/>
      <c r="V54" s="1011" t="s">
        <v>8</v>
      </c>
      <c r="W54" s="1042">
        <f>('XM.FILE GOC'!$G$45-U54)*2122</f>
        <v>954.9</v>
      </c>
      <c r="X54" s="1013" t="s">
        <v>10</v>
      </c>
      <c r="Y54" s="337">
        <f>'XM.FILE GOC'!AM45</f>
        <v>0</v>
      </c>
      <c r="Z54" s="66" t="s">
        <v>8</v>
      </c>
      <c r="AA54" s="656">
        <f>'XM.FILE GOC'!AP45</f>
        <v>954.9</v>
      </c>
      <c r="AB54" s="657" t="s">
        <v>10</v>
      </c>
      <c r="AC54" s="1020"/>
      <c r="AD54" s="1011" t="s">
        <v>8</v>
      </c>
      <c r="AE54" s="1042">
        <f>('XM.FILE GOC'!$G$45-AC54)*2122</f>
        <v>954.9</v>
      </c>
      <c r="AF54" s="1013" t="s">
        <v>10</v>
      </c>
      <c r="AG54" s="82" t="s">
        <v>15</v>
      </c>
    </row>
    <row r="55" spans="1:33" ht="51.75" customHeight="1">
      <c r="A55" s="54">
        <v>9</v>
      </c>
      <c r="B55" s="2146" t="s">
        <v>62</v>
      </c>
      <c r="C55" s="2180"/>
      <c r="D55" s="2180"/>
      <c r="E55" s="2147"/>
      <c r="F55" s="1073" t="s">
        <v>6</v>
      </c>
      <c r="G55" s="1000" t="str">
        <f>'XM.FILE GOC'!$E$46</f>
        <v>15~30</v>
      </c>
      <c r="H55" s="1000" t="str">
        <f>'XM.FILE GOC'!$F$46</f>
        <v>(22±5 )</v>
      </c>
      <c r="I55" s="337">
        <f>'XM.FILE GOC'!AA46</f>
        <v>0</v>
      </c>
      <c r="J55" s="66" t="s">
        <v>8</v>
      </c>
      <c r="K55" s="656">
        <f>'XM.FILE GOC'!AD46</f>
        <v>134.64000000000001</v>
      </c>
      <c r="L55" s="657" t="s">
        <v>10</v>
      </c>
      <c r="M55" s="1020"/>
      <c r="N55" s="1011" t="s">
        <v>8</v>
      </c>
      <c r="O55" s="1042">
        <f>('XM.FILE GOC'!$G$46-M55)*612</f>
        <v>134.64000000000001</v>
      </c>
      <c r="P55" s="1013" t="s">
        <v>10</v>
      </c>
      <c r="Q55" s="337">
        <f>'XM.FILE GOC'!AG46</f>
        <v>0</v>
      </c>
      <c r="R55" s="66" t="s">
        <v>8</v>
      </c>
      <c r="S55" s="656">
        <f>'XM.FILE GOC'!AJ46</f>
        <v>134.64000000000001</v>
      </c>
      <c r="T55" s="657" t="s">
        <v>10</v>
      </c>
      <c r="U55" s="1020"/>
      <c r="V55" s="1011" t="s">
        <v>8</v>
      </c>
      <c r="W55" s="1042">
        <f>('XM.FILE GOC'!$G$46-U55)*612</f>
        <v>134.64000000000001</v>
      </c>
      <c r="X55" s="1013" t="s">
        <v>10</v>
      </c>
      <c r="Y55" s="337">
        <f>'XM.FILE GOC'!AM46</f>
        <v>0</v>
      </c>
      <c r="Z55" s="66" t="s">
        <v>8</v>
      </c>
      <c r="AA55" s="656">
        <f>'XM.FILE GOC'!AP46</f>
        <v>134.64000000000001</v>
      </c>
      <c r="AB55" s="657" t="s">
        <v>10</v>
      </c>
      <c r="AC55" s="1020"/>
      <c r="AD55" s="1011" t="s">
        <v>8</v>
      </c>
      <c r="AE55" s="1042">
        <f>('XM.FILE GOC'!$G$46-AC55)*612</f>
        <v>134.64000000000001</v>
      </c>
      <c r="AF55" s="1013" t="s">
        <v>10</v>
      </c>
      <c r="AG55" s="82" t="s">
        <v>15</v>
      </c>
    </row>
    <row r="56" spans="1:33" ht="51.75" customHeight="1">
      <c r="A56" s="54">
        <v>11</v>
      </c>
      <c r="B56" s="2146" t="s">
        <v>116</v>
      </c>
      <c r="C56" s="2180"/>
      <c r="D56" s="2180"/>
      <c r="E56" s="2147"/>
      <c r="F56" s="1073" t="s">
        <v>6</v>
      </c>
      <c r="G56" s="1000" t="str">
        <f>'XM.FILE GOC'!$E$47</f>
        <v>5~15</v>
      </c>
      <c r="H56" s="1000" t="str">
        <f>'XM.FILE GOC'!$F$47</f>
        <v>(10±3)</v>
      </c>
      <c r="I56" s="337">
        <f>'XM.FILE GOC'!AA47</f>
        <v>0</v>
      </c>
      <c r="J56" s="1063" t="s">
        <v>8</v>
      </c>
      <c r="K56" s="1064">
        <f>'XM.FILE GOC'!AD47</f>
        <v>57.5</v>
      </c>
      <c r="L56" s="1065" t="s">
        <v>10</v>
      </c>
      <c r="M56" s="1020"/>
      <c r="N56" s="1011" t="s">
        <v>8</v>
      </c>
      <c r="O56" s="1042">
        <f>('XM.FILE GOC'!$G$47-M56)*575</f>
        <v>57.5</v>
      </c>
      <c r="P56" s="1013" t="s">
        <v>10</v>
      </c>
      <c r="Q56" s="337">
        <f>'XM.FILE GOC'!AG47</f>
        <v>0</v>
      </c>
      <c r="R56" s="1063" t="s">
        <v>8</v>
      </c>
      <c r="S56" s="1064">
        <f>'XM.FILE GOC'!AJ47</f>
        <v>57.5</v>
      </c>
      <c r="T56" s="1065" t="s">
        <v>10</v>
      </c>
      <c r="U56" s="1020"/>
      <c r="V56" s="1011" t="s">
        <v>8</v>
      </c>
      <c r="W56" s="1042">
        <f>('XM.FILE GOC'!$G$47-U56)*575</f>
        <v>57.5</v>
      </c>
      <c r="X56" s="1013" t="s">
        <v>10</v>
      </c>
      <c r="Y56" s="337">
        <f>'XM.FILE GOC'!AM47</f>
        <v>0</v>
      </c>
      <c r="Z56" s="66" t="s">
        <v>8</v>
      </c>
      <c r="AA56" s="656">
        <f>'XM.FILE GOC'!AP47</f>
        <v>57.5</v>
      </c>
      <c r="AB56" s="657" t="s">
        <v>10</v>
      </c>
      <c r="AC56" s="1020"/>
      <c r="AD56" s="1011" t="s">
        <v>8</v>
      </c>
      <c r="AE56" s="1042">
        <f>('XM.FILE GOC'!$G$47-AC56)*575</f>
        <v>57.5</v>
      </c>
      <c r="AF56" s="1013" t="s">
        <v>10</v>
      </c>
      <c r="AG56" s="82" t="s">
        <v>16</v>
      </c>
    </row>
    <row r="57" spans="1:33" ht="51.75" customHeight="1">
      <c r="A57" s="54">
        <v>12</v>
      </c>
      <c r="B57" s="2146" t="s">
        <v>1001</v>
      </c>
      <c r="C57" s="2180"/>
      <c r="D57" s="2180"/>
      <c r="E57" s="2147"/>
      <c r="F57" s="1073" t="s">
        <v>3</v>
      </c>
      <c r="G57" s="1000" t="str">
        <f>'XM.FILE GOC'!$E$48</f>
        <v>0.5~1.5</v>
      </c>
      <c r="H57" s="1000" t="str">
        <f>'XM.FILE GOC'!$F$48</f>
        <v>(1±0.2)</v>
      </c>
      <c r="I57" s="340">
        <f>'XM.FILE GOC'!AA48</f>
        <v>0</v>
      </c>
      <c r="J57" s="1063" t="s">
        <v>8</v>
      </c>
      <c r="K57" s="1069">
        <f>'XM.FILE GOC'!AD48</f>
        <v>8.1538461538461533</v>
      </c>
      <c r="L57" s="1065" t="s">
        <v>10</v>
      </c>
      <c r="M57" s="1021"/>
      <c r="N57" s="1022" t="s">
        <v>8</v>
      </c>
      <c r="O57" s="1043">
        <f>('XM.FILE GOC'!$G$48-M57)*530/65%</f>
        <v>8.1538461538461533</v>
      </c>
      <c r="P57" s="1024" t="s">
        <v>10</v>
      </c>
      <c r="Q57" s="340">
        <f>'XM.FILE GOC'!AG48</f>
        <v>0</v>
      </c>
      <c r="R57" s="1063" t="s">
        <v>8</v>
      </c>
      <c r="S57" s="1069">
        <f>'XM.FILE GOC'!AJ48</f>
        <v>8.1538461538461533</v>
      </c>
      <c r="T57" s="1065" t="s">
        <v>10</v>
      </c>
      <c r="U57" s="1021"/>
      <c r="V57" s="1022" t="s">
        <v>8</v>
      </c>
      <c r="W57" s="1043">
        <f>('XM.FILE GOC'!$G$48-U57)*530/65%</f>
        <v>8.1538461538461533</v>
      </c>
      <c r="X57" s="1024" t="s">
        <v>10</v>
      </c>
      <c r="Y57" s="340">
        <f>'XM.FILE GOC'!AM48</f>
        <v>0</v>
      </c>
      <c r="Z57" s="66" t="s">
        <v>8</v>
      </c>
      <c r="AA57" s="1066">
        <f>'XM.FILE GOC'!AP48</f>
        <v>8.1538461538461533</v>
      </c>
      <c r="AB57" s="657" t="s">
        <v>10</v>
      </c>
      <c r="AC57" s="1021"/>
      <c r="AD57" s="1022" t="s">
        <v>8</v>
      </c>
      <c r="AE57" s="1043">
        <f>('XM.FILE GOC'!$G$48-AC57)*530/65%</f>
        <v>8.1538461538461533</v>
      </c>
      <c r="AF57" s="1024" t="s">
        <v>10</v>
      </c>
      <c r="AG57" s="82" t="s">
        <v>16</v>
      </c>
    </row>
    <row r="58" spans="1:33" ht="51.75" customHeight="1">
      <c r="A58" s="54"/>
      <c r="B58" s="2202" t="s">
        <v>117</v>
      </c>
      <c r="C58" s="2202"/>
      <c r="D58" s="2202"/>
      <c r="E58" s="2202"/>
      <c r="F58" s="2202"/>
      <c r="G58" s="2202"/>
      <c r="H58" s="2202"/>
      <c r="I58" s="2202"/>
      <c r="J58" s="2202"/>
      <c r="K58" s="2202"/>
      <c r="L58" s="2202"/>
      <c r="M58" s="2202"/>
      <c r="N58" s="2202"/>
      <c r="O58" s="2202"/>
      <c r="P58" s="2202"/>
      <c r="Q58" s="2202"/>
      <c r="R58" s="2202"/>
      <c r="S58" s="2202"/>
      <c r="T58" s="2202"/>
      <c r="U58" s="2202"/>
      <c r="V58" s="2202"/>
      <c r="W58" s="2202"/>
      <c r="X58" s="2202"/>
      <c r="Y58" s="2202"/>
      <c r="Z58" s="2202"/>
      <c r="AA58" s="2202"/>
      <c r="AB58" s="2202"/>
      <c r="AC58" s="2202"/>
      <c r="AD58" s="2202"/>
      <c r="AE58" s="2202"/>
      <c r="AF58" s="2202"/>
      <c r="AG58" s="2202"/>
    </row>
    <row r="59" spans="1:33" ht="51.75" customHeight="1">
      <c r="A59" s="1073" t="s">
        <v>7</v>
      </c>
      <c r="B59" s="2146" t="s">
        <v>64</v>
      </c>
      <c r="C59" s="2180"/>
      <c r="D59" s="2180"/>
      <c r="E59" s="2147"/>
      <c r="F59" s="275" t="s">
        <v>66</v>
      </c>
      <c r="G59" s="1094" t="s">
        <v>1424</v>
      </c>
      <c r="H59" s="1618" t="s">
        <v>1412</v>
      </c>
      <c r="I59" s="2203" t="s">
        <v>48</v>
      </c>
      <c r="J59" s="2204"/>
      <c r="K59" s="2203" t="s">
        <v>65</v>
      </c>
      <c r="L59" s="2204"/>
      <c r="M59" s="1025"/>
      <c r="N59" s="1026"/>
      <c r="O59" s="1026"/>
      <c r="P59" s="1027"/>
      <c r="Q59" s="2203" t="s">
        <v>48</v>
      </c>
      <c r="R59" s="2204"/>
      <c r="S59" s="2203" t="s">
        <v>65</v>
      </c>
      <c r="T59" s="2204"/>
      <c r="U59" s="1025"/>
      <c r="V59" s="1026"/>
      <c r="W59" s="1026"/>
      <c r="X59" s="1027"/>
      <c r="Y59" s="2203" t="s">
        <v>48</v>
      </c>
      <c r="Z59" s="2204"/>
      <c r="AA59" s="2203" t="s">
        <v>65</v>
      </c>
      <c r="AB59" s="2204"/>
      <c r="AC59" s="1025"/>
      <c r="AD59" s="1026"/>
      <c r="AE59" s="1026"/>
      <c r="AF59" s="1027"/>
      <c r="AG59" s="83"/>
    </row>
    <row r="60" spans="1:33" ht="51.75" customHeight="1">
      <c r="A60" s="1073">
        <v>1</v>
      </c>
      <c r="B60" s="2146" t="s">
        <v>68</v>
      </c>
      <c r="C60" s="2180"/>
      <c r="D60" s="2180"/>
      <c r="E60" s="2147"/>
      <c r="F60" s="274" t="s">
        <v>214</v>
      </c>
      <c r="G60" s="1000" t="str">
        <f>'XM.FILE GOC'!$E$53</f>
        <v>50~70</v>
      </c>
      <c r="H60" s="1000" t="str">
        <f>'XM.FILE GOC'!$F$53</f>
        <v>(60±3)</v>
      </c>
      <c r="I60" s="2088">
        <f>'XM.GUI MAIL'!AA53</f>
        <v>0</v>
      </c>
      <c r="J60" s="2089"/>
      <c r="K60" s="2088">
        <f>'XM.FILE GOC'!AD53</f>
        <v>0</v>
      </c>
      <c r="L60" s="2089"/>
      <c r="M60" s="1028"/>
      <c r="N60" s="1029"/>
      <c r="O60" s="1029"/>
      <c r="P60" s="1030"/>
      <c r="Q60" s="2088">
        <f>'XM.GUI MAIL'!AG53</f>
        <v>0</v>
      </c>
      <c r="R60" s="2089"/>
      <c r="S60" s="2088">
        <f>'XM.FILE GOC'!AJ53</f>
        <v>0</v>
      </c>
      <c r="T60" s="2089"/>
      <c r="U60" s="1028"/>
      <c r="V60" s="1029"/>
      <c r="W60" s="1029"/>
      <c r="X60" s="1030"/>
      <c r="Y60" s="2088">
        <f>'XM.GUI MAIL'!AM53</f>
        <v>0</v>
      </c>
      <c r="Z60" s="2089"/>
      <c r="AA60" s="2088">
        <f>'XM.FILE GOC'!AP53</f>
        <v>0</v>
      </c>
      <c r="AB60" s="2089"/>
      <c r="AC60" s="1028"/>
      <c r="AD60" s="1029"/>
      <c r="AE60" s="1029"/>
      <c r="AF60" s="1030"/>
      <c r="AG60" s="20"/>
    </row>
    <row r="61" spans="1:33" ht="51.75" customHeight="1">
      <c r="A61" s="1073">
        <v>2</v>
      </c>
      <c r="B61" s="2146" t="s">
        <v>69</v>
      </c>
      <c r="C61" s="2180" t="s">
        <v>69</v>
      </c>
      <c r="D61" s="2180" t="s">
        <v>69</v>
      </c>
      <c r="E61" s="2147" t="s">
        <v>69</v>
      </c>
      <c r="F61" s="274" t="s">
        <v>214</v>
      </c>
      <c r="G61" s="1000" t="str">
        <f>'XM.FILE GOC'!$E$54</f>
        <v>50~70</v>
      </c>
      <c r="H61" s="1000" t="str">
        <f>'XM.FILE GOC'!$F$54</f>
        <v>(60±3)</v>
      </c>
      <c r="I61" s="2088">
        <f>'XM.GUI MAIL'!AA54</f>
        <v>0</v>
      </c>
      <c r="J61" s="2089"/>
      <c r="K61" s="2088">
        <f>'XM.FILE GOC'!AD54</f>
        <v>0</v>
      </c>
      <c r="L61" s="2089"/>
      <c r="M61" s="1028"/>
      <c r="N61" s="1029"/>
      <c r="O61" s="1029"/>
      <c r="P61" s="1030"/>
      <c r="Q61" s="2088">
        <f>'XM.GUI MAIL'!AG54</f>
        <v>0</v>
      </c>
      <c r="R61" s="2089"/>
      <c r="S61" s="2088">
        <f>'XM.FILE GOC'!AJ54</f>
        <v>0</v>
      </c>
      <c r="T61" s="2089"/>
      <c r="U61" s="1028"/>
      <c r="V61" s="1029"/>
      <c r="W61" s="1029"/>
      <c r="X61" s="1030"/>
      <c r="Y61" s="2088">
        <f>'XM.GUI MAIL'!AM54</f>
        <v>0</v>
      </c>
      <c r="Z61" s="2089"/>
      <c r="AA61" s="2088">
        <f>'XM.FILE GOC'!AP54</f>
        <v>0</v>
      </c>
      <c r="AB61" s="2089"/>
      <c r="AC61" s="1028"/>
      <c r="AD61" s="1029"/>
      <c r="AE61" s="1029"/>
      <c r="AF61" s="1030"/>
      <c r="AG61" s="20"/>
    </row>
    <row r="62" spans="1:33" ht="51.75" customHeight="1">
      <c r="A62" s="1073">
        <v>3</v>
      </c>
      <c r="B62" s="2146" t="s">
        <v>71</v>
      </c>
      <c r="C62" s="2180" t="s">
        <v>71</v>
      </c>
      <c r="D62" s="2180" t="s">
        <v>71</v>
      </c>
      <c r="E62" s="2147" t="s">
        <v>71</v>
      </c>
      <c r="F62" s="274" t="s">
        <v>214</v>
      </c>
      <c r="G62" s="1000" t="str">
        <f>'XM.FILE GOC'!$E$55</f>
        <v>50~70</v>
      </c>
      <c r="H62" s="1000" t="str">
        <f>'XM.FILE GOC'!$F$55</f>
        <v>(60±3)</v>
      </c>
      <c r="I62" s="2088">
        <f>'XM.GUI MAIL'!AA55</f>
        <v>0</v>
      </c>
      <c r="J62" s="2089"/>
      <c r="K62" s="2088">
        <f>'XM.FILE GOC'!AD55</f>
        <v>0</v>
      </c>
      <c r="L62" s="2089"/>
      <c r="M62" s="1028"/>
      <c r="N62" s="1029"/>
      <c r="O62" s="1029"/>
      <c r="P62" s="1030"/>
      <c r="Q62" s="2088">
        <f>'XM.GUI MAIL'!AG55</f>
        <v>0</v>
      </c>
      <c r="R62" s="2089"/>
      <c r="S62" s="2088">
        <f>'XM.FILE GOC'!AJ55</f>
        <v>0</v>
      </c>
      <c r="T62" s="2089"/>
      <c r="U62" s="1028"/>
      <c r="V62" s="1029"/>
      <c r="W62" s="1029"/>
      <c r="X62" s="1030"/>
      <c r="Y62" s="2088">
        <f>'XM.GUI MAIL'!AM55</f>
        <v>0</v>
      </c>
      <c r="Z62" s="2089"/>
      <c r="AA62" s="2088">
        <f>'XM.FILE GOC'!AP55</f>
        <v>0</v>
      </c>
      <c r="AB62" s="2089"/>
      <c r="AC62" s="1028"/>
      <c r="AD62" s="1029"/>
      <c r="AE62" s="1029"/>
      <c r="AF62" s="1030"/>
      <c r="AG62" s="20"/>
    </row>
    <row r="63" spans="1:33" ht="51.75" customHeight="1">
      <c r="A63" s="1073">
        <v>4</v>
      </c>
      <c r="B63" s="2146" t="s">
        <v>70</v>
      </c>
      <c r="C63" s="2180" t="s">
        <v>70</v>
      </c>
      <c r="D63" s="2180" t="s">
        <v>70</v>
      </c>
      <c r="E63" s="2147" t="s">
        <v>70</v>
      </c>
      <c r="F63" s="274" t="s">
        <v>214</v>
      </c>
      <c r="G63" s="1000" t="str">
        <f>'XM.FILE GOC'!$E$56</f>
        <v>50~70</v>
      </c>
      <c r="H63" s="1000" t="str">
        <f>'XM.FILE GOC'!$F$56</f>
        <v>(60±3)</v>
      </c>
      <c r="I63" s="2088">
        <f>'XM.GUI MAIL'!AA56</f>
        <v>0</v>
      </c>
      <c r="J63" s="2089"/>
      <c r="K63" s="2088">
        <f>'XM.FILE GOC'!AD56</f>
        <v>0</v>
      </c>
      <c r="L63" s="2089"/>
      <c r="M63" s="1028"/>
      <c r="N63" s="1029"/>
      <c r="O63" s="1029"/>
      <c r="P63" s="1030"/>
      <c r="Q63" s="2088">
        <f>'XM.GUI MAIL'!AG56</f>
        <v>0</v>
      </c>
      <c r="R63" s="2089"/>
      <c r="S63" s="2088">
        <f>'XM.FILE GOC'!AJ56</f>
        <v>0</v>
      </c>
      <c r="T63" s="2089"/>
      <c r="U63" s="1028"/>
      <c r="V63" s="1029"/>
      <c r="W63" s="1029"/>
      <c r="X63" s="1030"/>
      <c r="Y63" s="2088">
        <f>'XM.GUI MAIL'!AM56</f>
        <v>0</v>
      </c>
      <c r="Z63" s="2089"/>
      <c r="AA63" s="2088">
        <f>'XM.FILE GOC'!AP56</f>
        <v>0</v>
      </c>
      <c r="AB63" s="2089"/>
      <c r="AC63" s="1028"/>
      <c r="AD63" s="1029"/>
      <c r="AE63" s="1029"/>
      <c r="AF63" s="1030"/>
      <c r="AG63" s="20"/>
    </row>
    <row r="64" spans="1:33" ht="51.75" customHeight="1">
      <c r="A64" s="1073">
        <v>5</v>
      </c>
      <c r="B64" s="2146" t="s">
        <v>72</v>
      </c>
      <c r="C64" s="2180" t="s">
        <v>72</v>
      </c>
      <c r="D64" s="2180" t="s">
        <v>72</v>
      </c>
      <c r="E64" s="2147" t="s">
        <v>72</v>
      </c>
      <c r="F64" s="274" t="s">
        <v>214</v>
      </c>
      <c r="G64" s="1000" t="str">
        <f>'XM.FILE GOC'!$E$57</f>
        <v>22~30</v>
      </c>
      <c r="H64" s="1000" t="str">
        <f>'XM.FILE GOC'!$F$57</f>
        <v>(24±1)</v>
      </c>
      <c r="I64" s="2088">
        <f>'XM.GUI MAIL'!AA57</f>
        <v>0</v>
      </c>
      <c r="J64" s="2089"/>
      <c r="K64" s="2088">
        <f>'XM.FILE GOC'!AD57</f>
        <v>0</v>
      </c>
      <c r="L64" s="2089"/>
      <c r="M64" s="1028"/>
      <c r="N64" s="1029"/>
      <c r="O64" s="1029"/>
      <c r="P64" s="1030"/>
      <c r="Q64" s="2088">
        <f>'XM.GUI MAIL'!AG57</f>
        <v>0</v>
      </c>
      <c r="R64" s="2089"/>
      <c r="S64" s="2088">
        <f>'XM.FILE GOC'!AJ57</f>
        <v>0</v>
      </c>
      <c r="T64" s="2089"/>
      <c r="U64" s="1028"/>
      <c r="V64" s="1029"/>
      <c r="W64" s="1029"/>
      <c r="X64" s="1030"/>
      <c r="Y64" s="2088">
        <f>'XM.GUI MAIL'!AM57</f>
        <v>0</v>
      </c>
      <c r="Z64" s="2089"/>
      <c r="AA64" s="2088">
        <f>'XM.FILE GOC'!AP57</f>
        <v>0</v>
      </c>
      <c r="AB64" s="2089"/>
      <c r="AC64" s="1028"/>
      <c r="AD64" s="1029"/>
      <c r="AE64" s="1029"/>
      <c r="AF64" s="1030"/>
      <c r="AG64" s="20"/>
    </row>
    <row r="65" spans="1:33" ht="51.75" customHeight="1">
      <c r="A65" s="1073">
        <v>6</v>
      </c>
      <c r="B65" s="2146" t="s">
        <v>1002</v>
      </c>
      <c r="C65" s="2180" t="s">
        <v>1002</v>
      </c>
      <c r="D65" s="2180" t="s">
        <v>1002</v>
      </c>
      <c r="E65" s="2147" t="s">
        <v>1002</v>
      </c>
      <c r="F65" s="274" t="s">
        <v>214</v>
      </c>
      <c r="G65" s="1000" t="str">
        <f>'XM.FILE GOC'!$E$58</f>
        <v>30-38</v>
      </c>
      <c r="H65" s="1000" t="str">
        <f>'XM.FILE GOC'!$F$58</f>
        <v>(34±2)</v>
      </c>
      <c r="I65" s="2088">
        <f>'XM.GUI MAIL'!AA58</f>
        <v>0</v>
      </c>
      <c r="J65" s="2089"/>
      <c r="K65" s="2088">
        <f>'XM.FILE GOC'!AD58</f>
        <v>0</v>
      </c>
      <c r="L65" s="2089"/>
      <c r="M65" s="1028"/>
      <c r="N65" s="1029"/>
      <c r="O65" s="1029"/>
      <c r="P65" s="1030"/>
      <c r="Q65" s="2088">
        <f>'XM.GUI MAIL'!AG58</f>
        <v>0</v>
      </c>
      <c r="R65" s="2089"/>
      <c r="S65" s="2088">
        <f>'XM.FILE GOC'!AJ58</f>
        <v>0</v>
      </c>
      <c r="T65" s="2089"/>
      <c r="U65" s="1028"/>
      <c r="V65" s="1029"/>
      <c r="W65" s="1029"/>
      <c r="X65" s="1030"/>
      <c r="Y65" s="2088">
        <f>'XM.GUI MAIL'!AM58</f>
        <v>0</v>
      </c>
      <c r="Z65" s="2089"/>
      <c r="AA65" s="2088">
        <f>'XM.FILE GOC'!AP58</f>
        <v>0</v>
      </c>
      <c r="AB65" s="2089"/>
      <c r="AC65" s="1028"/>
      <c r="AD65" s="1029"/>
      <c r="AE65" s="1029"/>
      <c r="AF65" s="1030"/>
      <c r="AG65" s="22"/>
    </row>
    <row r="66" spans="1:33" ht="51.75" customHeight="1">
      <c r="A66" s="1073">
        <v>7</v>
      </c>
      <c r="B66" s="2146" t="s">
        <v>73</v>
      </c>
      <c r="C66" s="2180" t="s">
        <v>73</v>
      </c>
      <c r="D66" s="2180" t="s">
        <v>73</v>
      </c>
      <c r="E66" s="2147" t="s">
        <v>73</v>
      </c>
      <c r="F66" s="274" t="s">
        <v>214</v>
      </c>
      <c r="G66" s="1000" t="str">
        <f>'XM.FILE GOC'!$E$59</f>
        <v>55~65</v>
      </c>
      <c r="H66" s="1000" t="str">
        <f>'XM.FILE GOC'!$F$59</f>
        <v>(60±3)</v>
      </c>
      <c r="I66" s="2088">
        <f>'XM.GUI MAIL'!AA59</f>
        <v>0</v>
      </c>
      <c r="J66" s="2089"/>
      <c r="K66" s="2088">
        <f>'XM.FILE GOC'!AD59</f>
        <v>0</v>
      </c>
      <c r="L66" s="2089"/>
      <c r="M66" s="1028"/>
      <c r="N66" s="1029"/>
      <c r="O66" s="1029"/>
      <c r="P66" s="1030"/>
      <c r="Q66" s="2088">
        <f>'XM.GUI MAIL'!AG59</f>
        <v>0</v>
      </c>
      <c r="R66" s="2089"/>
      <c r="S66" s="2088">
        <f>'XM.FILE GOC'!AJ59</f>
        <v>0</v>
      </c>
      <c r="T66" s="2089"/>
      <c r="U66" s="1028"/>
      <c r="V66" s="1029"/>
      <c r="W66" s="1029"/>
      <c r="X66" s="1030"/>
      <c r="Y66" s="2088">
        <f>'XM.GUI MAIL'!AM59</f>
        <v>0</v>
      </c>
      <c r="Z66" s="2089"/>
      <c r="AA66" s="2088">
        <f>'XM.FILE GOC'!AP59</f>
        <v>0</v>
      </c>
      <c r="AB66" s="2089"/>
      <c r="AC66" s="1028"/>
      <c r="AD66" s="1029"/>
      <c r="AE66" s="1029"/>
      <c r="AF66" s="1030"/>
      <c r="AG66" s="20"/>
    </row>
    <row r="67" spans="1:33" ht="51.75" customHeight="1">
      <c r="A67" s="1073">
        <v>8</v>
      </c>
      <c r="B67" s="2193" t="s">
        <v>74</v>
      </c>
      <c r="C67" s="2194" t="s">
        <v>74</v>
      </c>
      <c r="D67" s="2194" t="s">
        <v>74</v>
      </c>
      <c r="E67" s="2195" t="s">
        <v>74</v>
      </c>
      <c r="F67" s="274" t="s">
        <v>214</v>
      </c>
      <c r="G67" s="1000" t="str">
        <f>'XM.FILE GOC'!$E$60</f>
        <v>65~75</v>
      </c>
      <c r="H67" s="1000" t="str">
        <f>'XM.FILE GOC'!$F$60</f>
        <v>(70±3)</v>
      </c>
      <c r="I67" s="2203" t="s">
        <v>50</v>
      </c>
      <c r="J67" s="2204"/>
      <c r="K67" s="2088">
        <f>'XM.FILE GOC'!AD60</f>
        <v>0</v>
      </c>
      <c r="L67" s="2089"/>
      <c r="M67" s="1031"/>
      <c r="N67" s="1032"/>
      <c r="O67" s="1032"/>
      <c r="P67" s="1033"/>
      <c r="Q67" s="2203" t="s">
        <v>50</v>
      </c>
      <c r="R67" s="2204"/>
      <c r="S67" s="2088">
        <f>'XM.FILE GOC'!AJ60</f>
        <v>0</v>
      </c>
      <c r="T67" s="2089"/>
      <c r="U67" s="1031"/>
      <c r="V67" s="1032"/>
      <c r="W67" s="1032"/>
      <c r="X67" s="1033"/>
      <c r="Y67" s="2203" t="s">
        <v>50</v>
      </c>
      <c r="Z67" s="2204"/>
      <c r="AA67" s="2088">
        <f>'XM.FILE GOC'!AP60</f>
        <v>0</v>
      </c>
      <c r="AB67" s="2089"/>
      <c r="AC67" s="1031"/>
      <c r="AD67" s="1032"/>
      <c r="AE67" s="1032"/>
      <c r="AF67" s="1033"/>
      <c r="AG67" s="20"/>
    </row>
    <row r="68" spans="1:33" ht="51.75" customHeight="1">
      <c r="A68" s="54"/>
      <c r="B68" s="2202" t="s">
        <v>118</v>
      </c>
      <c r="C68" s="2202"/>
      <c r="D68" s="2202"/>
      <c r="E68" s="2202"/>
      <c r="F68" s="2202"/>
      <c r="G68" s="2202"/>
      <c r="H68" s="2202"/>
      <c r="I68" s="2202"/>
      <c r="J68" s="2202"/>
      <c r="K68" s="2202"/>
      <c r="L68" s="2202"/>
      <c r="M68" s="2202"/>
      <c r="N68" s="2202"/>
      <c r="O68" s="2202"/>
      <c r="P68" s="2202"/>
      <c r="Q68" s="2202"/>
      <c r="R68" s="2202"/>
      <c r="S68" s="2202"/>
      <c r="T68" s="2202"/>
      <c r="U68" s="2202"/>
      <c r="V68" s="2202"/>
      <c r="W68" s="2202"/>
      <c r="X68" s="2202"/>
      <c r="Y68" s="2202"/>
      <c r="Z68" s="2202"/>
      <c r="AA68" s="2202"/>
      <c r="AB68" s="2202"/>
      <c r="AC68" s="2202"/>
      <c r="AD68" s="2202"/>
      <c r="AE68" s="2202"/>
      <c r="AF68" s="2202"/>
      <c r="AG68" s="2202"/>
    </row>
    <row r="69" spans="1:33" ht="51.75" customHeight="1">
      <c r="A69" s="1073" t="s">
        <v>7</v>
      </c>
      <c r="B69" s="2146" t="s">
        <v>100</v>
      </c>
      <c r="C69" s="2180"/>
      <c r="D69" s="2180"/>
      <c r="E69" s="2147"/>
      <c r="F69" s="642" t="s">
        <v>101</v>
      </c>
      <c r="G69" s="1094" t="s">
        <v>1424</v>
      </c>
      <c r="H69" s="1618" t="s">
        <v>1412</v>
      </c>
      <c r="I69" s="2103" t="s">
        <v>119</v>
      </c>
      <c r="J69" s="2103"/>
      <c r="K69" s="2103"/>
      <c r="L69" s="2103"/>
      <c r="M69" s="1025"/>
      <c r="N69" s="1026"/>
      <c r="O69" s="1026"/>
      <c r="P69" s="1027"/>
      <c r="Q69" s="2103" t="s">
        <v>119</v>
      </c>
      <c r="R69" s="2103"/>
      <c r="S69" s="2103"/>
      <c r="T69" s="2103"/>
      <c r="U69" s="1025"/>
      <c r="V69" s="1026"/>
      <c r="W69" s="1026"/>
      <c r="X69" s="1027"/>
      <c r="Y69" s="2103" t="s">
        <v>119</v>
      </c>
      <c r="Z69" s="2103"/>
      <c r="AA69" s="2103"/>
      <c r="AB69" s="2103"/>
      <c r="AC69" s="1025"/>
      <c r="AD69" s="1026"/>
      <c r="AE69" s="1026"/>
      <c r="AF69" s="1027"/>
      <c r="AG69" s="83"/>
    </row>
    <row r="70" spans="1:33" ht="51.75" customHeight="1">
      <c r="A70" s="54">
        <v>1</v>
      </c>
      <c r="B70" s="2199" t="s">
        <v>253</v>
      </c>
      <c r="C70" s="2200"/>
      <c r="D70" s="2200"/>
      <c r="E70" s="2201"/>
      <c r="F70" s="1074" t="s">
        <v>51</v>
      </c>
      <c r="G70" s="1000" t="str">
        <f>'XM.FILE GOC'!$E$62</f>
        <v>100-200</v>
      </c>
      <c r="H70" s="1000" t="str">
        <f>'XM.FILE GOC'!$F$62</f>
        <v>100-200</v>
      </c>
      <c r="I70" s="2181">
        <f>'XM.FILE GOC'!AA62</f>
        <v>0</v>
      </c>
      <c r="J70" s="2182"/>
      <c r="K70" s="2182"/>
      <c r="L70" s="2182"/>
      <c r="M70" s="1034"/>
      <c r="N70" s="1007"/>
      <c r="O70" s="1007"/>
      <c r="P70" s="1035"/>
      <c r="Q70" s="2181">
        <f>'XM.FILE GOC'!AG62</f>
        <v>0</v>
      </c>
      <c r="R70" s="2182"/>
      <c r="S70" s="2182"/>
      <c r="T70" s="2182"/>
      <c r="U70" s="1034"/>
      <c r="V70" s="1007"/>
      <c r="W70" s="1007"/>
      <c r="X70" s="1035"/>
      <c r="Y70" s="2181">
        <f>'XM.GUI MAIL'!AM62</f>
        <v>0</v>
      </c>
      <c r="Z70" s="2182"/>
      <c r="AA70" s="2182"/>
      <c r="AB70" s="2182"/>
      <c r="AC70" s="1034"/>
      <c r="AD70" s="1007"/>
      <c r="AE70" s="1007"/>
      <c r="AF70" s="1035"/>
      <c r="AG70" s="22"/>
    </row>
    <row r="71" spans="1:33" ht="51.75" customHeight="1">
      <c r="A71" s="54">
        <v>2</v>
      </c>
      <c r="B71" s="2199" t="s">
        <v>254</v>
      </c>
      <c r="C71" s="2200"/>
      <c r="D71" s="2200"/>
      <c r="E71" s="2201"/>
      <c r="F71" s="1074" t="s">
        <v>51</v>
      </c>
      <c r="G71" s="1000" t="str">
        <f>'XM.FILE GOC'!$E$63</f>
        <v>20-50</v>
      </c>
      <c r="H71" s="1000" t="str">
        <f>'XM.FILE GOC'!$F$63</f>
        <v>20-50</v>
      </c>
      <c r="I71" s="2181">
        <f>'XM.GUI MAIL'!AA63</f>
        <v>0</v>
      </c>
      <c r="J71" s="2182"/>
      <c r="K71" s="2182"/>
      <c r="L71" s="2182"/>
      <c r="M71" s="1036"/>
      <c r="N71" s="1037"/>
      <c r="O71" s="1037"/>
      <c r="P71" s="1038"/>
      <c r="Q71" s="2181">
        <f>'XM.GUI MAIL'!AG63</f>
        <v>0</v>
      </c>
      <c r="R71" s="2182"/>
      <c r="S71" s="2182"/>
      <c r="T71" s="2182"/>
      <c r="U71" s="1036"/>
      <c r="V71" s="1037"/>
      <c r="W71" s="1037"/>
      <c r="X71" s="1038"/>
      <c r="Y71" s="2181">
        <f>'XM.GUI MAIL'!AM63</f>
        <v>0</v>
      </c>
      <c r="Z71" s="2182"/>
      <c r="AA71" s="2182"/>
      <c r="AB71" s="2182"/>
      <c r="AC71" s="1036"/>
      <c r="AD71" s="1037"/>
      <c r="AE71" s="1037"/>
      <c r="AF71" s="1038"/>
      <c r="AG71" s="22"/>
    </row>
  </sheetData>
  <sheetProtection formatCells="0" formatColumns="0" formatRows="0" insertColumns="0" insertRows="0" insertHyperlinks="0" deleteColumns="0" deleteRows="0" selectLockedCells="1" sort="0" autoFilter="0" pivotTables="0"/>
  <mergeCells count="256">
    <mergeCell ref="AC4:AF4"/>
    <mergeCell ref="AD5:AF5"/>
    <mergeCell ref="M40:P40"/>
    <mergeCell ref="N41:P41"/>
    <mergeCell ref="U40:X40"/>
    <mergeCell ref="V41:X41"/>
    <mergeCell ref="AC40:AF40"/>
    <mergeCell ref="AD41:AF41"/>
    <mergeCell ref="AD2:AE2"/>
    <mergeCell ref="AF2:AG2"/>
    <mergeCell ref="AD3:AE3"/>
    <mergeCell ref="AF3:AG3"/>
    <mergeCell ref="AD38:AE38"/>
    <mergeCell ref="AF38:AG38"/>
    <mergeCell ref="AD39:AE39"/>
    <mergeCell ref="AF39:AG39"/>
    <mergeCell ref="AG4:AG5"/>
    <mergeCell ref="B22:AG22"/>
    <mergeCell ref="B23:E23"/>
    <mergeCell ref="I23:J23"/>
    <mergeCell ref="K23:L23"/>
    <mergeCell ref="Q23:R23"/>
    <mergeCell ref="S23:T23"/>
    <mergeCell ref="Y23:Z23"/>
    <mergeCell ref="J5:L5"/>
    <mergeCell ref="R5:T5"/>
    <mergeCell ref="Z5:AB5"/>
    <mergeCell ref="A6:A7"/>
    <mergeCell ref="A1:Z1"/>
    <mergeCell ref="A2:Z2"/>
    <mergeCell ref="AA2:AB2"/>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AA23:AB23"/>
    <mergeCell ref="A16:A17"/>
    <mergeCell ref="B16:E17"/>
    <mergeCell ref="B18:E18"/>
    <mergeCell ref="B19:E19"/>
    <mergeCell ref="B20:E20"/>
    <mergeCell ref="B21:E21"/>
    <mergeCell ref="AA24:AB24"/>
    <mergeCell ref="B25:E25"/>
    <mergeCell ref="I25:J25"/>
    <mergeCell ref="K25:L25"/>
    <mergeCell ref="Q25:R25"/>
    <mergeCell ref="S25:T25"/>
    <mergeCell ref="Y25:Z25"/>
    <mergeCell ref="AA25:AB25"/>
    <mergeCell ref="B24:E24"/>
    <mergeCell ref="I24:J24"/>
    <mergeCell ref="K24:L24"/>
    <mergeCell ref="Q24:R24"/>
    <mergeCell ref="S24:T24"/>
    <mergeCell ref="Y24:Z24"/>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B35:E35"/>
    <mergeCell ref="I35:L35"/>
    <mergeCell ref="Q35:T35"/>
    <mergeCell ref="Y35:AB35"/>
    <mergeCell ref="A37:Z37"/>
    <mergeCell ref="A38:Z38"/>
    <mergeCell ref="AA38:AB38"/>
    <mergeCell ref="B32:AG32"/>
    <mergeCell ref="B33:E33"/>
    <mergeCell ref="I33:L33"/>
    <mergeCell ref="Q33:T33"/>
    <mergeCell ref="Y33:AB33"/>
    <mergeCell ref="B34:E34"/>
    <mergeCell ref="I34:L34"/>
    <mergeCell ref="Q34:T34"/>
    <mergeCell ref="Y34:AB34"/>
    <mergeCell ref="AG40:AG41"/>
    <mergeCell ref="J41:L41"/>
    <mergeCell ref="R41:T41"/>
    <mergeCell ref="Z41:AB41"/>
    <mergeCell ref="A42:A43"/>
    <mergeCell ref="AA39:AB39"/>
    <mergeCell ref="A40:A41"/>
    <mergeCell ref="B40:E41"/>
    <mergeCell ref="F40:F41"/>
    <mergeCell ref="G40:G41"/>
    <mergeCell ref="I40:L40"/>
    <mergeCell ref="Q40:T40"/>
    <mergeCell ref="Y40:AB40"/>
    <mergeCell ref="B42:C43"/>
    <mergeCell ref="D42:E42"/>
    <mergeCell ref="D43:E43"/>
    <mergeCell ref="H40:H41"/>
    <mergeCell ref="B39:C39"/>
    <mergeCell ref="A48:A49"/>
    <mergeCell ref="B50:E50"/>
    <mergeCell ref="B51:E51"/>
    <mergeCell ref="A44:A45"/>
    <mergeCell ref="A46:A47"/>
    <mergeCell ref="B44:C45"/>
    <mergeCell ref="D44:E44"/>
    <mergeCell ref="D46:E46"/>
    <mergeCell ref="B46:C47"/>
    <mergeCell ref="D47:E47"/>
    <mergeCell ref="B48:C49"/>
    <mergeCell ref="D48:E48"/>
    <mergeCell ref="D49:E49"/>
    <mergeCell ref="D45:E45"/>
    <mergeCell ref="B58:AG58"/>
    <mergeCell ref="B59:E59"/>
    <mergeCell ref="I59:J59"/>
    <mergeCell ref="K59:L59"/>
    <mergeCell ref="Q59:R59"/>
    <mergeCell ref="S59:T59"/>
    <mergeCell ref="Y59:Z59"/>
    <mergeCell ref="AA59:AB59"/>
    <mergeCell ref="A52:A53"/>
    <mergeCell ref="B52:E53"/>
    <mergeCell ref="B54:E54"/>
    <mergeCell ref="B55:E55"/>
    <mergeCell ref="B56:E56"/>
    <mergeCell ref="B57:E57"/>
    <mergeCell ref="AA60:AB60"/>
    <mergeCell ref="B61:E61"/>
    <mergeCell ref="I61:J61"/>
    <mergeCell ref="K61:L61"/>
    <mergeCell ref="Q61:R61"/>
    <mergeCell ref="S61:T61"/>
    <mergeCell ref="Y61:Z61"/>
    <mergeCell ref="AA61:AB61"/>
    <mergeCell ref="B60:E60"/>
    <mergeCell ref="I60:J60"/>
    <mergeCell ref="K60:L60"/>
    <mergeCell ref="Q60:R60"/>
    <mergeCell ref="S60:T60"/>
    <mergeCell ref="Y60:Z60"/>
    <mergeCell ref="AA62:AB62"/>
    <mergeCell ref="B63:E63"/>
    <mergeCell ref="I63:J63"/>
    <mergeCell ref="K63:L63"/>
    <mergeCell ref="Q63:R63"/>
    <mergeCell ref="S63:T63"/>
    <mergeCell ref="Y63:Z63"/>
    <mergeCell ref="AA63:AB63"/>
    <mergeCell ref="B62:E62"/>
    <mergeCell ref="I62:J62"/>
    <mergeCell ref="K62:L62"/>
    <mergeCell ref="Q62:R62"/>
    <mergeCell ref="S62:T62"/>
    <mergeCell ref="Y62:Z62"/>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B71:E71"/>
    <mergeCell ref="I71:L71"/>
    <mergeCell ref="Q71:T71"/>
    <mergeCell ref="Y71:AB71"/>
    <mergeCell ref="B68:AG68"/>
    <mergeCell ref="B69:E69"/>
    <mergeCell ref="I69:L69"/>
    <mergeCell ref="Q69:T69"/>
    <mergeCell ref="Y69:AB69"/>
    <mergeCell ref="B70:E70"/>
    <mergeCell ref="I70:L70"/>
    <mergeCell ref="Q70:T70"/>
    <mergeCell ref="Y70:AB70"/>
  </mergeCells>
  <phoneticPr fontId="6" type="noConversion"/>
  <conditionalFormatting sqref="I46 I48 Q46 Q48 Y46 Y48">
    <cfRule type="expression" dxfId="4455" priority="921" stopIfTrue="1">
      <formula>I46&gt;80</formula>
    </cfRule>
    <cfRule type="expression" dxfId="4454" priority="922" stopIfTrue="1">
      <formula>I46&lt;60</formula>
    </cfRule>
  </conditionalFormatting>
  <conditionalFormatting sqref="I50 Q50 Y50">
    <cfRule type="expression" dxfId="4453" priority="917">
      <formula>I50&lt;130</formula>
    </cfRule>
    <cfRule type="expression" dxfId="4452" priority="918">
      <formula>I50&gt;150</formula>
    </cfRule>
  </conditionalFormatting>
  <conditionalFormatting sqref="I54 Q54 Y54">
    <cfRule type="expression" dxfId="4451" priority="915">
      <formula>I54&lt;30%</formula>
    </cfRule>
    <cfRule type="expression" dxfId="4450" priority="916">
      <formula>I54&gt;60%</formula>
    </cfRule>
  </conditionalFormatting>
  <conditionalFormatting sqref="I55 Q55 Y55">
    <cfRule type="cellIs" dxfId="4449" priority="911" operator="between">
      <formula>0.271</formula>
      <formula>0.3</formula>
    </cfRule>
    <cfRule type="cellIs" dxfId="4448" priority="912" operator="between">
      <formula>0.15</formula>
      <formula>0.185</formula>
    </cfRule>
    <cfRule type="expression" dxfId="4447" priority="913">
      <formula>I55&lt;15%</formula>
    </cfRule>
    <cfRule type="expression" dxfId="4446" priority="914">
      <formula>I55&gt;30%</formula>
    </cfRule>
  </conditionalFormatting>
  <conditionalFormatting sqref="I57 Q57 Y57">
    <cfRule type="expression" dxfId="4445" priority="909">
      <formula>I57&lt;0.5%</formula>
    </cfRule>
    <cfRule type="expression" dxfId="4444" priority="910">
      <formula>I57&gt;1.5%</formula>
    </cfRule>
  </conditionalFormatting>
  <conditionalFormatting sqref="I56 Q56 Y56 I20 Q20 Y20">
    <cfRule type="expression" dxfId="4443" priority="903">
      <formula>I20&lt;8%</formula>
    </cfRule>
    <cfRule type="expression" dxfId="4442" priority="904">
      <formula>I20&gt;15%</formula>
    </cfRule>
  </conditionalFormatting>
  <conditionalFormatting sqref="Y14 Q14 I14">
    <cfRule type="expression" dxfId="4441" priority="842" stopIfTrue="1">
      <formula>I14&lt;130</formula>
    </cfRule>
  </conditionalFormatting>
  <conditionalFormatting sqref="Y14 Q14 I14">
    <cfRule type="expression" dxfId="4440" priority="841" stopIfTrue="1">
      <formula>I14&gt;150</formula>
    </cfRule>
  </conditionalFormatting>
  <conditionalFormatting sqref="Y10 Y12 Q10 Q12 I10 I12">
    <cfRule type="expression" dxfId="4439" priority="840" stopIfTrue="1">
      <formula>I10&lt;50</formula>
    </cfRule>
  </conditionalFormatting>
  <conditionalFormatting sqref="Y10 Y12 Q10 Q12 I10 I12">
    <cfRule type="expression" dxfId="4438" priority="839" stopIfTrue="1">
      <formula>I10&gt;70</formula>
    </cfRule>
  </conditionalFormatting>
  <conditionalFormatting sqref="I51 Q51 Y51 I15 Q15 Y15">
    <cfRule type="expression" dxfId="4437" priority="837" stopIfTrue="1">
      <formula>I15&gt;12</formula>
    </cfRule>
    <cfRule type="expression" dxfId="4436" priority="838" stopIfTrue="1">
      <formula>I15&lt;8</formula>
    </cfRule>
  </conditionalFormatting>
  <conditionalFormatting sqref="Y18 Q18 I18">
    <cfRule type="expression" dxfId="4435" priority="834">
      <formula>I18&gt;60%</formula>
    </cfRule>
  </conditionalFormatting>
  <conditionalFormatting sqref="Y18 Q18 I18">
    <cfRule type="expression" dxfId="4434" priority="833">
      <formula>I18&lt;30%</formula>
    </cfRule>
  </conditionalFormatting>
  <conditionalFormatting sqref="Y19 Q19 I19">
    <cfRule type="expression" dxfId="4433" priority="831">
      <formula>I19&lt;15%</formula>
    </cfRule>
    <cfRule type="expression" dxfId="4432" priority="832">
      <formula>I19&gt;30%</formula>
    </cfRule>
  </conditionalFormatting>
  <conditionalFormatting sqref="Y21 Q21 I21">
    <cfRule type="expression" dxfId="4431" priority="830">
      <formula>I21&gt;1.5%</formula>
    </cfRule>
  </conditionalFormatting>
  <conditionalFormatting sqref="Y21 Q21 I21">
    <cfRule type="expression" dxfId="4430" priority="829">
      <formula>I21&lt;0.5%</formula>
    </cfRule>
  </conditionalFormatting>
  <conditionalFormatting sqref="I70 Q70 Y70 I34 Q34 Y34">
    <cfRule type="expression" dxfId="4429" priority="737">
      <formula>I34&lt;100</formula>
    </cfRule>
    <cfRule type="expression" dxfId="4428" priority="738">
      <formula>I34&gt;200</formula>
    </cfRule>
  </conditionalFormatting>
  <conditionalFormatting sqref="I71 Q71 Y71 I35 Q35 Y35">
    <cfRule type="expression" dxfId="4427" priority="735">
      <formula>I35&lt;20</formula>
    </cfRule>
    <cfRule type="expression" dxfId="4426" priority="736">
      <formula>I35&gt;50</formula>
    </cfRule>
  </conditionalFormatting>
  <conditionalFormatting sqref="I53 I17 Y17 Q17">
    <cfRule type="expression" dxfId="4425" priority="627">
      <formula>I17&lt;2</formula>
    </cfRule>
    <cfRule type="expression" dxfId="4424" priority="628">
      <formula>I17&gt;2.5</formula>
    </cfRule>
  </conditionalFormatting>
  <conditionalFormatting sqref="I52 I16 Y16 Q16">
    <cfRule type="expression" dxfId="4423" priority="625" stopIfTrue="1">
      <formula>I16&gt;10</formula>
    </cfRule>
    <cfRule type="expression" dxfId="4422" priority="626" stopIfTrue="1">
      <formula>I16&lt;6</formula>
    </cfRule>
  </conditionalFormatting>
  <conditionalFormatting sqref="Y53">
    <cfRule type="expression" dxfId="4421" priority="623">
      <formula>Y53&lt;2</formula>
    </cfRule>
    <cfRule type="expression" dxfId="4420" priority="624">
      <formula>Y53&gt;2.5</formula>
    </cfRule>
  </conditionalFormatting>
  <conditionalFormatting sqref="Y52">
    <cfRule type="expression" dxfId="4419" priority="621" stopIfTrue="1">
      <formula>Y52&gt;10</formula>
    </cfRule>
    <cfRule type="expression" dxfId="4418" priority="622" stopIfTrue="1">
      <formula>Y52&lt;6</formula>
    </cfRule>
  </conditionalFormatting>
  <conditionalFormatting sqref="Q53">
    <cfRule type="expression" dxfId="4417" priority="619">
      <formula>Q53&lt;2</formula>
    </cfRule>
    <cfRule type="expression" dxfId="4416" priority="620">
      <formula>Q53&gt;2.5</formula>
    </cfRule>
  </conditionalFormatting>
  <conditionalFormatting sqref="Q52">
    <cfRule type="expression" dxfId="4415" priority="617" stopIfTrue="1">
      <formula>Q52&gt;10</formula>
    </cfRule>
    <cfRule type="expression" dxfId="4414" priority="618" stopIfTrue="1">
      <formula>Q52&lt;6</formula>
    </cfRule>
  </conditionalFormatting>
  <conditionalFormatting sqref="I6 Q6 Y6 I8 Q8 Y8">
    <cfRule type="expression" dxfId="4413" priority="580" stopIfTrue="1">
      <formula>I6&lt;60</formula>
    </cfRule>
  </conditionalFormatting>
  <conditionalFormatting sqref="I6 Q6 Y6 I8 Q8 Y8">
    <cfRule type="expression" dxfId="4412" priority="579" stopIfTrue="1">
      <formula>I6&gt;80</formula>
    </cfRule>
  </conditionalFormatting>
  <conditionalFormatting sqref="I42">
    <cfRule type="expression" dxfId="4411" priority="574" stopIfTrue="1">
      <formula>I42&lt;60</formula>
    </cfRule>
  </conditionalFormatting>
  <conditionalFormatting sqref="I42">
    <cfRule type="expression" dxfId="4410" priority="573" stopIfTrue="1">
      <formula>I42&gt;80</formula>
    </cfRule>
  </conditionalFormatting>
  <conditionalFormatting sqref="Q42">
    <cfRule type="expression" dxfId="4409" priority="572" stopIfTrue="1">
      <formula>Q42&lt;60</formula>
    </cfRule>
  </conditionalFormatting>
  <conditionalFormatting sqref="Q42">
    <cfRule type="expression" dxfId="4408" priority="571" stopIfTrue="1">
      <formula>Q42&gt;80</formula>
    </cfRule>
  </conditionalFormatting>
  <conditionalFormatting sqref="Y42">
    <cfRule type="expression" dxfId="4407" priority="570" stopIfTrue="1">
      <formula>Y42&lt;60</formula>
    </cfRule>
  </conditionalFormatting>
  <conditionalFormatting sqref="Y42">
    <cfRule type="expression" dxfId="4406" priority="569" stopIfTrue="1">
      <formula>Y42&gt;80</formula>
    </cfRule>
  </conditionalFormatting>
  <conditionalFormatting sqref="I44">
    <cfRule type="expression" dxfId="4405" priority="534" stopIfTrue="1">
      <formula>I44&lt;60</formula>
    </cfRule>
  </conditionalFormatting>
  <conditionalFormatting sqref="I44">
    <cfRule type="expression" dxfId="4404" priority="533" stopIfTrue="1">
      <formula>I44&gt;80</formula>
    </cfRule>
  </conditionalFormatting>
  <conditionalFormatting sqref="Q44">
    <cfRule type="expression" dxfId="4403" priority="532" stopIfTrue="1">
      <formula>Q44&lt;60</formula>
    </cfRule>
  </conditionalFormatting>
  <conditionalFormatting sqref="Q44">
    <cfRule type="expression" dxfId="4402" priority="531" stopIfTrue="1">
      <formula>Q44&gt;80</formula>
    </cfRule>
  </conditionalFormatting>
  <conditionalFormatting sqref="Y44">
    <cfRule type="expression" dxfId="4401" priority="530" stopIfTrue="1">
      <formula>Y44&lt;60</formula>
    </cfRule>
  </conditionalFormatting>
  <conditionalFormatting sqref="Y44">
    <cfRule type="expression" dxfId="4400" priority="529" stopIfTrue="1">
      <formula>Y44&gt;80</formula>
    </cfRule>
  </conditionalFormatting>
  <conditionalFormatting sqref="K67">
    <cfRule type="cellIs" dxfId="4399" priority="261" operator="between">
      <formula>65</formula>
      <formula>66.9</formula>
    </cfRule>
    <cfRule type="cellIs" dxfId="4398" priority="262" operator="between">
      <formula>73.1</formula>
      <formula>75</formula>
    </cfRule>
    <cfRule type="expression" dxfId="4397" priority="263">
      <formula>K67&lt;65</formula>
    </cfRule>
    <cfRule type="expression" dxfId="4396" priority="264">
      <formula>K67&gt;75</formula>
    </cfRule>
  </conditionalFormatting>
  <conditionalFormatting sqref="K66">
    <cfRule type="cellIs" dxfId="4395" priority="257" operator="between">
      <formula>55</formula>
      <formula>56.9</formula>
    </cfRule>
    <cfRule type="cellIs" dxfId="4394" priority="258" operator="between">
      <formula>63.1</formula>
      <formula>65</formula>
    </cfRule>
    <cfRule type="expression" dxfId="4393" priority="259">
      <formula>K66&lt;55</formula>
    </cfRule>
    <cfRule type="expression" dxfId="4392" priority="260">
      <formula>K66&gt;65</formula>
    </cfRule>
  </conditionalFormatting>
  <conditionalFormatting sqref="K60">
    <cfRule type="cellIs" dxfId="4391" priority="253" operator="between">
      <formula>50</formula>
      <formula>56.99</formula>
    </cfRule>
    <cfRule type="cellIs" dxfId="4390" priority="254" operator="between">
      <formula>63.1</formula>
      <formula>70</formula>
    </cfRule>
    <cfRule type="expression" dxfId="4389" priority="255">
      <formula>K60&lt;50</formula>
    </cfRule>
    <cfRule type="expression" dxfId="4388" priority="256">
      <formula>K60&gt;70</formula>
    </cfRule>
  </conditionalFormatting>
  <conditionalFormatting sqref="K64">
    <cfRule type="cellIs" dxfId="4387" priority="249" operator="between">
      <formula>22</formula>
      <formula>22.99</formula>
    </cfRule>
    <cfRule type="cellIs" dxfId="4386" priority="250" operator="between">
      <formula>25.1</formula>
      <formula>30</formula>
    </cfRule>
    <cfRule type="expression" dxfId="4385" priority="251">
      <formula>K64&lt;22</formula>
    </cfRule>
    <cfRule type="expression" dxfId="4384" priority="252">
      <formula>K64&gt;30</formula>
    </cfRule>
  </conditionalFormatting>
  <conditionalFormatting sqref="K65">
    <cfRule type="cellIs" dxfId="4383" priority="245" operator="between">
      <formula>30</formula>
      <formula>31.99</formula>
    </cfRule>
    <cfRule type="cellIs" dxfId="4382" priority="246" operator="between">
      <formula>36.1</formula>
      <formula>38</formula>
    </cfRule>
    <cfRule type="expression" dxfId="4381" priority="247">
      <formula>K65&lt;30</formula>
    </cfRule>
    <cfRule type="expression" dxfId="4380" priority="248">
      <formula>K65&gt;38</formula>
    </cfRule>
  </conditionalFormatting>
  <conditionalFormatting sqref="K61:K63">
    <cfRule type="cellIs" dxfId="4379" priority="241" operator="between">
      <formula>50</formula>
      <formula>56.99</formula>
    </cfRule>
    <cfRule type="cellIs" dxfId="4378" priority="242" operator="between">
      <formula>63.1</formula>
      <formula>70</formula>
    </cfRule>
    <cfRule type="expression" dxfId="4377" priority="243">
      <formula>K61&lt;50</formula>
    </cfRule>
    <cfRule type="expression" dxfId="4376" priority="244">
      <formula>K61&gt;70</formula>
    </cfRule>
  </conditionalFormatting>
  <conditionalFormatting sqref="I66">
    <cfRule type="cellIs" dxfId="4375" priority="237" operator="between">
      <formula>55</formula>
      <formula>56.9</formula>
    </cfRule>
    <cfRule type="cellIs" dxfId="4374" priority="238" operator="between">
      <formula>63.1</formula>
      <formula>65</formula>
    </cfRule>
    <cfRule type="expression" dxfId="4373" priority="239">
      <formula>I66&lt;55</formula>
    </cfRule>
    <cfRule type="expression" dxfId="4372" priority="240">
      <formula>I66&gt;65</formula>
    </cfRule>
  </conditionalFormatting>
  <conditionalFormatting sqref="I60">
    <cfRule type="cellIs" dxfId="4371" priority="233" operator="between">
      <formula>50</formula>
      <formula>56.99</formula>
    </cfRule>
    <cfRule type="cellIs" dxfId="4370" priority="234" operator="between">
      <formula>63.1</formula>
      <formula>70</formula>
    </cfRule>
    <cfRule type="expression" dxfId="4369" priority="235">
      <formula>I60&lt;50</formula>
    </cfRule>
    <cfRule type="expression" dxfId="4368" priority="236">
      <formula>I60&gt;70</formula>
    </cfRule>
  </conditionalFormatting>
  <conditionalFormatting sqref="I64">
    <cfRule type="cellIs" dxfId="4367" priority="229" operator="between">
      <formula>22</formula>
      <formula>22.99</formula>
    </cfRule>
    <cfRule type="cellIs" dxfId="4366" priority="230" operator="between">
      <formula>25.1</formula>
      <formula>30</formula>
    </cfRule>
    <cfRule type="expression" dxfId="4365" priority="231">
      <formula>I64&lt;22</formula>
    </cfRule>
    <cfRule type="expression" dxfId="4364" priority="232">
      <formula>I64&gt;30</formula>
    </cfRule>
  </conditionalFormatting>
  <conditionalFormatting sqref="I65">
    <cfRule type="cellIs" dxfId="4363" priority="225" operator="between">
      <formula>30</formula>
      <formula>31.99</formula>
    </cfRule>
    <cfRule type="cellIs" dxfId="4362" priority="226" operator="between">
      <formula>36.1</formula>
      <formula>38</formula>
    </cfRule>
    <cfRule type="expression" dxfId="4361" priority="227">
      <formula>I65&lt;30</formula>
    </cfRule>
    <cfRule type="expression" dxfId="4360" priority="228">
      <formula>I65&gt;38</formula>
    </cfRule>
  </conditionalFormatting>
  <conditionalFormatting sqref="I61:I63">
    <cfRule type="cellIs" dxfId="4359" priority="221" operator="between">
      <formula>50</formula>
      <formula>56.99</formula>
    </cfRule>
    <cfRule type="cellIs" dxfId="4358" priority="222" operator="between">
      <formula>63.1</formula>
      <formula>70</formula>
    </cfRule>
    <cfRule type="expression" dxfId="4357" priority="223">
      <formula>I61&lt;50</formula>
    </cfRule>
    <cfRule type="expression" dxfId="4356" priority="224">
      <formula>I61&gt;70</formula>
    </cfRule>
  </conditionalFormatting>
  <conditionalFormatting sqref="S67">
    <cfRule type="cellIs" dxfId="4355" priority="217" operator="between">
      <formula>65</formula>
      <formula>66.9</formula>
    </cfRule>
    <cfRule type="cellIs" dxfId="4354" priority="218" operator="between">
      <formula>73.1</formula>
      <formula>75</formula>
    </cfRule>
    <cfRule type="expression" dxfId="4353" priority="219">
      <formula>S67&lt;65</formula>
    </cfRule>
    <cfRule type="expression" dxfId="4352" priority="220">
      <formula>S67&gt;75</formula>
    </cfRule>
  </conditionalFormatting>
  <conditionalFormatting sqref="S66">
    <cfRule type="cellIs" dxfId="4351" priority="213" operator="between">
      <formula>55</formula>
      <formula>56.9</formula>
    </cfRule>
    <cfRule type="cellIs" dxfId="4350" priority="214" operator="between">
      <formula>63.1</formula>
      <formula>65</formula>
    </cfRule>
    <cfRule type="expression" dxfId="4349" priority="215">
      <formula>S66&lt;55</formula>
    </cfRule>
    <cfRule type="expression" dxfId="4348" priority="216">
      <formula>S66&gt;65</formula>
    </cfRule>
  </conditionalFormatting>
  <conditionalFormatting sqref="S60">
    <cfRule type="cellIs" dxfId="4347" priority="209" operator="between">
      <formula>50</formula>
      <formula>56.99</formula>
    </cfRule>
    <cfRule type="cellIs" dxfId="4346" priority="210" operator="between">
      <formula>63.1</formula>
      <formula>70</formula>
    </cfRule>
    <cfRule type="expression" dxfId="4345" priority="211">
      <formula>S60&lt;50</formula>
    </cfRule>
    <cfRule type="expression" dxfId="4344" priority="212">
      <formula>S60&gt;70</formula>
    </cfRule>
  </conditionalFormatting>
  <conditionalFormatting sqref="S64">
    <cfRule type="cellIs" dxfId="4343" priority="205" operator="between">
      <formula>22</formula>
      <formula>22.99</formula>
    </cfRule>
    <cfRule type="cellIs" dxfId="4342" priority="206" operator="between">
      <formula>25.1</formula>
      <formula>30</formula>
    </cfRule>
    <cfRule type="expression" dxfId="4341" priority="207">
      <formula>S64&lt;22</formula>
    </cfRule>
    <cfRule type="expression" dxfId="4340" priority="208">
      <formula>S64&gt;30</formula>
    </cfRule>
  </conditionalFormatting>
  <conditionalFormatting sqref="S65">
    <cfRule type="cellIs" dxfId="4339" priority="201" operator="between">
      <formula>30</formula>
      <formula>31.99</formula>
    </cfRule>
    <cfRule type="cellIs" dxfId="4338" priority="202" operator="between">
      <formula>36.1</formula>
      <formula>38</formula>
    </cfRule>
    <cfRule type="expression" dxfId="4337" priority="203">
      <formula>S65&lt;30</formula>
    </cfRule>
    <cfRule type="expression" dxfId="4336" priority="204">
      <formula>S65&gt;38</formula>
    </cfRule>
  </conditionalFormatting>
  <conditionalFormatting sqref="S61:S63">
    <cfRule type="cellIs" dxfId="4335" priority="197" operator="between">
      <formula>50</formula>
      <formula>56.99</formula>
    </cfRule>
    <cfRule type="cellIs" dxfId="4334" priority="198" operator="between">
      <formula>63.1</formula>
      <formula>70</formula>
    </cfRule>
    <cfRule type="expression" dxfId="4333" priority="199">
      <formula>S61&lt;50</formula>
    </cfRule>
    <cfRule type="expression" dxfId="4332" priority="200">
      <formula>S61&gt;70</formula>
    </cfRule>
  </conditionalFormatting>
  <conditionalFormatting sqref="Q66">
    <cfRule type="cellIs" dxfId="4331" priority="193" operator="between">
      <formula>55</formula>
      <formula>56.9</formula>
    </cfRule>
    <cfRule type="cellIs" dxfId="4330" priority="194" operator="between">
      <formula>63.1</formula>
      <formula>65</formula>
    </cfRule>
    <cfRule type="expression" dxfId="4329" priority="195">
      <formula>Q66&lt;55</formula>
    </cfRule>
    <cfRule type="expression" dxfId="4328" priority="196">
      <formula>Q66&gt;65</formula>
    </cfRule>
  </conditionalFormatting>
  <conditionalFormatting sqref="Q60">
    <cfRule type="cellIs" dxfId="4327" priority="189" operator="between">
      <formula>50</formula>
      <formula>56.99</formula>
    </cfRule>
    <cfRule type="cellIs" dxfId="4326" priority="190" operator="between">
      <formula>63.1</formula>
      <formula>70</formula>
    </cfRule>
    <cfRule type="expression" dxfId="4325" priority="191">
      <formula>Q60&lt;50</formula>
    </cfRule>
    <cfRule type="expression" dxfId="4324" priority="192">
      <formula>Q60&gt;70</formula>
    </cfRule>
  </conditionalFormatting>
  <conditionalFormatting sqref="Q64">
    <cfRule type="cellIs" dxfId="4323" priority="185" operator="between">
      <formula>22</formula>
      <formula>22.99</formula>
    </cfRule>
    <cfRule type="cellIs" dxfId="4322" priority="186" operator="between">
      <formula>25.1</formula>
      <formula>30</formula>
    </cfRule>
    <cfRule type="expression" dxfId="4321" priority="187">
      <formula>Q64&lt;22</formula>
    </cfRule>
    <cfRule type="expression" dxfId="4320" priority="188">
      <formula>Q64&gt;30</formula>
    </cfRule>
  </conditionalFormatting>
  <conditionalFormatting sqref="Q65">
    <cfRule type="cellIs" dxfId="4319" priority="181" operator="between">
      <formula>30</formula>
      <formula>31.99</formula>
    </cfRule>
    <cfRule type="cellIs" dxfId="4318" priority="182" operator="between">
      <formula>36.1</formula>
      <formula>38</formula>
    </cfRule>
    <cfRule type="expression" dxfId="4317" priority="183">
      <formula>Q65&lt;30</formula>
    </cfRule>
    <cfRule type="expression" dxfId="4316" priority="184">
      <formula>Q65&gt;38</formula>
    </cfRule>
  </conditionalFormatting>
  <conditionalFormatting sqref="Q61:Q63">
    <cfRule type="cellIs" dxfId="4315" priority="177" operator="between">
      <formula>50</formula>
      <formula>56.99</formula>
    </cfRule>
    <cfRule type="cellIs" dxfId="4314" priority="178" operator="between">
      <formula>63.1</formula>
      <formula>70</formula>
    </cfRule>
    <cfRule type="expression" dxfId="4313" priority="179">
      <formula>Q61&lt;50</formula>
    </cfRule>
    <cfRule type="expression" dxfId="4312" priority="180">
      <formula>Q61&gt;70</formula>
    </cfRule>
  </conditionalFormatting>
  <conditionalFormatting sqref="AA67">
    <cfRule type="cellIs" dxfId="4311" priority="173" operator="between">
      <formula>65</formula>
      <formula>66.9</formula>
    </cfRule>
    <cfRule type="cellIs" dxfId="4310" priority="174" operator="between">
      <formula>73.1</formula>
      <formula>75</formula>
    </cfRule>
    <cfRule type="expression" dxfId="4309" priority="175">
      <formula>AA67&lt;65</formula>
    </cfRule>
    <cfRule type="expression" dxfId="4308" priority="176">
      <formula>AA67&gt;75</formula>
    </cfRule>
  </conditionalFormatting>
  <conditionalFormatting sqref="AA66">
    <cfRule type="cellIs" dxfId="4307" priority="169" operator="between">
      <formula>55</formula>
      <formula>56.9</formula>
    </cfRule>
    <cfRule type="cellIs" dxfId="4306" priority="170" operator="between">
      <formula>63.1</formula>
      <formula>65</formula>
    </cfRule>
    <cfRule type="expression" dxfId="4305" priority="171">
      <formula>AA66&lt;55</formula>
    </cfRule>
    <cfRule type="expression" dxfId="4304" priority="172">
      <formula>AA66&gt;65</formula>
    </cfRule>
  </conditionalFormatting>
  <conditionalFormatting sqref="AA60">
    <cfRule type="cellIs" dxfId="4303" priority="165" operator="between">
      <formula>50</formula>
      <formula>56.99</formula>
    </cfRule>
    <cfRule type="cellIs" dxfId="4302" priority="166" operator="between">
      <formula>63.1</formula>
      <formula>70</formula>
    </cfRule>
    <cfRule type="expression" dxfId="4301" priority="167">
      <formula>AA60&lt;50</formula>
    </cfRule>
    <cfRule type="expression" dxfId="4300" priority="168">
      <formula>AA60&gt;70</formula>
    </cfRule>
  </conditionalFormatting>
  <conditionalFormatting sqref="AA64">
    <cfRule type="cellIs" dxfId="4299" priority="161" operator="between">
      <formula>22</formula>
      <formula>22.99</formula>
    </cfRule>
    <cfRule type="cellIs" dxfId="4298" priority="162" operator="between">
      <formula>25.1</formula>
      <formula>30</formula>
    </cfRule>
    <cfRule type="expression" dxfId="4297" priority="163">
      <formula>AA64&lt;22</formula>
    </cfRule>
    <cfRule type="expression" dxfId="4296" priority="164">
      <formula>AA64&gt;30</formula>
    </cfRule>
  </conditionalFormatting>
  <conditionalFormatting sqref="AA65">
    <cfRule type="cellIs" dxfId="4295" priority="157" operator="between">
      <formula>30</formula>
      <formula>31.99</formula>
    </cfRule>
    <cfRule type="cellIs" dxfId="4294" priority="158" operator="between">
      <formula>36.1</formula>
      <formula>38</formula>
    </cfRule>
    <cfRule type="expression" dxfId="4293" priority="159">
      <formula>AA65&lt;30</formula>
    </cfRule>
    <cfRule type="expression" dxfId="4292" priority="160">
      <formula>AA65&gt;38</formula>
    </cfRule>
  </conditionalFormatting>
  <conditionalFormatting sqref="AA61:AA63">
    <cfRule type="cellIs" dxfId="4291" priority="153" operator="between">
      <formula>50</formula>
      <formula>56.99</formula>
    </cfRule>
    <cfRule type="cellIs" dxfId="4290" priority="154" operator="between">
      <formula>63.1</formula>
      <formula>70</formula>
    </cfRule>
    <cfRule type="expression" dxfId="4289" priority="155">
      <formula>AA61&lt;50</formula>
    </cfRule>
    <cfRule type="expression" dxfId="4288" priority="156">
      <formula>AA61&gt;70</formula>
    </cfRule>
  </conditionalFormatting>
  <conditionalFormatting sqref="Y66">
    <cfRule type="cellIs" dxfId="4287" priority="149" operator="between">
      <formula>55</formula>
      <formula>56.9</formula>
    </cfRule>
    <cfRule type="cellIs" dxfId="4286" priority="150" operator="between">
      <formula>63.1</formula>
      <formula>65</formula>
    </cfRule>
    <cfRule type="expression" dxfId="4285" priority="151">
      <formula>Y66&lt;55</formula>
    </cfRule>
    <cfRule type="expression" dxfId="4284" priority="152">
      <formula>Y66&gt;65</formula>
    </cfRule>
  </conditionalFormatting>
  <conditionalFormatting sqref="Y60">
    <cfRule type="cellIs" dxfId="4283" priority="145" operator="between">
      <formula>50</formula>
      <formula>56.99</formula>
    </cfRule>
    <cfRule type="cellIs" dxfId="4282" priority="146" operator="between">
      <formula>63.1</formula>
      <formula>70</formula>
    </cfRule>
    <cfRule type="expression" dxfId="4281" priority="147">
      <formula>Y60&lt;50</formula>
    </cfRule>
    <cfRule type="expression" dxfId="4280" priority="148">
      <formula>Y60&gt;70</formula>
    </cfRule>
  </conditionalFormatting>
  <conditionalFormatting sqref="Y64">
    <cfRule type="cellIs" dxfId="4279" priority="141" operator="between">
      <formula>22</formula>
      <formula>22.99</formula>
    </cfRule>
    <cfRule type="cellIs" dxfId="4278" priority="142" operator="between">
      <formula>25.1</formula>
      <formula>30</formula>
    </cfRule>
    <cfRule type="expression" dxfId="4277" priority="143">
      <formula>Y64&lt;22</formula>
    </cfRule>
    <cfRule type="expression" dxfId="4276" priority="144">
      <formula>Y64&gt;30</formula>
    </cfRule>
  </conditionalFormatting>
  <conditionalFormatting sqref="Y65">
    <cfRule type="cellIs" dxfId="4275" priority="137" operator="between">
      <formula>30</formula>
      <formula>31.99</formula>
    </cfRule>
    <cfRule type="cellIs" dxfId="4274" priority="138" operator="between">
      <formula>36.1</formula>
      <formula>38</formula>
    </cfRule>
    <cfRule type="expression" dxfId="4273" priority="139">
      <formula>Y65&lt;30</formula>
    </cfRule>
    <cfRule type="expression" dxfId="4272" priority="140">
      <formula>Y65&gt;38</formula>
    </cfRule>
  </conditionalFormatting>
  <conditionalFormatting sqref="Y61:Y63">
    <cfRule type="cellIs" dxfId="4271" priority="133" operator="between">
      <formula>50</formula>
      <formula>56.99</formula>
    </cfRule>
    <cfRule type="cellIs" dxfId="4270" priority="134" operator="between">
      <formula>63.1</formula>
      <formula>70</formula>
    </cfRule>
    <cfRule type="expression" dxfId="4269" priority="135">
      <formula>Y61&lt;50</formula>
    </cfRule>
    <cfRule type="expression" dxfId="4268" priority="136">
      <formula>Y61&gt;70</formula>
    </cfRule>
  </conditionalFormatting>
  <conditionalFormatting sqref="K31">
    <cfRule type="cellIs" dxfId="4267" priority="129" operator="between">
      <formula>65</formula>
      <formula>66.9</formula>
    </cfRule>
    <cfRule type="cellIs" dxfId="4266" priority="130" operator="between">
      <formula>73.1</formula>
      <formula>75</formula>
    </cfRule>
    <cfRule type="expression" dxfId="4265" priority="131">
      <formula>K31&lt;65</formula>
    </cfRule>
    <cfRule type="expression" dxfId="4264" priority="132">
      <formula>K31&gt;75</formula>
    </cfRule>
  </conditionalFormatting>
  <conditionalFormatting sqref="K30">
    <cfRule type="cellIs" dxfId="4263" priority="125" operator="between">
      <formula>55</formula>
      <formula>56.9</formula>
    </cfRule>
    <cfRule type="cellIs" dxfId="4262" priority="126" operator="between">
      <formula>63.1</formula>
      <formula>65</formula>
    </cfRule>
    <cfRule type="expression" dxfId="4261" priority="127">
      <formula>K30&lt;55</formula>
    </cfRule>
    <cfRule type="expression" dxfId="4260" priority="128">
      <formula>K30&gt;65</formula>
    </cfRule>
  </conditionalFormatting>
  <conditionalFormatting sqref="K24">
    <cfRule type="cellIs" dxfId="4259" priority="121" operator="between">
      <formula>50</formula>
      <formula>56.99</formula>
    </cfRule>
    <cfRule type="cellIs" dxfId="4258" priority="122" operator="between">
      <formula>63.1</formula>
      <formula>70</formula>
    </cfRule>
    <cfRule type="expression" dxfId="4257" priority="123">
      <formula>K24&lt;50</formula>
    </cfRule>
    <cfRule type="expression" dxfId="4256" priority="124">
      <formula>K24&gt;70</formula>
    </cfRule>
  </conditionalFormatting>
  <conditionalFormatting sqref="K28">
    <cfRule type="cellIs" dxfId="4255" priority="117" operator="between">
      <formula>22</formula>
      <formula>22.99</formula>
    </cfRule>
    <cfRule type="cellIs" dxfId="4254" priority="118" operator="between">
      <formula>25.1</formula>
      <formula>30</formula>
    </cfRule>
    <cfRule type="expression" dxfId="4253" priority="119">
      <formula>K28&lt;22</formula>
    </cfRule>
    <cfRule type="expression" dxfId="4252" priority="120">
      <formula>K28&gt;30</formula>
    </cfRule>
  </conditionalFormatting>
  <conditionalFormatting sqref="K29">
    <cfRule type="cellIs" dxfId="4251" priority="113" operator="between">
      <formula>30</formula>
      <formula>31.99</formula>
    </cfRule>
    <cfRule type="cellIs" dxfId="4250" priority="114" operator="between">
      <formula>36.1</formula>
      <formula>38</formula>
    </cfRule>
    <cfRule type="expression" dxfId="4249" priority="115">
      <formula>K29&lt;30</formula>
    </cfRule>
    <cfRule type="expression" dxfId="4248" priority="116">
      <formula>K29&gt;38</formula>
    </cfRule>
  </conditionalFormatting>
  <conditionalFormatting sqref="K25:K27">
    <cfRule type="cellIs" dxfId="4247" priority="109" operator="between">
      <formula>50</formula>
      <formula>56.99</formula>
    </cfRule>
    <cfRule type="cellIs" dxfId="4246" priority="110" operator="between">
      <formula>63.1</formula>
      <formula>70</formula>
    </cfRule>
    <cfRule type="expression" dxfId="4245" priority="111">
      <formula>K25&lt;50</formula>
    </cfRule>
    <cfRule type="expression" dxfId="4244" priority="112">
      <formula>K25&gt;70</formula>
    </cfRule>
  </conditionalFormatting>
  <conditionalFormatting sqref="I30">
    <cfRule type="cellIs" dxfId="4243" priority="105" operator="between">
      <formula>55</formula>
      <formula>56.9</formula>
    </cfRule>
    <cfRule type="cellIs" dxfId="4242" priority="106" operator="between">
      <formula>63.1</formula>
      <formula>65</formula>
    </cfRule>
    <cfRule type="expression" dxfId="4241" priority="107">
      <formula>I30&lt;55</formula>
    </cfRule>
    <cfRule type="expression" dxfId="4240" priority="108">
      <formula>I30&gt;65</formula>
    </cfRule>
  </conditionalFormatting>
  <conditionalFormatting sqref="I24">
    <cfRule type="cellIs" dxfId="4239" priority="101" operator="between">
      <formula>50</formula>
      <formula>56.99</formula>
    </cfRule>
    <cfRule type="cellIs" dxfId="4238" priority="102" operator="between">
      <formula>63.1</formula>
      <formula>70</formula>
    </cfRule>
    <cfRule type="expression" dxfId="4237" priority="103">
      <formula>I24&lt;50</formula>
    </cfRule>
    <cfRule type="expression" dxfId="4236" priority="104">
      <formula>I24&gt;70</formula>
    </cfRule>
  </conditionalFormatting>
  <conditionalFormatting sqref="I28">
    <cfRule type="cellIs" dxfId="4235" priority="97" operator="between">
      <formula>22</formula>
      <formula>22.99</formula>
    </cfRule>
    <cfRule type="cellIs" dxfId="4234" priority="98" operator="between">
      <formula>25.1</formula>
      <formula>30</formula>
    </cfRule>
    <cfRule type="expression" dxfId="4233" priority="99">
      <formula>I28&lt;22</formula>
    </cfRule>
    <cfRule type="expression" dxfId="4232" priority="100">
      <formula>I28&gt;30</formula>
    </cfRule>
  </conditionalFormatting>
  <conditionalFormatting sqref="I29">
    <cfRule type="cellIs" dxfId="4231" priority="93" operator="between">
      <formula>30</formula>
      <formula>31.99</formula>
    </cfRule>
    <cfRule type="cellIs" dxfId="4230" priority="94" operator="between">
      <formula>36.1</formula>
      <formula>38</formula>
    </cfRule>
    <cfRule type="expression" dxfId="4229" priority="95">
      <formula>I29&lt;30</formula>
    </cfRule>
    <cfRule type="expression" dxfId="4228" priority="96">
      <formula>I29&gt;38</formula>
    </cfRule>
  </conditionalFormatting>
  <conditionalFormatting sqref="I25:I27">
    <cfRule type="cellIs" dxfId="4227" priority="89" operator="between">
      <formula>50</formula>
      <formula>56.99</formula>
    </cfRule>
    <cfRule type="cellIs" dxfId="4226" priority="90" operator="between">
      <formula>63.1</formula>
      <formula>70</formula>
    </cfRule>
    <cfRule type="expression" dxfId="4225" priority="91">
      <formula>I25&lt;50</formula>
    </cfRule>
    <cfRule type="expression" dxfId="4224" priority="92">
      <formula>I25&gt;70</formula>
    </cfRule>
  </conditionalFormatting>
  <conditionalFormatting sqref="S31">
    <cfRule type="cellIs" dxfId="4223" priority="85" operator="between">
      <formula>65</formula>
      <formula>66.9</formula>
    </cfRule>
    <cfRule type="cellIs" dxfId="4222" priority="86" operator="between">
      <formula>73.1</formula>
      <formula>75</formula>
    </cfRule>
    <cfRule type="expression" dxfId="4221" priority="87">
      <formula>S31&lt;65</formula>
    </cfRule>
    <cfRule type="expression" dxfId="4220" priority="88">
      <formula>S31&gt;75</formula>
    </cfRule>
  </conditionalFormatting>
  <conditionalFormatting sqref="S30">
    <cfRule type="cellIs" dxfId="4219" priority="81" operator="between">
      <formula>55</formula>
      <formula>56.9</formula>
    </cfRule>
    <cfRule type="cellIs" dxfId="4218" priority="82" operator="between">
      <formula>63.1</formula>
      <formula>65</formula>
    </cfRule>
    <cfRule type="expression" dxfId="4217" priority="83">
      <formula>S30&lt;55</formula>
    </cfRule>
    <cfRule type="expression" dxfId="4216" priority="84">
      <formula>S30&gt;65</formula>
    </cfRule>
  </conditionalFormatting>
  <conditionalFormatting sqref="S24">
    <cfRule type="cellIs" dxfId="4215" priority="77" operator="between">
      <formula>50</formula>
      <formula>56.99</formula>
    </cfRule>
    <cfRule type="cellIs" dxfId="4214" priority="78" operator="between">
      <formula>63.1</formula>
      <formula>70</formula>
    </cfRule>
    <cfRule type="expression" dxfId="4213" priority="79">
      <formula>S24&lt;50</formula>
    </cfRule>
    <cfRule type="expression" dxfId="4212" priority="80">
      <formula>S24&gt;70</formula>
    </cfRule>
  </conditionalFormatting>
  <conditionalFormatting sqref="S28">
    <cfRule type="cellIs" dxfId="4211" priority="73" operator="between">
      <formula>22</formula>
      <formula>22.99</formula>
    </cfRule>
    <cfRule type="cellIs" dxfId="4210" priority="74" operator="between">
      <formula>25.1</formula>
      <formula>30</formula>
    </cfRule>
    <cfRule type="expression" dxfId="4209" priority="75">
      <formula>S28&lt;22</formula>
    </cfRule>
    <cfRule type="expression" dxfId="4208" priority="76">
      <formula>S28&gt;30</formula>
    </cfRule>
  </conditionalFormatting>
  <conditionalFormatting sqref="S29">
    <cfRule type="cellIs" dxfId="4207" priority="69" operator="between">
      <formula>30</formula>
      <formula>31.99</formula>
    </cfRule>
    <cfRule type="cellIs" dxfId="4206" priority="70" operator="between">
      <formula>36.1</formula>
      <formula>38</formula>
    </cfRule>
    <cfRule type="expression" dxfId="4205" priority="71">
      <formula>S29&lt;30</formula>
    </cfRule>
    <cfRule type="expression" dxfId="4204" priority="72">
      <formula>S29&gt;38</formula>
    </cfRule>
  </conditionalFormatting>
  <conditionalFormatting sqref="S25:S27">
    <cfRule type="cellIs" dxfId="4203" priority="65" operator="between">
      <formula>50</formula>
      <formula>56.99</formula>
    </cfRule>
    <cfRule type="cellIs" dxfId="4202" priority="66" operator="between">
      <formula>63.1</formula>
      <formula>70</formula>
    </cfRule>
    <cfRule type="expression" dxfId="4201" priority="67">
      <formula>S25&lt;50</formula>
    </cfRule>
    <cfRule type="expression" dxfId="4200" priority="68">
      <formula>S25&gt;70</formula>
    </cfRule>
  </conditionalFormatting>
  <conditionalFormatting sqref="Q30">
    <cfRule type="cellIs" dxfId="4199" priority="61" operator="between">
      <formula>55</formula>
      <formula>56.9</formula>
    </cfRule>
    <cfRule type="cellIs" dxfId="4198" priority="62" operator="between">
      <formula>63.1</formula>
      <formula>65</formula>
    </cfRule>
    <cfRule type="expression" dxfId="4197" priority="63">
      <formula>Q30&lt;55</formula>
    </cfRule>
    <cfRule type="expression" dxfId="4196" priority="64">
      <formula>Q30&gt;65</formula>
    </cfRule>
  </conditionalFormatting>
  <conditionalFormatting sqref="Q24">
    <cfRule type="cellIs" dxfId="4195" priority="57" operator="between">
      <formula>50</formula>
      <formula>56.99</formula>
    </cfRule>
    <cfRule type="cellIs" dxfId="4194" priority="58" operator="between">
      <formula>63.1</formula>
      <formula>70</formula>
    </cfRule>
    <cfRule type="expression" dxfId="4193" priority="59">
      <formula>Q24&lt;50</formula>
    </cfRule>
    <cfRule type="expression" dxfId="4192" priority="60">
      <formula>Q24&gt;70</formula>
    </cfRule>
  </conditionalFormatting>
  <conditionalFormatting sqref="Q28">
    <cfRule type="cellIs" dxfId="4191" priority="53" operator="between">
      <formula>22</formula>
      <formula>22.99</formula>
    </cfRule>
    <cfRule type="cellIs" dxfId="4190" priority="54" operator="between">
      <formula>25.1</formula>
      <formula>30</formula>
    </cfRule>
    <cfRule type="expression" dxfId="4189" priority="55">
      <formula>Q28&lt;22</formula>
    </cfRule>
    <cfRule type="expression" dxfId="4188" priority="56">
      <formula>Q28&gt;30</formula>
    </cfRule>
  </conditionalFormatting>
  <conditionalFormatting sqref="Q29">
    <cfRule type="cellIs" dxfId="4187" priority="49" operator="between">
      <formula>30</formula>
      <formula>31.99</formula>
    </cfRule>
    <cfRule type="cellIs" dxfId="4186" priority="50" operator="between">
      <formula>36.1</formula>
      <formula>38</formula>
    </cfRule>
    <cfRule type="expression" dxfId="4185" priority="51">
      <formula>Q29&lt;30</formula>
    </cfRule>
    <cfRule type="expression" dxfId="4184" priority="52">
      <formula>Q29&gt;38</formula>
    </cfRule>
  </conditionalFormatting>
  <conditionalFormatting sqref="Q25:Q27">
    <cfRule type="cellIs" dxfId="4183" priority="45" operator="between">
      <formula>50</formula>
      <formula>56.99</formula>
    </cfRule>
    <cfRule type="cellIs" dxfId="4182" priority="46" operator="between">
      <formula>63.1</formula>
      <formula>70</formula>
    </cfRule>
    <cfRule type="expression" dxfId="4181" priority="47">
      <formula>Q25&lt;50</formula>
    </cfRule>
    <cfRule type="expression" dxfId="4180" priority="48">
      <formula>Q25&gt;70</formula>
    </cfRule>
  </conditionalFormatting>
  <conditionalFormatting sqref="AA31">
    <cfRule type="cellIs" dxfId="4179" priority="41" operator="between">
      <formula>65</formula>
      <formula>66.9</formula>
    </cfRule>
    <cfRule type="cellIs" dxfId="4178" priority="42" operator="between">
      <formula>73.1</formula>
      <formula>75</formula>
    </cfRule>
    <cfRule type="expression" dxfId="4177" priority="43">
      <formula>AA31&lt;65</formula>
    </cfRule>
    <cfRule type="expression" dxfId="4176" priority="44">
      <formula>AA31&gt;75</formula>
    </cfRule>
  </conditionalFormatting>
  <conditionalFormatting sqref="AA30">
    <cfRule type="cellIs" dxfId="4175" priority="37" operator="between">
      <formula>55</formula>
      <formula>56.9</formula>
    </cfRule>
    <cfRule type="cellIs" dxfId="4174" priority="38" operator="between">
      <formula>63.1</formula>
      <formula>65</formula>
    </cfRule>
    <cfRule type="expression" dxfId="4173" priority="39">
      <formula>AA30&lt;55</formula>
    </cfRule>
    <cfRule type="expression" dxfId="4172" priority="40">
      <formula>AA30&gt;65</formula>
    </cfRule>
  </conditionalFormatting>
  <conditionalFormatting sqref="AA24">
    <cfRule type="cellIs" dxfId="4171" priority="33" operator="between">
      <formula>50</formula>
      <formula>56.99</formula>
    </cfRule>
    <cfRule type="cellIs" dxfId="4170" priority="34" operator="between">
      <formula>63.1</formula>
      <formula>70</formula>
    </cfRule>
    <cfRule type="expression" dxfId="4169" priority="35">
      <formula>AA24&lt;50</formula>
    </cfRule>
    <cfRule type="expression" dxfId="4168" priority="36">
      <formula>AA24&gt;70</formula>
    </cfRule>
  </conditionalFormatting>
  <conditionalFormatting sqref="AA28">
    <cfRule type="cellIs" dxfId="4167" priority="29" operator="between">
      <formula>22</formula>
      <formula>22.99</formula>
    </cfRule>
    <cfRule type="cellIs" dxfId="4166" priority="30" operator="between">
      <formula>25.1</formula>
      <formula>30</formula>
    </cfRule>
    <cfRule type="expression" dxfId="4165" priority="31">
      <formula>AA28&lt;22</formula>
    </cfRule>
    <cfRule type="expression" dxfId="4164" priority="32">
      <formula>AA28&gt;30</formula>
    </cfRule>
  </conditionalFormatting>
  <conditionalFormatting sqref="AA29">
    <cfRule type="cellIs" dxfId="4163" priority="25" operator="between">
      <formula>30</formula>
      <formula>31.99</formula>
    </cfRule>
    <cfRule type="cellIs" dxfId="4162" priority="26" operator="between">
      <formula>36.1</formula>
      <formula>38</formula>
    </cfRule>
    <cfRule type="expression" dxfId="4161" priority="27">
      <formula>AA29&lt;30</formula>
    </cfRule>
    <cfRule type="expression" dxfId="4160" priority="28">
      <formula>AA29&gt;38</formula>
    </cfRule>
  </conditionalFormatting>
  <conditionalFormatting sqref="AA25:AA27">
    <cfRule type="cellIs" dxfId="4159" priority="21" operator="between">
      <formula>50</formula>
      <formula>56.99</formula>
    </cfRule>
    <cfRule type="cellIs" dxfId="4158" priority="22" operator="between">
      <formula>63.1</formula>
      <formula>70</formula>
    </cfRule>
    <cfRule type="expression" dxfId="4157" priority="23">
      <formula>AA25&lt;50</formula>
    </cfRule>
    <cfRule type="expression" dxfId="4156" priority="24">
      <formula>AA25&gt;70</formula>
    </cfRule>
  </conditionalFormatting>
  <conditionalFormatting sqref="Y30">
    <cfRule type="cellIs" dxfId="4155" priority="17" operator="between">
      <formula>55</formula>
      <formula>56.9</formula>
    </cfRule>
    <cfRule type="cellIs" dxfId="4154" priority="18" operator="between">
      <formula>63.1</formula>
      <formula>65</formula>
    </cfRule>
    <cfRule type="expression" dxfId="4153" priority="19">
      <formula>Y30&lt;55</formula>
    </cfRule>
    <cfRule type="expression" dxfId="4152" priority="20">
      <formula>Y30&gt;65</formula>
    </cfRule>
  </conditionalFormatting>
  <conditionalFormatting sqref="Y24">
    <cfRule type="cellIs" dxfId="4151" priority="13" operator="between">
      <formula>50</formula>
      <formula>56.99</formula>
    </cfRule>
    <cfRule type="cellIs" dxfId="4150" priority="14" operator="between">
      <formula>63.1</formula>
      <formula>70</formula>
    </cfRule>
    <cfRule type="expression" dxfId="4149" priority="15">
      <formula>Y24&lt;50</formula>
    </cfRule>
    <cfRule type="expression" dxfId="4148" priority="16">
      <formula>Y24&gt;70</formula>
    </cfRule>
  </conditionalFormatting>
  <conditionalFormatting sqref="Y28">
    <cfRule type="cellIs" dxfId="4147" priority="9" operator="between">
      <formula>22</formula>
      <formula>22.99</formula>
    </cfRule>
    <cfRule type="cellIs" dxfId="4146" priority="10" operator="between">
      <formula>25.1</formula>
      <formula>30</formula>
    </cfRule>
    <cfRule type="expression" dxfId="4145" priority="11">
      <formula>Y28&lt;22</formula>
    </cfRule>
    <cfRule type="expression" dxfId="4144" priority="12">
      <formula>Y28&gt;30</formula>
    </cfRule>
  </conditionalFormatting>
  <conditionalFormatting sqref="Y29">
    <cfRule type="cellIs" dxfId="4143" priority="5" operator="between">
      <formula>30</formula>
      <formula>31.99</formula>
    </cfRule>
    <cfRule type="cellIs" dxfId="4142" priority="6" operator="between">
      <formula>36.1</formula>
      <formula>38</formula>
    </cfRule>
    <cfRule type="expression" dxfId="4141" priority="7">
      <formula>Y29&lt;30</formula>
    </cfRule>
    <cfRule type="expression" dxfId="4140" priority="8">
      <formula>Y29&gt;38</formula>
    </cfRule>
  </conditionalFormatting>
  <conditionalFormatting sqref="Y25:Y27">
    <cfRule type="cellIs" dxfId="4139" priority="1" operator="between">
      <formula>50</formula>
      <formula>56.99</formula>
    </cfRule>
    <cfRule type="cellIs" dxfId="4138" priority="2" operator="between">
      <formula>63.1</formula>
      <formula>70</formula>
    </cfRule>
    <cfRule type="expression" dxfId="4137" priority="3">
      <formula>Y25&lt;50</formula>
    </cfRule>
    <cfRule type="expression" dxfId="4136" priority="4">
      <formula>Y25&gt;70</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AG75"/>
  <sheetViews>
    <sheetView view="pageBreakPreview" zoomScale="55" zoomScaleNormal="55" zoomScaleSheetLayoutView="55" workbookViewId="0">
      <selection activeCell="I26" sqref="I26:AB27"/>
    </sheetView>
  </sheetViews>
  <sheetFormatPr defaultRowHeight="16.5"/>
  <cols>
    <col min="1" max="1" width="5" style="1098" customWidth="1"/>
    <col min="2" max="2" width="8" style="1099" customWidth="1"/>
    <col min="3" max="3" width="3.5" style="1099" customWidth="1"/>
    <col min="4" max="4" width="6" style="1099" customWidth="1"/>
    <col min="5" max="5" width="3.25" style="1099" customWidth="1"/>
    <col min="6" max="6" width="7.5" style="1100" customWidth="1"/>
    <col min="7" max="7" width="14.125" style="1100" customWidth="1"/>
    <col min="8" max="8" width="11.625" style="1100" customWidth="1"/>
    <col min="9" max="9" width="8.375" style="1100" customWidth="1"/>
    <col min="10" max="10" width="2.625" style="1100" customWidth="1"/>
    <col min="11" max="11" width="8" style="1100" customWidth="1"/>
    <col min="12" max="12" width="4" style="1100" customWidth="1"/>
    <col min="13" max="13" width="6.625" style="1054" customWidth="1"/>
    <col min="14" max="14" width="2.75" style="1054" customWidth="1"/>
    <col min="15" max="15" width="8.75" style="1054" customWidth="1"/>
    <col min="16" max="16" width="4" style="1054" customWidth="1"/>
    <col min="17" max="17" width="8.25" style="1100" customWidth="1"/>
    <col min="18" max="18" width="2.375" style="1100" customWidth="1"/>
    <col min="19" max="19" width="8.25" style="1100" customWidth="1"/>
    <col min="20" max="20" width="4.25" style="1100" customWidth="1"/>
    <col min="21" max="21" width="7.125" style="1054" customWidth="1"/>
    <col min="22" max="22" width="4" style="1054" customWidth="1"/>
    <col min="23" max="23" width="7.875" style="1054" customWidth="1"/>
    <col min="24" max="24" width="3.75" style="1054" customWidth="1"/>
    <col min="25" max="25" width="7.5" style="1100" customWidth="1"/>
    <col min="26" max="26" width="4.25" style="1100" customWidth="1"/>
    <col min="27" max="27" width="7.625" style="1100" customWidth="1"/>
    <col min="28" max="28" width="4.875" style="1100" customWidth="1"/>
    <col min="29" max="29" width="7" style="1054" customWidth="1"/>
    <col min="30" max="30" width="3.75" style="1054" customWidth="1"/>
    <col min="31" max="31" width="7.5" style="1054" customWidth="1"/>
    <col min="32" max="32" width="4.25" style="1054" customWidth="1"/>
    <col min="33" max="33" width="7.625" style="8" customWidth="1"/>
    <col min="34" max="16384" width="9" style="8"/>
  </cols>
  <sheetData>
    <row r="1" spans="1:33" ht="28.5" customHeight="1">
      <c r="A1" s="2231" t="s">
        <v>151</v>
      </c>
      <c r="B1" s="2231"/>
      <c r="C1" s="2231"/>
      <c r="D1" s="2231"/>
      <c r="E1" s="2231"/>
      <c r="F1" s="2231"/>
      <c r="G1" s="2231"/>
      <c r="H1" s="2231"/>
      <c r="I1" s="2231"/>
      <c r="J1" s="2231"/>
      <c r="K1" s="2231"/>
      <c r="L1" s="2231"/>
      <c r="M1" s="2231"/>
      <c r="N1" s="2231"/>
      <c r="O1" s="2231"/>
      <c r="P1" s="2231"/>
      <c r="Q1" s="2231"/>
      <c r="R1" s="2231"/>
      <c r="S1" s="2231"/>
      <c r="T1" s="2231"/>
      <c r="U1" s="2231"/>
      <c r="V1" s="2231"/>
      <c r="W1" s="2231"/>
      <c r="X1" s="2231"/>
      <c r="Y1" s="2231"/>
      <c r="Z1" s="2231"/>
      <c r="AA1" s="1101"/>
      <c r="AB1" s="1101"/>
      <c r="AC1" s="1055"/>
      <c r="AD1" s="1055"/>
      <c r="AE1" s="1055"/>
      <c r="AF1" s="1055"/>
      <c r="AG1" s="70"/>
    </row>
    <row r="2" spans="1:33" ht="51.75" customHeight="1">
      <c r="A2" s="2232" t="s">
        <v>152</v>
      </c>
      <c r="B2" s="2232"/>
      <c r="C2" s="2232"/>
      <c r="D2" s="2232"/>
      <c r="E2" s="2232"/>
      <c r="F2" s="2232"/>
      <c r="G2" s="2232"/>
      <c r="H2" s="2232"/>
      <c r="I2" s="2232"/>
      <c r="J2" s="2232"/>
      <c r="K2" s="2232"/>
      <c r="L2" s="2232"/>
      <c r="M2" s="2232"/>
      <c r="N2" s="2232"/>
      <c r="O2" s="2232"/>
      <c r="P2" s="2232"/>
      <c r="Q2" s="2232"/>
      <c r="R2" s="2232"/>
      <c r="S2" s="2232"/>
      <c r="T2" s="2232"/>
      <c r="U2" s="2232"/>
      <c r="V2" s="2232"/>
      <c r="W2" s="2232"/>
      <c r="X2" s="2232"/>
      <c r="Y2" s="2232"/>
      <c r="Z2" s="2232"/>
      <c r="AA2" s="1101"/>
      <c r="AB2" s="1101"/>
      <c r="AC2" s="1055"/>
      <c r="AD2" s="2188" t="s">
        <v>96</v>
      </c>
      <c r="AE2" s="2188"/>
      <c r="AF2" s="2162" t="s">
        <v>97</v>
      </c>
      <c r="AG2" s="2165"/>
    </row>
    <row r="3" spans="1:33" ht="32.25" customHeight="1">
      <c r="A3" s="1086"/>
      <c r="B3" s="1701" t="s">
        <v>143</v>
      </c>
      <c r="C3" s="1702"/>
      <c r="D3" s="1641"/>
      <c r="E3" s="1642"/>
      <c r="F3" s="1643"/>
      <c r="G3" s="1638"/>
      <c r="H3" s="1639"/>
      <c r="I3" s="1640" t="str">
        <f>'1. XL-1E kh'!$G$3</f>
        <v>2023/03/21</v>
      </c>
      <c r="J3" s="1644"/>
      <c r="K3" s="1644"/>
      <c r="L3" s="1645"/>
      <c r="M3" s="1052"/>
      <c r="N3" s="1052"/>
      <c r="O3" s="1052"/>
      <c r="P3" s="1052"/>
      <c r="Q3" s="1087"/>
      <c r="R3" s="1087"/>
      <c r="S3" s="1087"/>
      <c r="T3" s="1087"/>
      <c r="U3" s="1052"/>
      <c r="V3" s="1052"/>
      <c r="W3" s="1052"/>
      <c r="X3" s="1052"/>
      <c r="Y3" s="1087"/>
      <c r="Z3" s="1087"/>
      <c r="AA3" s="1101"/>
      <c r="AB3" s="1101"/>
      <c r="AC3" s="1055"/>
      <c r="AD3" s="2196" t="str">
        <f>MENU!AD6</f>
        <v>Trang</v>
      </c>
      <c r="AE3" s="2196"/>
      <c r="AF3" s="2197" t="s">
        <v>11</v>
      </c>
      <c r="AG3" s="2198"/>
    </row>
    <row r="4" spans="1:33" s="71" customFormat="1" ht="46.5" customHeight="1">
      <c r="A4" s="2264" t="s">
        <v>7</v>
      </c>
      <c r="B4" s="2148" t="s">
        <v>79</v>
      </c>
      <c r="C4" s="2149"/>
      <c r="D4" s="2149"/>
      <c r="E4" s="2150"/>
      <c r="F4" s="2191" t="s">
        <v>136</v>
      </c>
      <c r="G4" s="2125" t="s">
        <v>1424</v>
      </c>
      <c r="H4" s="2173" t="s">
        <v>1412</v>
      </c>
      <c r="I4" s="2131">
        <v>0.26041666666666669</v>
      </c>
      <c r="J4" s="2132"/>
      <c r="K4" s="2132"/>
      <c r="L4" s="2133"/>
      <c r="M4" s="2155" t="s">
        <v>993</v>
      </c>
      <c r="N4" s="2265"/>
      <c r="O4" s="2265"/>
      <c r="P4" s="2266"/>
      <c r="Q4" s="2131">
        <v>0.42708333333333331</v>
      </c>
      <c r="R4" s="2132"/>
      <c r="S4" s="2132"/>
      <c r="T4" s="2133"/>
      <c r="U4" s="2155" t="s">
        <v>993</v>
      </c>
      <c r="V4" s="2156"/>
      <c r="W4" s="2156"/>
      <c r="X4" s="2157"/>
      <c r="Y4" s="2131">
        <v>0.59375</v>
      </c>
      <c r="Z4" s="2132"/>
      <c r="AA4" s="2132"/>
      <c r="AB4" s="2133"/>
      <c r="AC4" s="2155" t="s">
        <v>993</v>
      </c>
      <c r="AD4" s="2156"/>
      <c r="AE4" s="2156"/>
      <c r="AF4" s="2157"/>
      <c r="AG4" s="2208" t="s">
        <v>41</v>
      </c>
    </row>
    <row r="5" spans="1:33" s="71" customFormat="1" ht="46.5" customHeight="1">
      <c r="A5" s="2264"/>
      <c r="B5" s="2151"/>
      <c r="C5" s="2152"/>
      <c r="D5" s="2152"/>
      <c r="E5" s="2153"/>
      <c r="F5" s="2192"/>
      <c r="G5" s="2126"/>
      <c r="H5" s="2174"/>
      <c r="I5" s="1062" t="s">
        <v>145</v>
      </c>
      <c r="J5" s="2137" t="s">
        <v>1</v>
      </c>
      <c r="K5" s="2138"/>
      <c r="L5" s="2139"/>
      <c r="M5" s="1009" t="s">
        <v>994</v>
      </c>
      <c r="N5" s="2158" t="s">
        <v>1</v>
      </c>
      <c r="O5" s="2158"/>
      <c r="P5" s="2159"/>
      <c r="Q5" s="1062" t="s">
        <v>145</v>
      </c>
      <c r="R5" s="2137" t="s">
        <v>1</v>
      </c>
      <c r="S5" s="2138"/>
      <c r="T5" s="2139"/>
      <c r="U5" s="1009" t="s">
        <v>145</v>
      </c>
      <c r="V5" s="2158" t="s">
        <v>1</v>
      </c>
      <c r="W5" s="2158"/>
      <c r="X5" s="2159"/>
      <c r="Y5" s="1062" t="s">
        <v>145</v>
      </c>
      <c r="Z5" s="2137" t="s">
        <v>1</v>
      </c>
      <c r="AA5" s="2138"/>
      <c r="AB5" s="2139"/>
      <c r="AC5" s="1009" t="s">
        <v>145</v>
      </c>
      <c r="AD5" s="2158" t="s">
        <v>1</v>
      </c>
      <c r="AE5" s="2158"/>
      <c r="AF5" s="2159"/>
      <c r="AG5" s="2209"/>
    </row>
    <row r="6" spans="1:33" ht="49.5" customHeight="1">
      <c r="A6" s="2246">
        <v>1</v>
      </c>
      <c r="B6" s="2260" t="s">
        <v>1004</v>
      </c>
      <c r="C6" s="2261"/>
      <c r="D6" s="2144" t="s">
        <v>258</v>
      </c>
      <c r="E6" s="2145"/>
      <c r="F6" s="54" t="s">
        <v>4</v>
      </c>
      <c r="G6" s="1000" t="str">
        <f>'XM.FILE GOC'!$E$68</f>
        <v>40~60</v>
      </c>
      <c r="H6" s="1000" t="str">
        <f>'XM.FILE GOC'!$F$68</f>
        <v>(50±5)</v>
      </c>
      <c r="I6" s="61">
        <f>'XM.FILE GOC'!I68</f>
        <v>87.290499999999994</v>
      </c>
      <c r="J6" s="1088" t="s">
        <v>8</v>
      </c>
      <c r="K6" s="1089">
        <f>'XM.FILE GOC'!L68</f>
        <v>0</v>
      </c>
      <c r="L6" s="1090" t="s">
        <v>9</v>
      </c>
      <c r="M6" s="1010"/>
      <c r="N6" s="1011" t="s">
        <v>8</v>
      </c>
      <c r="O6" s="1056">
        <f>('XM.FILE GOC'!$G$68-M6)*15517/1000</f>
        <v>775.85</v>
      </c>
      <c r="P6" s="1013" t="s">
        <v>9</v>
      </c>
      <c r="Q6" s="61">
        <f>'XM.FILE GOC'!O68</f>
        <v>0</v>
      </c>
      <c r="R6" s="1088" t="s">
        <v>8</v>
      </c>
      <c r="S6" s="1089">
        <f>'XM.FILE GOC'!R68</f>
        <v>775.85</v>
      </c>
      <c r="T6" s="1090" t="s">
        <v>9</v>
      </c>
      <c r="U6" s="1010"/>
      <c r="V6" s="1011" t="s">
        <v>8</v>
      </c>
      <c r="W6" s="1056">
        <f>('XM.FILE GOC'!$G$68-U6)*15517/1000</f>
        <v>775.85</v>
      </c>
      <c r="X6" s="1013" t="s">
        <v>9</v>
      </c>
      <c r="Y6" s="61">
        <f>'XM.FILE GOC'!U68</f>
        <v>0</v>
      </c>
      <c r="Z6" s="1088" t="s">
        <v>8</v>
      </c>
      <c r="AA6" s="1089">
        <f>'XM.FILE GOC'!X68</f>
        <v>775.85</v>
      </c>
      <c r="AB6" s="1090" t="s">
        <v>9</v>
      </c>
      <c r="AC6" s="1010"/>
      <c r="AD6" s="1011" t="s">
        <v>8</v>
      </c>
      <c r="AE6" s="1056">
        <f>('XM.FILE GOC'!$G$68-AC6)*15517/1000</f>
        <v>775.85</v>
      </c>
      <c r="AF6" s="1013" t="s">
        <v>9</v>
      </c>
      <c r="AG6" s="80" t="s">
        <v>42</v>
      </c>
    </row>
    <row r="7" spans="1:33" ht="49.5" customHeight="1">
      <c r="A7" s="2259"/>
      <c r="B7" s="2262"/>
      <c r="C7" s="2263"/>
      <c r="D7" s="2144" t="s">
        <v>259</v>
      </c>
      <c r="E7" s="2145"/>
      <c r="F7" s="999"/>
      <c r="G7" s="1000" t="s">
        <v>1370</v>
      </c>
      <c r="H7" s="1000"/>
      <c r="I7" s="333"/>
      <c r="J7" s="66"/>
      <c r="K7" s="1066">
        <f>K6/25*8.5</f>
        <v>0</v>
      </c>
      <c r="L7" s="657" t="s">
        <v>10</v>
      </c>
      <c r="M7" s="1010"/>
      <c r="N7" s="1014" t="s">
        <v>8</v>
      </c>
      <c r="O7" s="1015">
        <f>O6/25*8.5</f>
        <v>263.78900000000004</v>
      </c>
      <c r="P7" s="1016" t="s">
        <v>10</v>
      </c>
      <c r="Q7" s="333"/>
      <c r="R7" s="66"/>
      <c r="S7" s="1066">
        <f>S6/25*8.5</f>
        <v>263.78900000000004</v>
      </c>
      <c r="T7" s="657" t="s">
        <v>10</v>
      </c>
      <c r="U7" s="1010"/>
      <c r="V7" s="1014" t="s">
        <v>8</v>
      </c>
      <c r="W7" s="1015">
        <f>W6/25*8.5</f>
        <v>263.78900000000004</v>
      </c>
      <c r="X7" s="1016" t="s">
        <v>10</v>
      </c>
      <c r="Y7" s="333"/>
      <c r="Z7" s="66"/>
      <c r="AA7" s="1066">
        <f>AA6/25*8.5</f>
        <v>263.78900000000004</v>
      </c>
      <c r="AB7" s="657" t="s">
        <v>10</v>
      </c>
      <c r="AC7" s="1010"/>
      <c r="AD7" s="1014" t="s">
        <v>8</v>
      </c>
      <c r="AE7" s="1015">
        <f>AE6/25*8.5</f>
        <v>263.78900000000004</v>
      </c>
      <c r="AF7" s="1016" t="s">
        <v>10</v>
      </c>
      <c r="AG7" s="80"/>
    </row>
    <row r="8" spans="1:33" ht="49.5" customHeight="1">
      <c r="A8" s="2246">
        <v>2</v>
      </c>
      <c r="B8" s="2260" t="s">
        <v>1005</v>
      </c>
      <c r="C8" s="2261"/>
      <c r="D8" s="2144" t="s">
        <v>258</v>
      </c>
      <c r="E8" s="2145"/>
      <c r="F8" s="54" t="s">
        <v>4</v>
      </c>
      <c r="G8" s="1000" t="str">
        <f>'XM.FILE GOC'!$E$69</f>
        <v>40~60</v>
      </c>
      <c r="H8" s="1000" t="str">
        <f>'XM.FILE GOC'!$F$69</f>
        <v>(50±5)</v>
      </c>
      <c r="I8" s="61">
        <f>'XM.FILE GOC'!I69</f>
        <v>0</v>
      </c>
      <c r="J8" s="1088" t="s">
        <v>8</v>
      </c>
      <c r="K8" s="1089">
        <f>'XM.FILE GOC'!L69</f>
        <v>573.75</v>
      </c>
      <c r="L8" s="1090" t="s">
        <v>9</v>
      </c>
      <c r="M8" s="1010"/>
      <c r="N8" s="1011" t="s">
        <v>8</v>
      </c>
      <c r="O8" s="1056">
        <f>('XM.FILE GOC'!$G$69-M8)*11475/1000</f>
        <v>573.75</v>
      </c>
      <c r="P8" s="1013" t="s">
        <v>9</v>
      </c>
      <c r="Q8" s="61">
        <f>'XM.FILE GOC'!O69</f>
        <v>0</v>
      </c>
      <c r="R8" s="1088" t="s">
        <v>8</v>
      </c>
      <c r="S8" s="1089">
        <f>'XM.FILE GOC'!R69</f>
        <v>573.75</v>
      </c>
      <c r="T8" s="1090" t="s">
        <v>9</v>
      </c>
      <c r="U8" s="1010"/>
      <c r="V8" s="1011" t="s">
        <v>8</v>
      </c>
      <c r="W8" s="1056">
        <f>('XM.FILE GOC'!$G$69-U8)*11475/1000</f>
        <v>573.75</v>
      </c>
      <c r="X8" s="1013" t="s">
        <v>9</v>
      </c>
      <c r="Y8" s="61">
        <f>'XM.FILE GOC'!U69</f>
        <v>0</v>
      </c>
      <c r="Z8" s="1088" t="s">
        <v>8</v>
      </c>
      <c r="AA8" s="1089">
        <f>'XM.FILE GOC'!X69</f>
        <v>573.75</v>
      </c>
      <c r="AB8" s="1090" t="s">
        <v>9</v>
      </c>
      <c r="AC8" s="1010"/>
      <c r="AD8" s="1011" t="s">
        <v>8</v>
      </c>
      <c r="AE8" s="1056">
        <f>('XM.FILE GOC'!$G$69-AC8)*11475/1000</f>
        <v>573.75</v>
      </c>
      <c r="AF8" s="1013" t="s">
        <v>9</v>
      </c>
      <c r="AG8" s="80" t="s">
        <v>42</v>
      </c>
    </row>
    <row r="9" spans="1:33" ht="49.5" customHeight="1">
      <c r="A9" s="2259"/>
      <c r="B9" s="2262"/>
      <c r="C9" s="2263"/>
      <c r="D9" s="2144" t="s">
        <v>259</v>
      </c>
      <c r="E9" s="2145"/>
      <c r="F9" s="999"/>
      <c r="G9" s="1000" t="s">
        <v>1370</v>
      </c>
      <c r="H9" s="1000"/>
      <c r="I9" s="333"/>
      <c r="J9" s="66"/>
      <c r="K9" s="1066">
        <f>K8/25*8.5</f>
        <v>195.07499999999999</v>
      </c>
      <c r="L9" s="657" t="s">
        <v>10</v>
      </c>
      <c r="M9" s="1010"/>
      <c r="N9" s="1014" t="s">
        <v>8</v>
      </c>
      <c r="O9" s="1015">
        <f>O8/25*8.5</f>
        <v>195.07499999999999</v>
      </c>
      <c r="P9" s="1016" t="s">
        <v>10</v>
      </c>
      <c r="Q9" s="333"/>
      <c r="R9" s="66"/>
      <c r="S9" s="1066">
        <f>S8/25*8.5</f>
        <v>195.07499999999999</v>
      </c>
      <c r="T9" s="657" t="s">
        <v>10</v>
      </c>
      <c r="U9" s="1010"/>
      <c r="V9" s="1014" t="s">
        <v>8</v>
      </c>
      <c r="W9" s="1015">
        <f>W8/25*8.5</f>
        <v>195.07499999999999</v>
      </c>
      <c r="X9" s="1016" t="s">
        <v>10</v>
      </c>
      <c r="Y9" s="333"/>
      <c r="Z9" s="66"/>
      <c r="AA9" s="1066">
        <f>AA8/25*8.5</f>
        <v>195.07499999999999</v>
      </c>
      <c r="AB9" s="657" t="s">
        <v>10</v>
      </c>
      <c r="AC9" s="1010"/>
      <c r="AD9" s="1014" t="s">
        <v>8</v>
      </c>
      <c r="AE9" s="1015">
        <f>AE8/25*8.5</f>
        <v>195.07499999999999</v>
      </c>
      <c r="AF9" s="1016" t="s">
        <v>10</v>
      </c>
      <c r="AG9" s="80"/>
    </row>
    <row r="10" spans="1:33" ht="49.5" customHeight="1">
      <c r="A10" s="2246">
        <v>3</v>
      </c>
      <c r="B10" s="2142" t="s">
        <v>1006</v>
      </c>
      <c r="C10" s="2143"/>
      <c r="D10" s="2146" t="s">
        <v>260</v>
      </c>
      <c r="E10" s="2147" t="s">
        <v>260</v>
      </c>
      <c r="F10" s="54" t="s">
        <v>4</v>
      </c>
      <c r="G10" s="1000" t="str">
        <f>'XM.FILE GOC'!$E$70</f>
        <v>50~70</v>
      </c>
      <c r="H10" s="1000" t="str">
        <f>'XM.FILE GOC'!$F$70</f>
        <v>(60±5)</v>
      </c>
      <c r="I10" s="333">
        <f>'XM.FILE GOC'!I70</f>
        <v>57.75</v>
      </c>
      <c r="J10" s="66" t="s">
        <v>8</v>
      </c>
      <c r="K10" s="656">
        <f>'XM.FILE GOC'!L70</f>
        <v>18.45</v>
      </c>
      <c r="L10" s="657" t="s">
        <v>9</v>
      </c>
      <c r="M10" s="1010"/>
      <c r="N10" s="1011" t="s">
        <v>8</v>
      </c>
      <c r="O10" s="1056">
        <f>('XM.FILE GOC'!$G$70-M10)*8200/1000</f>
        <v>492</v>
      </c>
      <c r="P10" s="1013" t="s">
        <v>9</v>
      </c>
      <c r="Q10" s="333">
        <f>'XM.FILE GOC'!O70</f>
        <v>0</v>
      </c>
      <c r="R10" s="66" t="s">
        <v>8</v>
      </c>
      <c r="S10" s="656">
        <f>'XM.FILE GOC'!R70</f>
        <v>492</v>
      </c>
      <c r="T10" s="657" t="s">
        <v>9</v>
      </c>
      <c r="U10" s="1010"/>
      <c r="V10" s="1011" t="s">
        <v>8</v>
      </c>
      <c r="W10" s="1056">
        <f>('XM.FILE GOC'!$G$70-U10)*8200/1000</f>
        <v>492</v>
      </c>
      <c r="X10" s="1013" t="s">
        <v>9</v>
      </c>
      <c r="Y10" s="333">
        <f>'XM.FILE GOC'!U70</f>
        <v>0</v>
      </c>
      <c r="Z10" s="66" t="s">
        <v>8</v>
      </c>
      <c r="AA10" s="656">
        <f>'XM.FILE GOC'!X70</f>
        <v>492</v>
      </c>
      <c r="AB10" s="1090" t="s">
        <v>9</v>
      </c>
      <c r="AC10" s="1010"/>
      <c r="AD10" s="1011" t="s">
        <v>8</v>
      </c>
      <c r="AE10" s="1056">
        <f>('XM.FILE GOC'!$G$70-AC10)*8200/1000</f>
        <v>492</v>
      </c>
      <c r="AF10" s="1013" t="s">
        <v>9</v>
      </c>
      <c r="AG10" s="80" t="s">
        <v>42</v>
      </c>
    </row>
    <row r="11" spans="1:33" ht="49.5" customHeight="1">
      <c r="A11" s="2247"/>
      <c r="B11" s="2143"/>
      <c r="C11" s="2143"/>
      <c r="D11" s="2146" t="s">
        <v>261</v>
      </c>
      <c r="E11" s="2147" t="s">
        <v>261</v>
      </c>
      <c r="F11" s="999"/>
      <c r="G11" s="1000" t="s">
        <v>1371</v>
      </c>
      <c r="H11" s="1000"/>
      <c r="I11" s="333"/>
      <c r="J11" s="66"/>
      <c r="K11" s="1066">
        <f>K10/25*8</f>
        <v>5.9039999999999999</v>
      </c>
      <c r="L11" s="657" t="s">
        <v>10</v>
      </c>
      <c r="M11" s="1010"/>
      <c r="N11" s="1014" t="s">
        <v>8</v>
      </c>
      <c r="O11" s="1015">
        <f>O10/25*8</f>
        <v>157.44</v>
      </c>
      <c r="P11" s="1016" t="s">
        <v>10</v>
      </c>
      <c r="Q11" s="333"/>
      <c r="R11" s="66"/>
      <c r="S11" s="1066">
        <f>S10/25*8</f>
        <v>157.44</v>
      </c>
      <c r="T11" s="657" t="s">
        <v>10</v>
      </c>
      <c r="U11" s="1010"/>
      <c r="V11" s="1014" t="s">
        <v>8</v>
      </c>
      <c r="W11" s="1015">
        <f>W10/25*8</f>
        <v>157.44</v>
      </c>
      <c r="X11" s="1016" t="s">
        <v>10</v>
      </c>
      <c r="Y11" s="333"/>
      <c r="Z11" s="66"/>
      <c r="AA11" s="1066">
        <f>AA10/25*8</f>
        <v>157.44</v>
      </c>
      <c r="AB11" s="657" t="s">
        <v>10</v>
      </c>
      <c r="AC11" s="1010"/>
      <c r="AD11" s="1014" t="s">
        <v>8</v>
      </c>
      <c r="AE11" s="1015">
        <f>AE10/25*8</f>
        <v>157.44</v>
      </c>
      <c r="AF11" s="1016" t="s">
        <v>10</v>
      </c>
      <c r="AG11" s="80"/>
    </row>
    <row r="12" spans="1:33" ht="49.5" customHeight="1">
      <c r="A12" s="2246">
        <v>4</v>
      </c>
      <c r="B12" s="2142" t="s">
        <v>1007</v>
      </c>
      <c r="C12" s="2143"/>
      <c r="D12" s="2146" t="s">
        <v>260</v>
      </c>
      <c r="E12" s="2147" t="s">
        <v>260</v>
      </c>
      <c r="F12" s="54" t="s">
        <v>4</v>
      </c>
      <c r="G12" s="1000" t="str">
        <f>'XM.FILE GOC'!$E$71</f>
        <v>50~70</v>
      </c>
      <c r="H12" s="1000" t="str">
        <f>'XM.FILE GOC'!$F$71</f>
        <v>(60±5)</v>
      </c>
      <c r="I12" s="333">
        <f>'XM.FILE GOC'!I71</f>
        <v>0</v>
      </c>
      <c r="J12" s="1088" t="s">
        <v>8</v>
      </c>
      <c r="K12" s="1089">
        <f>'XM.FILE GOC'!L71</f>
        <v>520.08000000000004</v>
      </c>
      <c r="L12" s="1090" t="s">
        <v>9</v>
      </c>
      <c r="M12" s="1010"/>
      <c r="N12" s="1011" t="s">
        <v>8</v>
      </c>
      <c r="O12" s="1057">
        <f>('XM.FILE GOC'!$G$71-M12)*8668/1000</f>
        <v>520.08000000000004</v>
      </c>
      <c r="P12" s="1013" t="s">
        <v>9</v>
      </c>
      <c r="Q12" s="333">
        <f>'XM.FILE GOC'!O71</f>
        <v>0</v>
      </c>
      <c r="R12" s="1088" t="s">
        <v>8</v>
      </c>
      <c r="S12" s="1089">
        <f>'XM.FILE GOC'!R71</f>
        <v>520.08000000000004</v>
      </c>
      <c r="T12" s="1090" t="s">
        <v>9</v>
      </c>
      <c r="U12" s="1010"/>
      <c r="V12" s="1011" t="s">
        <v>8</v>
      </c>
      <c r="W12" s="1057">
        <f>('XM.FILE GOC'!$G$71-U12)*8668/1000</f>
        <v>520.08000000000004</v>
      </c>
      <c r="X12" s="1013" t="s">
        <v>9</v>
      </c>
      <c r="Y12" s="333">
        <f>'XM.FILE GOC'!U71</f>
        <v>0</v>
      </c>
      <c r="Z12" s="1088" t="s">
        <v>8</v>
      </c>
      <c r="AA12" s="1089">
        <f>'XM.FILE GOC'!X71</f>
        <v>520.08000000000004</v>
      </c>
      <c r="AB12" s="1090" t="s">
        <v>9</v>
      </c>
      <c r="AC12" s="1010"/>
      <c r="AD12" s="1011" t="s">
        <v>8</v>
      </c>
      <c r="AE12" s="1056">
        <f>('XM.FILE GOC'!$G$71-AC12)*8668/1000</f>
        <v>520.08000000000004</v>
      </c>
      <c r="AF12" s="1013" t="s">
        <v>9</v>
      </c>
      <c r="AG12" s="80" t="s">
        <v>42</v>
      </c>
    </row>
    <row r="13" spans="1:33" ht="49.5" customHeight="1">
      <c r="A13" s="2247"/>
      <c r="B13" s="2143"/>
      <c r="C13" s="2143"/>
      <c r="D13" s="2146" t="s">
        <v>261</v>
      </c>
      <c r="E13" s="2147" t="s">
        <v>261</v>
      </c>
      <c r="F13" s="999"/>
      <c r="G13" s="1000" t="s">
        <v>1371</v>
      </c>
      <c r="H13" s="1000"/>
      <c r="I13" s="333"/>
      <c r="J13" s="66"/>
      <c r="K13" s="1066">
        <f>K12/25*8</f>
        <v>166.4256</v>
      </c>
      <c r="L13" s="657" t="s">
        <v>10</v>
      </c>
      <c r="M13" s="1010"/>
      <c r="N13" s="1014" t="s">
        <v>8</v>
      </c>
      <c r="O13" s="1015">
        <f>O12/25*8</f>
        <v>166.4256</v>
      </c>
      <c r="P13" s="1016" t="s">
        <v>10</v>
      </c>
      <c r="Q13" s="333"/>
      <c r="R13" s="66"/>
      <c r="S13" s="1066">
        <f>S12/25*8</f>
        <v>166.4256</v>
      </c>
      <c r="T13" s="657" t="s">
        <v>10</v>
      </c>
      <c r="U13" s="1010"/>
      <c r="V13" s="1014" t="s">
        <v>8</v>
      </c>
      <c r="W13" s="1015">
        <f>W12/25*8</f>
        <v>166.4256</v>
      </c>
      <c r="X13" s="1016" t="s">
        <v>10</v>
      </c>
      <c r="Y13" s="333"/>
      <c r="Z13" s="66"/>
      <c r="AA13" s="1066">
        <f>AA12/25*8</f>
        <v>166.4256</v>
      </c>
      <c r="AB13" s="657" t="s">
        <v>10</v>
      </c>
      <c r="AC13" s="1010"/>
      <c r="AD13" s="1014" t="s">
        <v>8</v>
      </c>
      <c r="AE13" s="1015">
        <f>AE12/25*8</f>
        <v>166.4256</v>
      </c>
      <c r="AF13" s="1016" t="s">
        <v>10</v>
      </c>
      <c r="AG13" s="80"/>
    </row>
    <row r="14" spans="1:33" ht="49.5" customHeight="1">
      <c r="A14" s="2246">
        <v>5</v>
      </c>
      <c r="B14" s="2248" t="s">
        <v>1008</v>
      </c>
      <c r="C14" s="2250" t="s">
        <v>1009</v>
      </c>
      <c r="D14" s="2251"/>
      <c r="E14" s="2252"/>
      <c r="F14" s="706" t="s">
        <v>4</v>
      </c>
      <c r="G14" s="1000" t="str">
        <f>'XM.FILE GOC'!$E$72</f>
        <v>135~ 145</v>
      </c>
      <c r="H14" s="1000" t="str">
        <f>'XM.FILE GOC'!$F$72</f>
        <v>(140±5)</v>
      </c>
      <c r="I14" s="61">
        <f>'XM.FILE GOC'!I72</f>
        <v>138.4</v>
      </c>
      <c r="J14" s="1088" t="s">
        <v>8</v>
      </c>
      <c r="K14" s="1089">
        <f>'XM.FILE GOC'!L72</f>
        <v>84.905599999999694</v>
      </c>
      <c r="L14" s="1090" t="s">
        <v>9</v>
      </c>
      <c r="M14" s="1010"/>
      <c r="N14" s="1011" t="s">
        <v>8</v>
      </c>
      <c r="O14" s="1057">
        <f>('XM.FILE GOC'!$G$72-M14)*53066/1000</f>
        <v>7429.24</v>
      </c>
      <c r="P14" s="1013" t="s">
        <v>9</v>
      </c>
      <c r="Q14" s="61">
        <f>'XM.FILE GOC'!O72</f>
        <v>0</v>
      </c>
      <c r="R14" s="1088" t="s">
        <v>8</v>
      </c>
      <c r="S14" s="1089">
        <f>'XM.FILE GOC'!R72</f>
        <v>7429.24</v>
      </c>
      <c r="T14" s="1090" t="s">
        <v>9</v>
      </c>
      <c r="U14" s="1010"/>
      <c r="V14" s="1011" t="s">
        <v>8</v>
      </c>
      <c r="W14" s="1057">
        <f>('XM.FILE GOC'!$G$72-U14)*53066/1000</f>
        <v>7429.24</v>
      </c>
      <c r="X14" s="1013" t="s">
        <v>9</v>
      </c>
      <c r="Y14" s="61">
        <f>'XM.FILE GOC'!U72</f>
        <v>0</v>
      </c>
      <c r="Z14" s="1088" t="s">
        <v>8</v>
      </c>
      <c r="AA14" s="1089">
        <f>'XM.FILE GOC'!X72</f>
        <v>7429.24</v>
      </c>
      <c r="AB14" s="1090" t="s">
        <v>9</v>
      </c>
      <c r="AC14" s="1010"/>
      <c r="AD14" s="1011" t="s">
        <v>8</v>
      </c>
      <c r="AE14" s="1057">
        <f>('XM.FILE GOC'!$G$72-AC14)*53066/1000</f>
        <v>7429.24</v>
      </c>
      <c r="AF14" s="1013" t="s">
        <v>9</v>
      </c>
      <c r="AG14" s="80" t="s">
        <v>43</v>
      </c>
    </row>
    <row r="15" spans="1:33" ht="49.5" customHeight="1">
      <c r="A15" s="2247"/>
      <c r="B15" s="2249"/>
      <c r="C15" s="2250" t="s">
        <v>1010</v>
      </c>
      <c r="D15" s="2251"/>
      <c r="E15" s="2252"/>
      <c r="F15" s="706" t="s">
        <v>4</v>
      </c>
      <c r="G15" s="1000" t="str">
        <f>'XM.FILE GOC'!$E$73</f>
        <v>6~8</v>
      </c>
      <c r="H15" s="1000" t="str">
        <f>'XM.FILE GOC'!$F$73</f>
        <v>(7±0.5)</v>
      </c>
      <c r="I15" s="61">
        <f>'XM.FILE GOC'!I73</f>
        <v>5.8500000000000005</v>
      </c>
      <c r="J15" s="1088" t="s">
        <v>8</v>
      </c>
      <c r="K15" s="1089">
        <f>'XM.FILE GOC'!L73</f>
        <v>61.025899999999972</v>
      </c>
      <c r="L15" s="1090" t="s">
        <v>9</v>
      </c>
      <c r="M15" s="1010"/>
      <c r="N15" s="1011" t="s">
        <v>8</v>
      </c>
      <c r="O15" s="1057">
        <f>('XM.FILE GOC'!$G$73-M15)*53066/1000</f>
        <v>371.46199999999999</v>
      </c>
      <c r="P15" s="1013" t="s">
        <v>9</v>
      </c>
      <c r="Q15" s="61">
        <f>'XM.FILE GOC'!O73</f>
        <v>0</v>
      </c>
      <c r="R15" s="1088" t="s">
        <v>8</v>
      </c>
      <c r="S15" s="1089">
        <f>'XM.FILE GOC'!R73</f>
        <v>371.46199999999999</v>
      </c>
      <c r="T15" s="1090" t="s">
        <v>9</v>
      </c>
      <c r="U15" s="1010"/>
      <c r="V15" s="1011" t="s">
        <v>8</v>
      </c>
      <c r="W15" s="1057">
        <f>('XM.FILE GOC'!$G$73-U15)*53066/1000</f>
        <v>371.46199999999999</v>
      </c>
      <c r="X15" s="1013" t="s">
        <v>9</v>
      </c>
      <c r="Y15" s="61">
        <f>'XM.FILE GOC'!U73</f>
        <v>0</v>
      </c>
      <c r="Z15" s="1088" t="s">
        <v>8</v>
      </c>
      <c r="AA15" s="1089">
        <f>'XM.FILE GOC'!X73</f>
        <v>371.46199999999999</v>
      </c>
      <c r="AB15" s="1013" t="s">
        <v>9</v>
      </c>
      <c r="AC15" s="1010"/>
      <c r="AD15" s="1011" t="s">
        <v>8</v>
      </c>
      <c r="AE15" s="1058">
        <f>('XM.FILE GOC'!$G$73-AC15)*53066/1000</f>
        <v>371.46199999999999</v>
      </c>
      <c r="AF15" s="1013" t="s">
        <v>9</v>
      </c>
      <c r="AG15" s="80" t="s">
        <v>44</v>
      </c>
    </row>
    <row r="16" spans="1:33" s="7" customFormat="1" ht="49.5" customHeight="1">
      <c r="A16" s="2246">
        <v>6</v>
      </c>
      <c r="B16" s="2253" t="s">
        <v>40</v>
      </c>
      <c r="C16" s="2254"/>
      <c r="D16" s="2254"/>
      <c r="E16" s="2257"/>
      <c r="F16" s="706" t="s">
        <v>3</v>
      </c>
      <c r="G16" s="1597" t="str">
        <f>'XM.FILE GOC'!$E$82</f>
        <v>8~16 %</v>
      </c>
      <c r="H16" s="1597" t="str">
        <f>'XM.FILE GOC'!$F$82</f>
        <v>(12±2%)</v>
      </c>
      <c r="I16" s="1342">
        <f>'XM.FILE GOC'!I82</f>
        <v>0</v>
      </c>
      <c r="J16" s="1088" t="s">
        <v>8</v>
      </c>
      <c r="K16" s="1089">
        <f>'XM.FILE GOC'!L82</f>
        <v>403.2</v>
      </c>
      <c r="L16" s="1090" t="s">
        <v>10</v>
      </c>
      <c r="M16" s="1010"/>
      <c r="N16" s="1014" t="s">
        <v>8</v>
      </c>
      <c r="O16" s="1056">
        <f>('XM.FILE GOC'!$G$82-M16)*3360/100</f>
        <v>403.2</v>
      </c>
      <c r="P16" s="1016" t="s">
        <v>10</v>
      </c>
      <c r="Q16" s="1342">
        <f>'XM.FILE GOC'!O82</f>
        <v>0</v>
      </c>
      <c r="R16" s="1088" t="s">
        <v>8</v>
      </c>
      <c r="S16" s="1089">
        <f>'XM.FILE GOC'!R82</f>
        <v>403.2</v>
      </c>
      <c r="T16" s="1090" t="s">
        <v>10</v>
      </c>
      <c r="U16" s="1010"/>
      <c r="V16" s="1014" t="s">
        <v>8</v>
      </c>
      <c r="W16" s="1056">
        <f>('XM.FILE GOC'!$G$82-U16)*3360/100</f>
        <v>403.2</v>
      </c>
      <c r="X16" s="1016" t="s">
        <v>10</v>
      </c>
      <c r="Y16" s="1342">
        <f>'XM.FILE GOC'!U82</f>
        <v>0</v>
      </c>
      <c r="Z16" s="1088" t="s">
        <v>8</v>
      </c>
      <c r="AA16" s="1089">
        <f>'XM.FILE GOC'!X82</f>
        <v>403.2</v>
      </c>
      <c r="AB16" s="1090" t="s">
        <v>10</v>
      </c>
      <c r="AC16" s="1010"/>
      <c r="AD16" s="1014" t="s">
        <v>8</v>
      </c>
      <c r="AE16" s="1056">
        <f>('XM.FILE GOC'!$G$82-AC16)*3360/100</f>
        <v>403.2</v>
      </c>
      <c r="AF16" s="1016" t="s">
        <v>10</v>
      </c>
      <c r="AG16" s="80" t="s">
        <v>45</v>
      </c>
    </row>
    <row r="17" spans="1:33" ht="49.5" customHeight="1">
      <c r="A17" s="2247"/>
      <c r="B17" s="2255"/>
      <c r="C17" s="2256"/>
      <c r="D17" s="2256"/>
      <c r="E17" s="2258"/>
      <c r="F17" s="706" t="s">
        <v>5</v>
      </c>
      <c r="G17" s="1597" t="str">
        <f>'XM.FILE GOC'!$E$83</f>
        <v>1.8~2.4</v>
      </c>
      <c r="H17" s="1597" t="str">
        <f>'XM.FILE GOC'!$F$83</f>
        <v>(2.0 ±0.2 )</v>
      </c>
      <c r="I17" s="67">
        <f>'XM.FILE GOC'!I83</f>
        <v>0</v>
      </c>
      <c r="J17" s="1601"/>
      <c r="K17" s="1602"/>
      <c r="L17" s="1603"/>
      <c r="M17" s="1604"/>
      <c r="N17" s="1017"/>
      <c r="O17" s="1605"/>
      <c r="P17" s="1018"/>
      <c r="Q17" s="67">
        <f>'XM.FILE GOC'!O83</f>
        <v>0</v>
      </c>
      <c r="R17" s="1601"/>
      <c r="S17" s="1602"/>
      <c r="T17" s="1603"/>
      <c r="U17" s="1604"/>
      <c r="V17" s="1017"/>
      <c r="W17" s="1605"/>
      <c r="X17" s="1018"/>
      <c r="Y17" s="67">
        <f>'XM.FILE GOC'!U83</f>
        <v>0</v>
      </c>
      <c r="Z17" s="1088"/>
      <c r="AA17" s="1089"/>
      <c r="AB17" s="1090"/>
      <c r="AC17" s="1010"/>
      <c r="AD17" s="1017"/>
      <c r="AE17" s="1058"/>
      <c r="AF17" s="1018"/>
      <c r="AG17" s="81"/>
    </row>
    <row r="18" spans="1:33" ht="49.5" customHeight="1">
      <c r="A18" s="1091">
        <v>7</v>
      </c>
      <c r="B18" s="2243" t="s">
        <v>1011</v>
      </c>
      <c r="C18" s="2244"/>
      <c r="D18" s="2244"/>
      <c r="E18" s="2245"/>
      <c r="F18" s="706" t="s">
        <v>6</v>
      </c>
      <c r="G18" s="1000" t="str">
        <f>'XM.FILE GOC'!$E$76</f>
        <v>40~50</v>
      </c>
      <c r="H18" s="1000" t="str">
        <f>'XM.FILE GOC'!$F$76</f>
        <v>(45±5)</v>
      </c>
      <c r="I18" s="337">
        <f>'XM.FILE GOC'!I76</f>
        <v>0.3969375</v>
      </c>
      <c r="J18" s="1088" t="s">
        <v>8</v>
      </c>
      <c r="K18" s="1089">
        <f>'XM.FILE GOC'!L76</f>
        <v>137.20737980769232</v>
      </c>
      <c r="L18" s="1090" t="s">
        <v>10</v>
      </c>
      <c r="M18" s="1020"/>
      <c r="N18" s="1011" t="s">
        <v>8</v>
      </c>
      <c r="O18" s="1056">
        <f>('XM.FILE GOC'!$G$76-M18)*6723/2.6</f>
        <v>1163.5961538461538</v>
      </c>
      <c r="P18" s="1013" t="s">
        <v>10</v>
      </c>
      <c r="Q18" s="337">
        <f>'XM.FILE GOC'!O76</f>
        <v>0</v>
      </c>
      <c r="R18" s="1088" t="s">
        <v>8</v>
      </c>
      <c r="S18" s="1089">
        <f>'XM.FILE GOC'!R76</f>
        <v>1163.5961538461538</v>
      </c>
      <c r="T18" s="1090" t="s">
        <v>10</v>
      </c>
      <c r="U18" s="1020"/>
      <c r="V18" s="1011" t="s">
        <v>8</v>
      </c>
      <c r="W18" s="1056">
        <f>('XM.FILE GOC'!$G$76-U18)*6723/2.6</f>
        <v>1163.5961538461538</v>
      </c>
      <c r="X18" s="1013" t="s">
        <v>10</v>
      </c>
      <c r="Y18" s="337">
        <f>'XM.FILE GOC'!U76</f>
        <v>0</v>
      </c>
      <c r="Z18" s="1088" t="s">
        <v>8</v>
      </c>
      <c r="AA18" s="1089">
        <f>'XM.FILE GOC'!X76</f>
        <v>1163.5961538461538</v>
      </c>
      <c r="AB18" s="1090" t="s">
        <v>10</v>
      </c>
      <c r="AC18" s="1020"/>
      <c r="AD18" s="1011" t="s">
        <v>8</v>
      </c>
      <c r="AE18" s="1056">
        <f>('XM.FILE GOC'!$G$76-AC18)*6723/2.6</f>
        <v>1163.5961538461538</v>
      </c>
      <c r="AF18" s="1013" t="s">
        <v>10</v>
      </c>
      <c r="AG18" s="80" t="s">
        <v>46</v>
      </c>
    </row>
    <row r="19" spans="1:33" ht="49.5" customHeight="1">
      <c r="A19" s="1091">
        <v>8</v>
      </c>
      <c r="B19" s="2243" t="s">
        <v>1012</v>
      </c>
      <c r="C19" s="2244"/>
      <c r="D19" s="2244"/>
      <c r="E19" s="2245"/>
      <c r="F19" s="706" t="s">
        <v>6</v>
      </c>
      <c r="G19" s="1000" t="str">
        <f>'XM.FILE GOC'!$E$77</f>
        <v>40~50</v>
      </c>
      <c r="H19" s="1000" t="str">
        <f>'XM.FILE GOC'!$F$77</f>
        <v>(45±5)</v>
      </c>
      <c r="I19" s="337">
        <f>'XM.FILE GOC'!I77</f>
        <v>0</v>
      </c>
      <c r="J19" s="1088" t="s">
        <v>8</v>
      </c>
      <c r="K19" s="1089">
        <f>'XM.FILE GOC'!L77</f>
        <v>1818.8653846153845</v>
      </c>
      <c r="L19" s="1090" t="s">
        <v>10</v>
      </c>
      <c r="M19" s="1020"/>
      <c r="N19" s="1014" t="s">
        <v>8</v>
      </c>
      <c r="O19" s="1056">
        <f>('XM.FILE GOC'!$G$77-M19)*10509/2.6</f>
        <v>1818.8653846153845</v>
      </c>
      <c r="P19" s="1016" t="s">
        <v>10</v>
      </c>
      <c r="Q19" s="337">
        <f>'XM.FILE GOC'!O77</f>
        <v>0</v>
      </c>
      <c r="R19" s="1088" t="s">
        <v>8</v>
      </c>
      <c r="S19" s="1089">
        <f>'XM.FILE GOC'!R77</f>
        <v>1818.8653846153845</v>
      </c>
      <c r="T19" s="1090" t="s">
        <v>10</v>
      </c>
      <c r="U19" s="1020"/>
      <c r="V19" s="1014" t="s">
        <v>8</v>
      </c>
      <c r="W19" s="1056">
        <f>('XM.FILE GOC'!$G$77-U19)*10509/2.6</f>
        <v>1818.8653846153845</v>
      </c>
      <c r="X19" s="1016" t="s">
        <v>10</v>
      </c>
      <c r="Y19" s="337">
        <f>'XM.FILE GOC'!U77</f>
        <v>0</v>
      </c>
      <c r="Z19" s="1088" t="s">
        <v>8</v>
      </c>
      <c r="AA19" s="1089">
        <f>'XM.FILE GOC'!X77</f>
        <v>1818.8653846153845</v>
      </c>
      <c r="AB19" s="1090" t="s">
        <v>10</v>
      </c>
      <c r="AC19" s="1020"/>
      <c r="AD19" s="1014" t="s">
        <v>8</v>
      </c>
      <c r="AE19" s="1056">
        <f>('XM.FILE GOC'!$G$77-AC19)*10509/2.6</f>
        <v>1818.8653846153845</v>
      </c>
      <c r="AF19" s="1016" t="s">
        <v>10</v>
      </c>
      <c r="AG19" s="79" t="s">
        <v>46</v>
      </c>
    </row>
    <row r="20" spans="1:33" ht="49.5" customHeight="1">
      <c r="A20" s="1091">
        <v>9</v>
      </c>
      <c r="B20" s="2234" t="s">
        <v>86</v>
      </c>
      <c r="C20" s="2235"/>
      <c r="D20" s="2235"/>
      <c r="E20" s="2236"/>
      <c r="F20" s="706" t="s">
        <v>6</v>
      </c>
      <c r="G20" s="1000" t="str">
        <f>'XM.FILE GOC'!$E$78</f>
        <v>20~40</v>
      </c>
      <c r="H20" s="1000" t="str">
        <f>'XM.FILE GOC'!$F$78</f>
        <v>(30±5)</v>
      </c>
      <c r="I20" s="68">
        <f>'XM.FILE GOC'!I78</f>
        <v>8.212499999999999E-2</v>
      </c>
      <c r="J20" s="1088" t="s">
        <v>8</v>
      </c>
      <c r="K20" s="1089">
        <f>'XM.FILE GOC'!L78</f>
        <v>242.96818965517238</v>
      </c>
      <c r="L20" s="1090" t="s">
        <v>10</v>
      </c>
      <c r="M20" s="1020"/>
      <c r="N20" s="1011" t="s">
        <v>8</v>
      </c>
      <c r="O20" s="1058">
        <f>('XM.FILE GOC'!$G$78-M20)*3234/2.9</f>
        <v>334.55172413793105</v>
      </c>
      <c r="P20" s="1013" t="s">
        <v>10</v>
      </c>
      <c r="Q20" s="68">
        <f>'XM.FILE GOC'!O78</f>
        <v>0</v>
      </c>
      <c r="R20" s="1088" t="s">
        <v>8</v>
      </c>
      <c r="S20" s="1089">
        <f>'XM.FILE GOC'!R78</f>
        <v>334.55172413793105</v>
      </c>
      <c r="T20" s="1090" t="s">
        <v>10</v>
      </c>
      <c r="U20" s="1020"/>
      <c r="V20" s="1011" t="s">
        <v>8</v>
      </c>
      <c r="W20" s="1058">
        <f>('XM.FILE GOC'!$G$78-U20)*3234/2.9</f>
        <v>334.55172413793105</v>
      </c>
      <c r="X20" s="1013" t="s">
        <v>10</v>
      </c>
      <c r="Y20" s="68">
        <f>'XM.FILE GOC'!U78</f>
        <v>0</v>
      </c>
      <c r="Z20" s="1088" t="s">
        <v>8</v>
      </c>
      <c r="AA20" s="1089">
        <f>'XM.FILE GOC'!X78</f>
        <v>334.55172413793105</v>
      </c>
      <c r="AB20" s="1090" t="s">
        <v>10</v>
      </c>
      <c r="AC20" s="1020"/>
      <c r="AD20" s="1011" t="s">
        <v>8</v>
      </c>
      <c r="AE20" s="1058">
        <f>('XM.FILE GOC'!$G$78-AC20)*3234/2.9</f>
        <v>334.55172413793105</v>
      </c>
      <c r="AF20" s="1013" t="s">
        <v>10</v>
      </c>
      <c r="AG20" s="80" t="s">
        <v>47</v>
      </c>
    </row>
    <row r="21" spans="1:33" ht="49.5" customHeight="1">
      <c r="A21" s="1091">
        <v>10</v>
      </c>
      <c r="B21" s="2234" t="s">
        <v>1013</v>
      </c>
      <c r="C21" s="2235" t="s">
        <v>1013</v>
      </c>
      <c r="D21" s="2235" t="s">
        <v>1013</v>
      </c>
      <c r="E21" s="2236" t="s">
        <v>1013</v>
      </c>
      <c r="F21" s="706" t="s">
        <v>6</v>
      </c>
      <c r="G21" s="1000" t="str">
        <f>'XM.FILE GOC'!$E$79</f>
        <v>0.5~1.5</v>
      </c>
      <c r="H21" s="1000" t="str">
        <f>'XM.FILE GOC'!$F$79</f>
        <v>(1±0.4)</v>
      </c>
      <c r="I21" s="340">
        <f>'XM.FILE GOC'!I79</f>
        <v>0</v>
      </c>
      <c r="J21" s="1088" t="s">
        <v>8</v>
      </c>
      <c r="K21" s="1092">
        <f>'XM.FILE GOC'!L79</f>
        <v>28.080000000000002</v>
      </c>
      <c r="L21" s="1093" t="s">
        <v>10</v>
      </c>
      <c r="M21" s="1021"/>
      <c r="N21" s="1059" t="s">
        <v>8</v>
      </c>
      <c r="O21" s="1060">
        <f>('XM.FILE GOC'!$G$79-M21)*2808</f>
        <v>28.080000000000002</v>
      </c>
      <c r="P21" s="1024" t="s">
        <v>10</v>
      </c>
      <c r="Q21" s="340">
        <f>'XM.FILE GOC'!O79</f>
        <v>0</v>
      </c>
      <c r="R21" s="1088" t="s">
        <v>8</v>
      </c>
      <c r="S21" s="1092">
        <f>'XM.FILE GOC'!R79</f>
        <v>28.080000000000002</v>
      </c>
      <c r="T21" s="1093" t="s">
        <v>10</v>
      </c>
      <c r="U21" s="1021"/>
      <c r="V21" s="1059" t="s">
        <v>8</v>
      </c>
      <c r="W21" s="1060">
        <f>('XM.FILE GOC'!$G$79-U21)*2808</f>
        <v>28.080000000000002</v>
      </c>
      <c r="X21" s="1024" t="s">
        <v>10</v>
      </c>
      <c r="Y21" s="340">
        <f>'XM.FILE GOC'!U79</f>
        <v>0</v>
      </c>
      <c r="Z21" s="1088" t="s">
        <v>8</v>
      </c>
      <c r="AA21" s="1092">
        <f>'XM.FILE GOC'!X79</f>
        <v>28.080000000000002</v>
      </c>
      <c r="AB21" s="1093" t="s">
        <v>10</v>
      </c>
      <c r="AC21" s="1021"/>
      <c r="AD21" s="1059" t="s">
        <v>8</v>
      </c>
      <c r="AE21" s="1060">
        <f>('XM.FILE GOC'!$G$79-AC21)*2808</f>
        <v>28.080000000000002</v>
      </c>
      <c r="AF21" s="1024" t="s">
        <v>10</v>
      </c>
      <c r="AG21" s="80" t="s">
        <v>47</v>
      </c>
    </row>
    <row r="22" spans="1:33" ht="49.5" customHeight="1">
      <c r="A22" s="1091"/>
      <c r="B22" s="2233" t="s">
        <v>2</v>
      </c>
      <c r="C22" s="2233"/>
      <c r="D22" s="2233"/>
      <c r="E22" s="2233"/>
      <c r="F22" s="2233"/>
      <c r="G22" s="2233"/>
      <c r="H22" s="2233"/>
      <c r="I22" s="2233"/>
      <c r="J22" s="2233"/>
      <c r="K22" s="2233"/>
      <c r="L22" s="2233"/>
      <c r="M22" s="2233"/>
      <c r="N22" s="2233"/>
      <c r="O22" s="2233"/>
      <c r="P22" s="2233"/>
      <c r="Q22" s="2233"/>
      <c r="R22" s="2233"/>
      <c r="S22" s="2233"/>
      <c r="T22" s="2233"/>
      <c r="U22" s="2233"/>
      <c r="V22" s="2233"/>
      <c r="W22" s="2233"/>
      <c r="X22" s="2233"/>
      <c r="Y22" s="2233"/>
      <c r="Z22" s="2233"/>
      <c r="AA22" s="2233"/>
      <c r="AB22" s="2233"/>
      <c r="AC22" s="2233"/>
      <c r="AD22" s="2233"/>
      <c r="AE22" s="2233"/>
      <c r="AF22" s="2233"/>
      <c r="AG22" s="2233"/>
    </row>
    <row r="23" spans="1:33" ht="49.5" customHeight="1">
      <c r="A23" s="1091" t="s">
        <v>7</v>
      </c>
      <c r="B23" s="2226" t="s">
        <v>1014</v>
      </c>
      <c r="C23" s="2227"/>
      <c r="D23" s="2227"/>
      <c r="E23" s="2228"/>
      <c r="F23" s="1094" t="s">
        <v>1015</v>
      </c>
      <c r="G23" s="1094" t="s">
        <v>1424</v>
      </c>
      <c r="H23" s="1618" t="s">
        <v>1412</v>
      </c>
      <c r="I23" s="2240" t="s">
        <v>1016</v>
      </c>
      <c r="J23" s="2242"/>
      <c r="K23" s="2240" t="s">
        <v>1017</v>
      </c>
      <c r="L23" s="2242"/>
      <c r="M23" s="1025"/>
      <c r="N23" s="1026"/>
      <c r="O23" s="1026"/>
      <c r="P23" s="1027"/>
      <c r="Q23" s="2240" t="s">
        <v>1016</v>
      </c>
      <c r="R23" s="2242"/>
      <c r="S23" s="2240" t="s">
        <v>1017</v>
      </c>
      <c r="T23" s="2242"/>
      <c r="U23" s="1025"/>
      <c r="V23" s="1026"/>
      <c r="W23" s="1026"/>
      <c r="X23" s="1027"/>
      <c r="Y23" s="2240" t="s">
        <v>1016</v>
      </c>
      <c r="Z23" s="2242"/>
      <c r="AA23" s="2240" t="s">
        <v>1017</v>
      </c>
      <c r="AB23" s="2242"/>
      <c r="AC23" s="1025"/>
      <c r="AD23" s="1026"/>
      <c r="AE23" s="1026"/>
      <c r="AF23" s="1027"/>
      <c r="AG23" s="10"/>
    </row>
    <row r="24" spans="1:33" ht="49.5" customHeight="1">
      <c r="A24" s="1091">
        <v>1</v>
      </c>
      <c r="B24" s="2226" t="s">
        <v>1018</v>
      </c>
      <c r="C24" s="2227"/>
      <c r="D24" s="2227"/>
      <c r="E24" s="2228"/>
      <c r="F24" s="1095" t="s">
        <v>1019</v>
      </c>
      <c r="G24" s="1000" t="str">
        <f>'XM.FILE GOC'!$E$91</f>
        <v>65~75</v>
      </c>
      <c r="H24" s="1000" t="str">
        <f>'XM.FILE GOC'!$F$91</f>
        <v>(70±3)</v>
      </c>
      <c r="I24" s="2088">
        <f>'XM.GUI MAIL'!I91</f>
        <v>0</v>
      </c>
      <c r="J24" s="2089"/>
      <c r="K24" s="2088">
        <f>'XM.FILE GOC'!L91</f>
        <v>0</v>
      </c>
      <c r="L24" s="2089"/>
      <c r="M24" s="1028"/>
      <c r="N24" s="1029"/>
      <c r="O24" s="1029"/>
      <c r="P24" s="1030"/>
      <c r="Q24" s="2088">
        <f>'XM.GUI MAIL'!O91</f>
        <v>0</v>
      </c>
      <c r="R24" s="2089"/>
      <c r="S24" s="2088">
        <f>'XM.FILE GOC'!R91</f>
        <v>0</v>
      </c>
      <c r="T24" s="2089"/>
      <c r="U24" s="1028"/>
      <c r="V24" s="1029"/>
      <c r="W24" s="1029"/>
      <c r="X24" s="1030"/>
      <c r="Y24" s="2088">
        <f>'XM.GUI MAIL'!U91</f>
        <v>0</v>
      </c>
      <c r="Z24" s="2089"/>
      <c r="AA24" s="2088">
        <f>'XM.FILE GOC'!X91</f>
        <v>0</v>
      </c>
      <c r="AB24" s="2089"/>
      <c r="AC24" s="1028"/>
      <c r="AD24" s="1029"/>
      <c r="AE24" s="1029"/>
      <c r="AF24" s="1030"/>
      <c r="AG24" s="86"/>
    </row>
    <row r="25" spans="1:33" ht="49.5" customHeight="1">
      <c r="A25" s="1091">
        <v>2</v>
      </c>
      <c r="B25" s="2226" t="s">
        <v>1020</v>
      </c>
      <c r="C25" s="2227"/>
      <c r="D25" s="2227"/>
      <c r="E25" s="2228"/>
      <c r="F25" s="1095" t="s">
        <v>1019</v>
      </c>
      <c r="G25" s="1000" t="str">
        <f>'XM.FILE GOC'!$E$92</f>
        <v>65~75</v>
      </c>
      <c r="H25" s="1000" t="str">
        <f>'XM.FILE GOC'!$F$92</f>
        <v>(70±3)</v>
      </c>
      <c r="I25" s="2088">
        <f>'XM.GUI MAIL'!I92</f>
        <v>0</v>
      </c>
      <c r="J25" s="2089"/>
      <c r="K25" s="2088">
        <f>'XM.FILE GOC'!L92</f>
        <v>0</v>
      </c>
      <c r="L25" s="2089"/>
      <c r="M25" s="1028"/>
      <c r="N25" s="1029"/>
      <c r="O25" s="1029"/>
      <c r="P25" s="1030"/>
      <c r="Q25" s="2088">
        <f>'XM.GUI MAIL'!O92</f>
        <v>0</v>
      </c>
      <c r="R25" s="2089"/>
      <c r="S25" s="2088">
        <f>'XM.FILE GOC'!R92</f>
        <v>0</v>
      </c>
      <c r="T25" s="2089"/>
      <c r="U25" s="1028"/>
      <c r="V25" s="1029"/>
      <c r="W25" s="1029"/>
      <c r="X25" s="1030"/>
      <c r="Y25" s="2088">
        <f>'XM.GUI MAIL'!U92</f>
        <v>0</v>
      </c>
      <c r="Z25" s="2089"/>
      <c r="AA25" s="2088">
        <f>'XM.FILE GOC'!X92</f>
        <v>0</v>
      </c>
      <c r="AB25" s="2089"/>
      <c r="AC25" s="1028"/>
      <c r="AD25" s="1029"/>
      <c r="AE25" s="1029"/>
      <c r="AF25" s="1030"/>
      <c r="AG25" s="86"/>
    </row>
    <row r="26" spans="1:33" ht="49.5" customHeight="1">
      <c r="A26" s="1590">
        <v>3</v>
      </c>
      <c r="B26" s="2226" t="s">
        <v>1021</v>
      </c>
      <c r="C26" s="2227"/>
      <c r="D26" s="2227"/>
      <c r="E26" s="2228"/>
      <c r="F26" s="1095" t="s">
        <v>1019</v>
      </c>
      <c r="G26" s="1000" t="str">
        <f>'XM.FILE GOC'!$E$93</f>
        <v>60~70</v>
      </c>
      <c r="H26" s="1000" t="str">
        <f>'XM.FILE GOC'!$F$93</f>
        <v>(65±3)</v>
      </c>
      <c r="I26" s="2088">
        <f>'XM.GUI MAIL'!I93</f>
        <v>0</v>
      </c>
      <c r="J26" s="2089"/>
      <c r="K26" s="2088">
        <f>'XM.FILE GOC'!L93</f>
        <v>0</v>
      </c>
      <c r="L26" s="2089"/>
      <c r="M26" s="1028"/>
      <c r="N26" s="1029"/>
      <c r="O26" s="1029"/>
      <c r="P26" s="1030"/>
      <c r="Q26" s="2088">
        <f>'XM.GUI MAIL'!O93</f>
        <v>0</v>
      </c>
      <c r="R26" s="2089"/>
      <c r="S26" s="2088">
        <f>'XM.FILE GOC'!R93</f>
        <v>0</v>
      </c>
      <c r="T26" s="2089"/>
      <c r="U26" s="1028"/>
      <c r="V26" s="1029"/>
      <c r="W26" s="1029"/>
      <c r="X26" s="1030"/>
      <c r="Y26" s="2088">
        <f>'XM.GUI MAIL'!U93</f>
        <v>0</v>
      </c>
      <c r="Z26" s="2089"/>
      <c r="AA26" s="2088">
        <f>'XM.FILE GOC'!X93</f>
        <v>0</v>
      </c>
      <c r="AB26" s="2089"/>
      <c r="AC26" s="1028"/>
      <c r="AD26" s="1029"/>
      <c r="AE26" s="1029"/>
      <c r="AF26" s="1030"/>
      <c r="AG26" s="86"/>
    </row>
    <row r="27" spans="1:33" ht="49.5" customHeight="1">
      <c r="A27" s="1590">
        <v>4</v>
      </c>
      <c r="B27" s="2226" t="s">
        <v>1022</v>
      </c>
      <c r="C27" s="2227"/>
      <c r="D27" s="2227"/>
      <c r="E27" s="2228"/>
      <c r="F27" s="1095" t="s">
        <v>1019</v>
      </c>
      <c r="G27" s="1000" t="str">
        <f>'XM.FILE GOC'!$E$94</f>
        <v>60~70</v>
      </c>
      <c r="H27" s="1000" t="str">
        <f>'XM.FILE GOC'!$F$94</f>
        <v>(65±3)</v>
      </c>
      <c r="I27" s="2088">
        <f>'XM.GUI MAIL'!I94</f>
        <v>0</v>
      </c>
      <c r="J27" s="2089"/>
      <c r="K27" s="2088">
        <f>'XM.FILE GOC'!L94</f>
        <v>0</v>
      </c>
      <c r="L27" s="2089"/>
      <c r="M27" s="1028"/>
      <c r="N27" s="1029"/>
      <c r="O27" s="1029"/>
      <c r="P27" s="1030"/>
      <c r="Q27" s="2088">
        <f>'XM.GUI MAIL'!O94</f>
        <v>0</v>
      </c>
      <c r="R27" s="2089"/>
      <c r="S27" s="2088">
        <f>'XM.FILE GOC'!R94</f>
        <v>0</v>
      </c>
      <c r="T27" s="2089"/>
      <c r="U27" s="1028"/>
      <c r="V27" s="1029"/>
      <c r="W27" s="1029"/>
      <c r="X27" s="1030"/>
      <c r="Y27" s="2088">
        <f>'XM.GUI MAIL'!U94</f>
        <v>0</v>
      </c>
      <c r="Z27" s="2089"/>
      <c r="AA27" s="2088">
        <f>'XM.FILE GOC'!X94</f>
        <v>0</v>
      </c>
      <c r="AB27" s="2089"/>
      <c r="AC27" s="1028"/>
      <c r="AD27" s="1029"/>
      <c r="AE27" s="1029"/>
      <c r="AF27" s="1030"/>
      <c r="AG27" s="86"/>
    </row>
    <row r="28" spans="1:33" ht="49.5" customHeight="1">
      <c r="A28" s="1598">
        <v>5</v>
      </c>
      <c r="B28" s="2226" t="s">
        <v>1023</v>
      </c>
      <c r="C28" s="2227"/>
      <c r="D28" s="2227"/>
      <c r="E28" s="2228"/>
      <c r="F28" s="1095" t="s">
        <v>1019</v>
      </c>
      <c r="G28" s="1000" t="str">
        <f>'XM.FILE GOC'!$E$95</f>
        <v>24~26</v>
      </c>
      <c r="H28" s="1000" t="str">
        <f>'XM.FILE GOC'!$F$95</f>
        <v>(25)</v>
      </c>
      <c r="I28" s="2119">
        <f>'XM.GUI MAIL'!I95</f>
        <v>0</v>
      </c>
      <c r="J28" s="2120"/>
      <c r="K28" s="2119">
        <f>'XM.FILE GOC'!L95</f>
        <v>0</v>
      </c>
      <c r="L28" s="2120"/>
      <c r="M28" s="1028"/>
      <c r="N28" s="1029"/>
      <c r="O28" s="1029"/>
      <c r="P28" s="1030"/>
      <c r="Q28" s="2119">
        <f>'XM.GUI MAIL'!O95</f>
        <v>0</v>
      </c>
      <c r="R28" s="2120"/>
      <c r="S28" s="2119">
        <f>'XM.FILE GOC'!R95</f>
        <v>0</v>
      </c>
      <c r="T28" s="2120"/>
      <c r="U28" s="1028"/>
      <c r="V28" s="1029"/>
      <c r="W28" s="1029"/>
      <c r="X28" s="1030"/>
      <c r="Y28" s="2119">
        <f>'XM.GUI MAIL'!U95</f>
        <v>0</v>
      </c>
      <c r="Z28" s="2120"/>
      <c r="AA28" s="2119">
        <f>'XM.FILE GOC'!X95</f>
        <v>0</v>
      </c>
      <c r="AB28" s="2120"/>
      <c r="AC28" s="1028"/>
      <c r="AD28" s="1029"/>
      <c r="AE28" s="1029"/>
      <c r="AF28" s="1030"/>
      <c r="AG28" s="86"/>
    </row>
    <row r="29" spans="1:33" ht="49.5" customHeight="1">
      <c r="A29" s="1598">
        <v>6</v>
      </c>
      <c r="B29" s="2226" t="s">
        <v>1024</v>
      </c>
      <c r="C29" s="2227"/>
      <c r="D29" s="2227"/>
      <c r="E29" s="2228"/>
      <c r="F29" s="1095" t="s">
        <v>1019</v>
      </c>
      <c r="G29" s="1519" t="str">
        <f>'XM.FILE GOC'!$E$102</f>
        <v>35~45</v>
      </c>
      <c r="H29" s="1519" t="str">
        <f>'XM.FILE GOC'!$F$102</f>
        <v>(40±3)</v>
      </c>
      <c r="I29" s="2099"/>
      <c r="J29" s="2100"/>
      <c r="K29" s="2099"/>
      <c r="L29" s="2100"/>
      <c r="M29" s="1028"/>
      <c r="N29" s="1029"/>
      <c r="O29" s="1029"/>
      <c r="P29" s="1030"/>
      <c r="Q29" s="2099"/>
      <c r="R29" s="2100"/>
      <c r="S29" s="2099"/>
      <c r="T29" s="2100"/>
      <c r="U29" s="1028"/>
      <c r="V29" s="1029"/>
      <c r="W29" s="1029"/>
      <c r="X29" s="1030"/>
      <c r="Y29" s="2099"/>
      <c r="Z29" s="2100"/>
      <c r="AA29" s="2099"/>
      <c r="AB29" s="2100"/>
      <c r="AC29" s="1028"/>
      <c r="AD29" s="1029"/>
      <c r="AE29" s="1029"/>
      <c r="AF29" s="1030"/>
      <c r="AG29" s="86"/>
    </row>
    <row r="30" spans="1:33" ht="49.5" customHeight="1">
      <c r="A30" s="1598">
        <v>7</v>
      </c>
      <c r="B30" s="2226" t="s">
        <v>1025</v>
      </c>
      <c r="C30" s="2227"/>
      <c r="D30" s="2227"/>
      <c r="E30" s="2228"/>
      <c r="F30" s="1095" t="s">
        <v>1019</v>
      </c>
      <c r="G30" s="1000" t="str">
        <f>'XM.FILE GOC'!$E$97</f>
        <v>55~65</v>
      </c>
      <c r="H30" s="1000" t="str">
        <f>'XM.FILE GOC'!$F$97</f>
        <v>(60±3)</v>
      </c>
      <c r="I30" s="2088">
        <f>'XM.GUI MAIL'!I97</f>
        <v>0</v>
      </c>
      <c r="J30" s="2089"/>
      <c r="K30" s="2088">
        <f>'XM.FILE GOC'!L97</f>
        <v>0</v>
      </c>
      <c r="L30" s="2089"/>
      <c r="M30" s="1028"/>
      <c r="N30" s="1029"/>
      <c r="O30" s="1029"/>
      <c r="P30" s="1030"/>
      <c r="Q30" s="2088">
        <f>'XM.GUI MAIL'!O97</f>
        <v>0</v>
      </c>
      <c r="R30" s="2089"/>
      <c r="S30" s="2088">
        <f>'XM.FILE GOC'!R97</f>
        <v>0</v>
      </c>
      <c r="T30" s="2089"/>
      <c r="U30" s="1028"/>
      <c r="V30" s="1029"/>
      <c r="W30" s="1029"/>
      <c r="X30" s="1030"/>
      <c r="Y30" s="2088">
        <f>'XM.GUI MAIL'!U97</f>
        <v>0</v>
      </c>
      <c r="Z30" s="2089"/>
      <c r="AA30" s="2088">
        <f>'XM.FILE GOC'!X97</f>
        <v>0</v>
      </c>
      <c r="AB30" s="2089"/>
      <c r="AC30" s="1028"/>
      <c r="AD30" s="1029"/>
      <c r="AE30" s="1029"/>
      <c r="AF30" s="1030"/>
      <c r="AG30" s="86"/>
    </row>
    <row r="31" spans="1:33" ht="49.5" customHeight="1">
      <c r="A31" s="1598">
        <v>8</v>
      </c>
      <c r="B31" s="2226" t="s">
        <v>1026</v>
      </c>
      <c r="C31" s="2227"/>
      <c r="D31" s="2227"/>
      <c r="E31" s="2228"/>
      <c r="F31" s="1095" t="s">
        <v>1019</v>
      </c>
      <c r="G31" s="1000" t="str">
        <f>'XM.FILE GOC'!$E$98</f>
        <v>65~75</v>
      </c>
      <c r="H31" s="1000" t="str">
        <f>'XM.FILE GOC'!$F$98</f>
        <v>(70±3)</v>
      </c>
      <c r="I31" s="2229" t="s">
        <v>50</v>
      </c>
      <c r="J31" s="2230"/>
      <c r="K31" s="2088">
        <f>'XM.FILE GOC'!L98</f>
        <v>0</v>
      </c>
      <c r="L31" s="2089"/>
      <c r="M31" s="1028"/>
      <c r="N31" s="1029"/>
      <c r="O31" s="1029"/>
      <c r="P31" s="1030"/>
      <c r="Q31" s="2229" t="s">
        <v>50</v>
      </c>
      <c r="R31" s="2230"/>
      <c r="S31" s="2088">
        <f>'XM.FILE GOC'!R98</f>
        <v>0</v>
      </c>
      <c r="T31" s="2089"/>
      <c r="U31" s="1028"/>
      <c r="V31" s="1029"/>
      <c r="W31" s="1029"/>
      <c r="X31" s="1030"/>
      <c r="Y31" s="2229" t="s">
        <v>50</v>
      </c>
      <c r="Z31" s="2230"/>
      <c r="AA31" s="2088">
        <f>'XM.FILE GOC'!X98</f>
        <v>0</v>
      </c>
      <c r="AB31" s="2089"/>
      <c r="AC31" s="1028"/>
      <c r="AD31" s="1029"/>
      <c r="AE31" s="1029"/>
      <c r="AF31" s="1030"/>
      <c r="AG31" s="86"/>
    </row>
    <row r="32" spans="1:33" ht="49.5" customHeight="1">
      <c r="A32" s="1598">
        <v>9</v>
      </c>
      <c r="B32" s="2220" t="s">
        <v>1394</v>
      </c>
      <c r="C32" s="2221"/>
      <c r="D32" s="2221"/>
      <c r="E32" s="2222"/>
      <c r="F32" s="1095" t="s">
        <v>1019</v>
      </c>
      <c r="G32" s="1000" t="str">
        <f>'XM.FILE GOC'!$E$99</f>
        <v>40~60</v>
      </c>
      <c r="H32" s="1000" t="str">
        <f>'XM.FILE GOC'!$F$99</f>
        <v>(50±10)</v>
      </c>
      <c r="I32" s="2223">
        <f>'XM.FILE GOC'!I99</f>
        <v>0</v>
      </c>
      <c r="J32" s="2224"/>
      <c r="K32" s="2223">
        <f>'XM.FILE GOC'!L99</f>
        <v>0</v>
      </c>
      <c r="L32" s="2224"/>
      <c r="M32" s="1028"/>
      <c r="N32" s="1029"/>
      <c r="O32" s="1029"/>
      <c r="P32" s="1030"/>
      <c r="Q32" s="2223">
        <f>'XM.FILE GOC'!O99</f>
        <v>0</v>
      </c>
      <c r="R32" s="2224"/>
      <c r="S32" s="2223">
        <f>'XM.FILE GOC'!R99</f>
        <v>0</v>
      </c>
      <c r="T32" s="2224"/>
      <c r="U32" s="1028"/>
      <c r="V32" s="1029"/>
      <c r="W32" s="1029"/>
      <c r="X32" s="1030"/>
      <c r="Y32" s="2223">
        <f>'XM.FILE GOC'!U99</f>
        <v>0</v>
      </c>
      <c r="Z32" s="2224"/>
      <c r="AA32" s="2223">
        <f>'XM.FILE GOC'!X99</f>
        <v>0</v>
      </c>
      <c r="AB32" s="2225"/>
      <c r="AC32" s="1028"/>
      <c r="AD32" s="1029"/>
      <c r="AE32" s="1029"/>
      <c r="AF32" s="1030"/>
      <c r="AG32" s="1599"/>
    </row>
    <row r="33" spans="1:33" ht="49.5" customHeight="1">
      <c r="A33" s="1598">
        <v>10</v>
      </c>
      <c r="B33" s="2220" t="s">
        <v>1397</v>
      </c>
      <c r="C33" s="2221"/>
      <c r="D33" s="2221"/>
      <c r="E33" s="2222"/>
      <c r="F33" s="1095" t="s">
        <v>1019</v>
      </c>
      <c r="G33" s="1000" t="str">
        <f>'XM.FILE GOC'!$E$100</f>
        <v>50~70</v>
      </c>
      <c r="H33" s="1000" t="str">
        <f>'XM.FILE GOC'!$F$100</f>
        <v>(60±5)</v>
      </c>
      <c r="I33" s="2223">
        <f>'XM.FILE GOC'!I100</f>
        <v>0</v>
      </c>
      <c r="J33" s="2224"/>
      <c r="K33" s="2223">
        <f>'XM.FILE GOC'!L100</f>
        <v>0</v>
      </c>
      <c r="L33" s="2224"/>
      <c r="M33" s="1028"/>
      <c r="N33" s="1029"/>
      <c r="O33" s="1029"/>
      <c r="P33" s="1030"/>
      <c r="Q33" s="2223">
        <f>'XM.FILE GOC'!O100</f>
        <v>0</v>
      </c>
      <c r="R33" s="2224"/>
      <c r="S33" s="2223">
        <f>'XM.FILE GOC'!R100</f>
        <v>0</v>
      </c>
      <c r="T33" s="2224"/>
      <c r="U33" s="1028"/>
      <c r="V33" s="1029"/>
      <c r="W33" s="1029"/>
      <c r="X33" s="1030"/>
      <c r="Y33" s="2223">
        <f>'XM.FILE GOC'!U100</f>
        <v>0</v>
      </c>
      <c r="Z33" s="2224"/>
      <c r="AA33" s="2223">
        <f>'XM.FILE GOC'!X100</f>
        <v>0</v>
      </c>
      <c r="AB33" s="2224"/>
      <c r="AC33" s="1028"/>
      <c r="AD33" s="1029"/>
      <c r="AE33" s="1029"/>
      <c r="AF33" s="1030"/>
      <c r="AG33" s="1599"/>
    </row>
    <row r="34" spans="1:33" ht="45.75" customHeight="1">
      <c r="A34" s="1091"/>
      <c r="B34" s="2233" t="s">
        <v>1428</v>
      </c>
      <c r="C34" s="2233"/>
      <c r="D34" s="2233"/>
      <c r="E34" s="2233"/>
      <c r="F34" s="2233"/>
      <c r="G34" s="2233"/>
      <c r="H34" s="2233"/>
      <c r="I34" s="2233"/>
      <c r="J34" s="2233"/>
      <c r="K34" s="2233"/>
      <c r="L34" s="2233"/>
      <c r="M34" s="2233"/>
      <c r="N34" s="2233"/>
      <c r="O34" s="2233"/>
      <c r="P34" s="2233"/>
      <c r="Q34" s="2233"/>
      <c r="R34" s="2233"/>
      <c r="S34" s="2233"/>
      <c r="T34" s="2233"/>
      <c r="U34" s="2233"/>
      <c r="V34" s="2233"/>
      <c r="W34" s="2233"/>
      <c r="X34" s="2233"/>
      <c r="Y34" s="2233"/>
      <c r="Z34" s="2233"/>
      <c r="AA34" s="2233"/>
      <c r="AB34" s="2233"/>
      <c r="AC34" s="2233"/>
      <c r="AD34" s="2233"/>
      <c r="AE34" s="2233"/>
      <c r="AF34" s="2233"/>
      <c r="AG34" s="2233"/>
    </row>
    <row r="35" spans="1:33" ht="49.5" customHeight="1">
      <c r="A35" s="1091" t="s">
        <v>7</v>
      </c>
      <c r="B35" s="2226" t="s">
        <v>1027</v>
      </c>
      <c r="C35" s="2227"/>
      <c r="D35" s="2227"/>
      <c r="E35" s="2228"/>
      <c r="F35" s="1094" t="s">
        <v>780</v>
      </c>
      <c r="G35" s="1094" t="s">
        <v>1424</v>
      </c>
      <c r="H35" s="1618" t="s">
        <v>1412</v>
      </c>
      <c r="I35" s="2240" t="s">
        <v>1028</v>
      </c>
      <c r="J35" s="2241"/>
      <c r="K35" s="2241"/>
      <c r="L35" s="2242"/>
      <c r="M35" s="1482"/>
      <c r="N35" s="1483"/>
      <c r="O35" s="1483"/>
      <c r="P35" s="1484"/>
      <c r="Q35" s="2240" t="s">
        <v>1028</v>
      </c>
      <c r="R35" s="2241"/>
      <c r="S35" s="2241"/>
      <c r="T35" s="2242"/>
      <c r="U35" s="1482"/>
      <c r="V35" s="1483"/>
      <c r="W35" s="1483"/>
      <c r="X35" s="1484"/>
      <c r="Y35" s="2240" t="s">
        <v>1028</v>
      </c>
      <c r="Z35" s="2241"/>
      <c r="AA35" s="2241"/>
      <c r="AB35" s="2242"/>
      <c r="AC35" s="1025"/>
      <c r="AD35" s="1026"/>
      <c r="AE35" s="1026"/>
      <c r="AF35" s="1027"/>
      <c r="AG35" s="10"/>
    </row>
    <row r="36" spans="1:33" ht="49.5" customHeight="1">
      <c r="A36" s="1091">
        <v>1</v>
      </c>
      <c r="B36" s="2234" t="s">
        <v>1193</v>
      </c>
      <c r="C36" s="2235"/>
      <c r="D36" s="2235"/>
      <c r="E36" s="2236"/>
      <c r="F36" s="706" t="s">
        <v>51</v>
      </c>
      <c r="G36" s="1000" t="str">
        <f>'XM.FILE GOC'!$E$107</f>
        <v>30~50 
(40)</v>
      </c>
      <c r="H36" s="1000" t="str">
        <f>'XM.FILE GOC'!$F$107</f>
        <v>30~50 
(40)</v>
      </c>
      <c r="I36" s="2091">
        <f>'XM.GUI MAIL'!I107</f>
        <v>0</v>
      </c>
      <c r="J36" s="2092"/>
      <c r="K36" s="2092"/>
      <c r="L36" s="2092"/>
      <c r="M36" s="1488"/>
      <c r="N36" s="1489"/>
      <c r="O36" s="1489"/>
      <c r="P36" s="1490"/>
      <c r="Q36" s="2091">
        <f>'XM.GUI MAIL'!O107</f>
        <v>0</v>
      </c>
      <c r="R36" s="2092"/>
      <c r="S36" s="2092"/>
      <c r="T36" s="2092"/>
      <c r="U36" s="1488"/>
      <c r="V36" s="1489"/>
      <c r="W36" s="1489"/>
      <c r="X36" s="1490"/>
      <c r="Y36" s="2091">
        <f>'XM.GUI MAIL'!U107</f>
        <v>0</v>
      </c>
      <c r="Z36" s="2092"/>
      <c r="AA36" s="2092"/>
      <c r="AB36" s="2093"/>
      <c r="AC36" s="1034"/>
      <c r="AD36" s="1007"/>
      <c r="AE36" s="1007"/>
      <c r="AF36" s="1035"/>
      <c r="AG36" s="86"/>
    </row>
    <row r="37" spans="1:33" ht="49.5" customHeight="1">
      <c r="A37" s="1091">
        <v>2</v>
      </c>
      <c r="B37" s="2234" t="s">
        <v>253</v>
      </c>
      <c r="C37" s="2235"/>
      <c r="D37" s="2235"/>
      <c r="E37" s="2236"/>
      <c r="F37" s="706" t="s">
        <v>51</v>
      </c>
      <c r="G37" s="1000" t="str">
        <f>'XM.FILE GOC'!$E$108</f>
        <v>160~220
(180)</v>
      </c>
      <c r="H37" s="1000" t="str">
        <f>'XM.FILE GOC'!$F$108</f>
        <v>160~220
(180)</v>
      </c>
      <c r="I37" s="2091">
        <f>'XM.GUI MAIL'!I108</f>
        <v>0</v>
      </c>
      <c r="J37" s="2092"/>
      <c r="K37" s="2092"/>
      <c r="L37" s="2092"/>
      <c r="M37" s="1485"/>
      <c r="N37" s="1486"/>
      <c r="O37" s="1486"/>
      <c r="P37" s="1487"/>
      <c r="Q37" s="2091">
        <f>'XM.GUI MAIL'!O108</f>
        <v>0</v>
      </c>
      <c r="R37" s="2092"/>
      <c r="S37" s="2092"/>
      <c r="T37" s="2092"/>
      <c r="U37" s="1485"/>
      <c r="V37" s="1486"/>
      <c r="W37" s="1486"/>
      <c r="X37" s="1487"/>
      <c r="Y37" s="2091">
        <f>'XM.GUI MAIL'!U108</f>
        <v>0</v>
      </c>
      <c r="Z37" s="2092"/>
      <c r="AA37" s="2092"/>
      <c r="AB37" s="2093"/>
      <c r="AC37" s="1036"/>
      <c r="AD37" s="1037"/>
      <c r="AE37" s="1037"/>
      <c r="AF37" s="1038"/>
      <c r="AG37" s="86"/>
    </row>
    <row r="38" spans="1:33" ht="27.75" customHeight="1">
      <c r="A38" s="1096"/>
      <c r="B38" s="1001"/>
      <c r="C38" s="1001"/>
      <c r="D38" s="1001"/>
      <c r="E38" s="1001"/>
      <c r="F38" s="1097"/>
      <c r="G38" s="1097"/>
      <c r="H38" s="1097"/>
      <c r="I38" s="1097"/>
      <c r="J38" s="1097"/>
      <c r="K38" s="1097"/>
      <c r="L38" s="1097"/>
      <c r="M38" s="1053"/>
      <c r="N38" s="1053"/>
      <c r="O38" s="1053"/>
      <c r="P38" s="1053"/>
      <c r="Q38" s="1097"/>
      <c r="R38" s="1097"/>
      <c r="S38" s="1097"/>
      <c r="T38" s="1097"/>
      <c r="U38" s="1053"/>
      <c r="V38" s="1053"/>
      <c r="W38" s="1053"/>
      <c r="X38" s="1053"/>
      <c r="Y38" s="1097"/>
      <c r="Z38" s="1097"/>
      <c r="AA38" s="1097"/>
      <c r="AB38" s="1097"/>
      <c r="AC38" s="1053"/>
      <c r="AD38" s="1053"/>
      <c r="AE38" s="1053"/>
      <c r="AF38" s="1053"/>
      <c r="AG38" s="71"/>
    </row>
    <row r="39" spans="1:33" ht="42" customHeight="1">
      <c r="A39" s="2231" t="s">
        <v>151</v>
      </c>
      <c r="B39" s="2231"/>
      <c r="C39" s="2231"/>
      <c r="D39" s="2231"/>
      <c r="E39" s="2231"/>
      <c r="F39" s="2231"/>
      <c r="G39" s="2231"/>
      <c r="H39" s="2231"/>
      <c r="I39" s="2231"/>
      <c r="J39" s="2231"/>
      <c r="K39" s="2231"/>
      <c r="L39" s="2231"/>
      <c r="M39" s="2231"/>
      <c r="N39" s="2231"/>
      <c r="O39" s="2231"/>
      <c r="P39" s="2231"/>
      <c r="Q39" s="2231"/>
      <c r="R39" s="2231"/>
      <c r="S39" s="2231"/>
      <c r="T39" s="2231"/>
      <c r="U39" s="2231"/>
      <c r="V39" s="2231"/>
      <c r="W39" s="2231"/>
      <c r="X39" s="2231"/>
      <c r="Y39" s="2231"/>
      <c r="Z39" s="2231"/>
      <c r="AA39" s="1101"/>
      <c r="AB39" s="1101"/>
      <c r="AC39" s="1055"/>
      <c r="AD39" s="1055"/>
      <c r="AE39" s="1055"/>
      <c r="AF39" s="1055"/>
      <c r="AG39" s="70"/>
    </row>
    <row r="40" spans="1:33" ht="51" customHeight="1">
      <c r="A40" s="2232" t="s">
        <v>152</v>
      </c>
      <c r="B40" s="2232"/>
      <c r="C40" s="2232"/>
      <c r="D40" s="2232"/>
      <c r="E40" s="2232"/>
      <c r="F40" s="2232"/>
      <c r="G40" s="2232"/>
      <c r="H40" s="2232"/>
      <c r="I40" s="2232"/>
      <c r="J40" s="2232"/>
      <c r="K40" s="2232"/>
      <c r="L40" s="2232"/>
      <c r="M40" s="2232"/>
      <c r="N40" s="2232"/>
      <c r="O40" s="2232"/>
      <c r="P40" s="2232"/>
      <c r="Q40" s="2232"/>
      <c r="R40" s="2232"/>
      <c r="S40" s="2232"/>
      <c r="T40" s="2232"/>
      <c r="U40" s="2232"/>
      <c r="V40" s="2232"/>
      <c r="W40" s="2232"/>
      <c r="X40" s="2232"/>
      <c r="Y40" s="2232"/>
      <c r="Z40" s="2232"/>
      <c r="AA40" s="2213"/>
      <c r="AB40" s="2213"/>
      <c r="AC40" s="1049"/>
      <c r="AD40" s="2188" t="s">
        <v>96</v>
      </c>
      <c r="AE40" s="2188"/>
      <c r="AF40" s="2162" t="s">
        <v>97</v>
      </c>
      <c r="AG40" s="2165"/>
    </row>
    <row r="41" spans="1:33" ht="40.5" customHeight="1">
      <c r="A41" s="1085"/>
      <c r="B41" s="1701" t="s">
        <v>143</v>
      </c>
      <c r="C41" s="1702"/>
      <c r="D41" s="1641"/>
      <c r="E41" s="1642"/>
      <c r="F41" s="1643"/>
      <c r="G41" s="1638"/>
      <c r="H41" s="1639"/>
      <c r="I41" s="1640" t="str">
        <f>'1. XL-1E kh'!$G$3</f>
        <v>2023/03/21</v>
      </c>
      <c r="J41" s="1644"/>
      <c r="K41" s="1644"/>
      <c r="L41" s="1087"/>
      <c r="M41" s="1052"/>
      <c r="N41" s="1052"/>
      <c r="O41" s="1052"/>
      <c r="P41" s="1052"/>
      <c r="Q41" s="1087"/>
      <c r="R41" s="1087"/>
      <c r="S41" s="1087"/>
      <c r="T41" s="1087"/>
      <c r="U41" s="1052"/>
      <c r="V41" s="1052"/>
      <c r="W41" s="1052"/>
      <c r="X41" s="1052"/>
      <c r="Y41" s="1087"/>
      <c r="Z41" s="1087"/>
      <c r="AA41" s="2210"/>
      <c r="AB41" s="2210"/>
      <c r="AC41" s="1050"/>
      <c r="AD41" s="2196" t="str">
        <f>MENU!AD7</f>
        <v>L.Yen</v>
      </c>
      <c r="AE41" s="2196"/>
      <c r="AF41" s="2218" t="s">
        <v>11</v>
      </c>
      <c r="AG41" s="2198"/>
    </row>
    <row r="42" spans="1:33" s="71" customFormat="1" ht="36.75" customHeight="1">
      <c r="A42" s="2264" t="s">
        <v>7</v>
      </c>
      <c r="B42" s="2148" t="s">
        <v>79</v>
      </c>
      <c r="C42" s="2149"/>
      <c r="D42" s="2149"/>
      <c r="E42" s="2150"/>
      <c r="F42" s="2191" t="s">
        <v>136</v>
      </c>
      <c r="G42" s="2125" t="s">
        <v>1424</v>
      </c>
      <c r="H42" s="2173" t="s">
        <v>1412</v>
      </c>
      <c r="I42" s="2131">
        <v>0.76041666666666663</v>
      </c>
      <c r="J42" s="2132"/>
      <c r="K42" s="2132"/>
      <c r="L42" s="2133"/>
      <c r="M42" s="2155" t="s">
        <v>998</v>
      </c>
      <c r="N42" s="2156"/>
      <c r="O42" s="2156"/>
      <c r="P42" s="2157"/>
      <c r="Q42" s="2131">
        <v>0.92708333333333337</v>
      </c>
      <c r="R42" s="2132"/>
      <c r="S42" s="2132"/>
      <c r="T42" s="2133"/>
      <c r="U42" s="2155" t="s">
        <v>998</v>
      </c>
      <c r="V42" s="2156"/>
      <c r="W42" s="2156"/>
      <c r="X42" s="2157"/>
      <c r="Y42" s="2211">
        <v>9.375E-2</v>
      </c>
      <c r="Z42" s="2191"/>
      <c r="AA42" s="2191"/>
      <c r="AB42" s="2191"/>
      <c r="AC42" s="2155" t="s">
        <v>998</v>
      </c>
      <c r="AD42" s="2156"/>
      <c r="AE42" s="2156"/>
      <c r="AF42" s="2157"/>
      <c r="AG42" s="2208" t="s">
        <v>41</v>
      </c>
    </row>
    <row r="43" spans="1:33" s="71" customFormat="1" ht="48.75" customHeight="1">
      <c r="A43" s="2264"/>
      <c r="B43" s="2151"/>
      <c r="C43" s="2152"/>
      <c r="D43" s="2152"/>
      <c r="E43" s="2153"/>
      <c r="F43" s="2192"/>
      <c r="G43" s="2126"/>
      <c r="H43" s="2174"/>
      <c r="I43" s="1062" t="s">
        <v>145</v>
      </c>
      <c r="J43" s="2137" t="s">
        <v>1</v>
      </c>
      <c r="K43" s="2138"/>
      <c r="L43" s="2139"/>
      <c r="M43" s="1009" t="s">
        <v>145</v>
      </c>
      <c r="N43" s="2158" t="s">
        <v>1</v>
      </c>
      <c r="O43" s="2158"/>
      <c r="P43" s="2159"/>
      <c r="Q43" s="1062" t="s">
        <v>145</v>
      </c>
      <c r="R43" s="2137" t="s">
        <v>1</v>
      </c>
      <c r="S43" s="2138"/>
      <c r="T43" s="2139"/>
      <c r="U43" s="1009" t="s">
        <v>145</v>
      </c>
      <c r="V43" s="2158" t="s">
        <v>1</v>
      </c>
      <c r="W43" s="2158"/>
      <c r="X43" s="2159"/>
      <c r="Y43" s="1062" t="s">
        <v>145</v>
      </c>
      <c r="Z43" s="2137" t="s">
        <v>1</v>
      </c>
      <c r="AA43" s="2138"/>
      <c r="AB43" s="2139"/>
      <c r="AC43" s="1009" t="s">
        <v>145</v>
      </c>
      <c r="AD43" s="2158" t="s">
        <v>1</v>
      </c>
      <c r="AE43" s="2158"/>
      <c r="AF43" s="2159"/>
      <c r="AG43" s="2209"/>
    </row>
    <row r="44" spans="1:33" ht="46.5" customHeight="1">
      <c r="A44" s="2246">
        <v>1</v>
      </c>
      <c r="B44" s="2260" t="s">
        <v>1004</v>
      </c>
      <c r="C44" s="2261"/>
      <c r="D44" s="2144" t="s">
        <v>258</v>
      </c>
      <c r="E44" s="2145"/>
      <c r="F44" s="54" t="s">
        <v>4</v>
      </c>
      <c r="G44" s="1000" t="str">
        <f>'XM.FILE GOC'!$E$68</f>
        <v>40~60</v>
      </c>
      <c r="H44" s="1000" t="str">
        <f>'XM.FILE GOC'!$F$68</f>
        <v>(50±5)</v>
      </c>
      <c r="I44" s="61">
        <f>'XM.FILE GOC'!AA68</f>
        <v>0</v>
      </c>
      <c r="J44" s="1088" t="s">
        <v>8</v>
      </c>
      <c r="K44" s="1089">
        <f>'XM.FILE GOC'!AD68</f>
        <v>775.85</v>
      </c>
      <c r="L44" s="1090" t="s">
        <v>9</v>
      </c>
      <c r="M44" s="1010"/>
      <c r="N44" s="1011" t="s">
        <v>8</v>
      </c>
      <c r="O44" s="1056">
        <f>('XM.FILE GOC'!$G$68-M44)*15517/1000</f>
        <v>775.85</v>
      </c>
      <c r="P44" s="1013" t="s">
        <v>9</v>
      </c>
      <c r="Q44" s="61">
        <f>'XM.FILE GOC'!AG68</f>
        <v>0</v>
      </c>
      <c r="R44" s="1088" t="s">
        <v>8</v>
      </c>
      <c r="S44" s="1089">
        <f>'XM.FILE GOC'!AJ68</f>
        <v>775.85</v>
      </c>
      <c r="T44" s="1090" t="s">
        <v>9</v>
      </c>
      <c r="U44" s="1010"/>
      <c r="V44" s="1011" t="s">
        <v>8</v>
      </c>
      <c r="W44" s="1056">
        <f>('XM.FILE GOC'!$G$68-U44)*15517/1000</f>
        <v>775.85</v>
      </c>
      <c r="X44" s="1013" t="s">
        <v>9</v>
      </c>
      <c r="Y44" s="61">
        <f>'XM.FILE GOC'!AM68</f>
        <v>0</v>
      </c>
      <c r="Z44" s="1088" t="s">
        <v>8</v>
      </c>
      <c r="AA44" s="1089">
        <f>'XM.FILE GOC'!AP68</f>
        <v>775.85</v>
      </c>
      <c r="AB44" s="1090" t="s">
        <v>9</v>
      </c>
      <c r="AC44" s="1010"/>
      <c r="AD44" s="1011" t="s">
        <v>8</v>
      </c>
      <c r="AE44" s="1056">
        <f>('XM.FILE GOC'!$G$68-AC44)*15517/1000</f>
        <v>775.85</v>
      </c>
      <c r="AF44" s="1013" t="s">
        <v>9</v>
      </c>
      <c r="AG44" s="80" t="s">
        <v>42</v>
      </c>
    </row>
    <row r="45" spans="1:33" ht="46.5" customHeight="1">
      <c r="A45" s="2259"/>
      <c r="B45" s="2262"/>
      <c r="C45" s="2263"/>
      <c r="D45" s="2144" t="s">
        <v>259</v>
      </c>
      <c r="E45" s="2145"/>
      <c r="F45" s="999"/>
      <c r="G45" s="1000" t="s">
        <v>1370</v>
      </c>
      <c r="H45" s="1000"/>
      <c r="I45" s="333"/>
      <c r="J45" s="66"/>
      <c r="K45" s="1066">
        <f>K44/25*8.5</f>
        <v>263.78900000000004</v>
      </c>
      <c r="L45" s="657" t="s">
        <v>10</v>
      </c>
      <c r="M45" s="1010"/>
      <c r="N45" s="1014" t="s">
        <v>8</v>
      </c>
      <c r="O45" s="1015">
        <f>O44/25*8.5</f>
        <v>263.78900000000004</v>
      </c>
      <c r="P45" s="1016" t="s">
        <v>10</v>
      </c>
      <c r="Q45" s="333"/>
      <c r="R45" s="66"/>
      <c r="S45" s="1066">
        <f>S44/25*8.5</f>
        <v>263.78900000000004</v>
      </c>
      <c r="T45" s="657" t="s">
        <v>10</v>
      </c>
      <c r="U45" s="1010"/>
      <c r="V45" s="1014" t="s">
        <v>8</v>
      </c>
      <c r="W45" s="1015">
        <f>W44/25*8.5</f>
        <v>263.78900000000004</v>
      </c>
      <c r="X45" s="1016" t="s">
        <v>10</v>
      </c>
      <c r="Y45" s="333"/>
      <c r="Z45" s="66"/>
      <c r="AA45" s="1066">
        <f>AA44/25*8.5</f>
        <v>263.78900000000004</v>
      </c>
      <c r="AB45" s="657" t="s">
        <v>10</v>
      </c>
      <c r="AC45" s="1010"/>
      <c r="AD45" s="1014" t="s">
        <v>8</v>
      </c>
      <c r="AE45" s="1015">
        <f>AE44/25*8.5</f>
        <v>263.78900000000004</v>
      </c>
      <c r="AF45" s="1016" t="s">
        <v>10</v>
      </c>
      <c r="AG45" s="80"/>
    </row>
    <row r="46" spans="1:33" ht="46.5" customHeight="1">
      <c r="A46" s="2246">
        <v>2</v>
      </c>
      <c r="B46" s="2260" t="s">
        <v>1005</v>
      </c>
      <c r="C46" s="2261"/>
      <c r="D46" s="2144" t="s">
        <v>258</v>
      </c>
      <c r="E46" s="2145"/>
      <c r="F46" s="54" t="s">
        <v>4</v>
      </c>
      <c r="G46" s="1000" t="str">
        <f>'XM.FILE GOC'!$E$69</f>
        <v>40~60</v>
      </c>
      <c r="H46" s="1000" t="str">
        <f>'XM.FILE GOC'!$F$69</f>
        <v>(50±5)</v>
      </c>
      <c r="I46" s="61">
        <f>'XM.FILE GOC'!AA69</f>
        <v>0</v>
      </c>
      <c r="J46" s="1088" t="s">
        <v>8</v>
      </c>
      <c r="K46" s="1089">
        <f>'XM.FILE GOC'!AD69</f>
        <v>573.75</v>
      </c>
      <c r="L46" s="1090" t="s">
        <v>9</v>
      </c>
      <c r="M46" s="1010"/>
      <c r="N46" s="1011" t="s">
        <v>8</v>
      </c>
      <c r="O46" s="1056">
        <f>('XM.FILE GOC'!$G$69-M46)*11475/1000</f>
        <v>573.75</v>
      </c>
      <c r="P46" s="1013" t="s">
        <v>9</v>
      </c>
      <c r="Q46" s="61">
        <f>'XM.FILE GOC'!AG69</f>
        <v>0</v>
      </c>
      <c r="R46" s="1088" t="s">
        <v>8</v>
      </c>
      <c r="S46" s="1089">
        <f>'XM.FILE GOC'!AJ69</f>
        <v>573.75</v>
      </c>
      <c r="T46" s="1090" t="s">
        <v>9</v>
      </c>
      <c r="U46" s="1010"/>
      <c r="V46" s="1011" t="s">
        <v>8</v>
      </c>
      <c r="W46" s="1056">
        <f>('XM.FILE GOC'!$G$69-U46)*11475/1000</f>
        <v>573.75</v>
      </c>
      <c r="X46" s="1013" t="s">
        <v>9</v>
      </c>
      <c r="Y46" s="61">
        <f>'XM.FILE GOC'!AM69</f>
        <v>0</v>
      </c>
      <c r="Z46" s="1088" t="s">
        <v>8</v>
      </c>
      <c r="AA46" s="1089">
        <f>'XM.FILE GOC'!AP69</f>
        <v>573.75</v>
      </c>
      <c r="AB46" s="1090" t="s">
        <v>9</v>
      </c>
      <c r="AC46" s="1010"/>
      <c r="AD46" s="1011" t="s">
        <v>8</v>
      </c>
      <c r="AE46" s="1056">
        <f>('XM.FILE GOC'!$G$69-AC46)*11475/1000</f>
        <v>573.75</v>
      </c>
      <c r="AF46" s="1013" t="s">
        <v>9</v>
      </c>
      <c r="AG46" s="80" t="s">
        <v>42</v>
      </c>
    </row>
    <row r="47" spans="1:33" ht="46.5" customHeight="1">
      <c r="A47" s="2259"/>
      <c r="B47" s="2262"/>
      <c r="C47" s="2263"/>
      <c r="D47" s="2144" t="s">
        <v>259</v>
      </c>
      <c r="E47" s="2145"/>
      <c r="F47" s="999"/>
      <c r="G47" s="1000" t="s">
        <v>1370</v>
      </c>
      <c r="H47" s="1000"/>
      <c r="I47" s="333"/>
      <c r="J47" s="66"/>
      <c r="K47" s="1066">
        <f>K46/25*8.5</f>
        <v>195.07499999999999</v>
      </c>
      <c r="L47" s="657" t="s">
        <v>10</v>
      </c>
      <c r="M47" s="1010"/>
      <c r="N47" s="1014" t="s">
        <v>8</v>
      </c>
      <c r="O47" s="1015">
        <f>O46/25*8.5</f>
        <v>195.07499999999999</v>
      </c>
      <c r="P47" s="1016" t="s">
        <v>10</v>
      </c>
      <c r="Q47" s="333"/>
      <c r="R47" s="66"/>
      <c r="S47" s="1066">
        <f>S46/25*8.5</f>
        <v>195.07499999999999</v>
      </c>
      <c r="T47" s="657" t="s">
        <v>10</v>
      </c>
      <c r="U47" s="1010"/>
      <c r="V47" s="1014" t="s">
        <v>8</v>
      </c>
      <c r="W47" s="1015">
        <f>W46/25*8.5</f>
        <v>195.07499999999999</v>
      </c>
      <c r="X47" s="1016" t="s">
        <v>10</v>
      </c>
      <c r="Y47" s="333"/>
      <c r="Z47" s="66"/>
      <c r="AA47" s="1066">
        <f>AA46/25*8.5</f>
        <v>195.07499999999999</v>
      </c>
      <c r="AB47" s="657" t="s">
        <v>10</v>
      </c>
      <c r="AC47" s="1010"/>
      <c r="AD47" s="1014" t="s">
        <v>8</v>
      </c>
      <c r="AE47" s="1015">
        <f>AE46/25*8.5</f>
        <v>195.07499999999999</v>
      </c>
      <c r="AF47" s="1016" t="s">
        <v>10</v>
      </c>
      <c r="AG47" s="80"/>
    </row>
    <row r="48" spans="1:33" ht="46.5" customHeight="1">
      <c r="A48" s="2246">
        <v>3</v>
      </c>
      <c r="B48" s="2142" t="s">
        <v>1006</v>
      </c>
      <c r="C48" s="2143"/>
      <c r="D48" s="2146" t="s">
        <v>260</v>
      </c>
      <c r="E48" s="2147" t="s">
        <v>260</v>
      </c>
      <c r="F48" s="54" t="s">
        <v>4</v>
      </c>
      <c r="G48" s="1000" t="str">
        <f>'XM.FILE GOC'!$E$70</f>
        <v>50~70</v>
      </c>
      <c r="H48" s="1000" t="str">
        <f>'XM.FILE GOC'!$F$70</f>
        <v>(60±5)</v>
      </c>
      <c r="I48" s="333">
        <f>'XM.FILE GOC'!AA70</f>
        <v>0</v>
      </c>
      <c r="J48" s="66" t="s">
        <v>8</v>
      </c>
      <c r="K48" s="656">
        <f>'XM.FILE GOC'!AD70</f>
        <v>492</v>
      </c>
      <c r="L48" s="657" t="s">
        <v>9</v>
      </c>
      <c r="M48" s="1010"/>
      <c r="N48" s="1011" t="s">
        <v>8</v>
      </c>
      <c r="O48" s="1056">
        <f>('XM.FILE GOC'!$G$70-M48)*8200/1000</f>
        <v>492</v>
      </c>
      <c r="P48" s="1013" t="s">
        <v>9</v>
      </c>
      <c r="Q48" s="333">
        <f>'XM.FILE GOC'!AG70</f>
        <v>0</v>
      </c>
      <c r="R48" s="66" t="s">
        <v>8</v>
      </c>
      <c r="S48" s="656">
        <f>'XM.FILE GOC'!AJ70</f>
        <v>492</v>
      </c>
      <c r="T48" s="657" t="s">
        <v>9</v>
      </c>
      <c r="U48" s="1010"/>
      <c r="V48" s="1011" t="s">
        <v>8</v>
      </c>
      <c r="W48" s="1056">
        <f>('XM.FILE GOC'!$G$70-U48)*8200/1000</f>
        <v>492</v>
      </c>
      <c r="X48" s="1013" t="s">
        <v>9</v>
      </c>
      <c r="Y48" s="333">
        <f>'XM.FILE GOC'!AM70</f>
        <v>0</v>
      </c>
      <c r="Z48" s="66" t="s">
        <v>8</v>
      </c>
      <c r="AA48" s="656">
        <f>'XM.FILE GOC'!AP70</f>
        <v>492</v>
      </c>
      <c r="AB48" s="1090" t="s">
        <v>9</v>
      </c>
      <c r="AC48" s="1010"/>
      <c r="AD48" s="1011" t="s">
        <v>8</v>
      </c>
      <c r="AE48" s="1056">
        <f>('XM.FILE GOC'!$G$70-AC48)*8200/1000</f>
        <v>492</v>
      </c>
      <c r="AF48" s="1013" t="s">
        <v>9</v>
      </c>
      <c r="AG48" s="80" t="s">
        <v>42</v>
      </c>
    </row>
    <row r="49" spans="1:33" ht="46.5" customHeight="1">
      <c r="A49" s="2247"/>
      <c r="B49" s="2143"/>
      <c r="C49" s="2143"/>
      <c r="D49" s="2146" t="s">
        <v>261</v>
      </c>
      <c r="E49" s="2147" t="s">
        <v>261</v>
      </c>
      <c r="F49" s="999"/>
      <c r="G49" s="1000" t="s">
        <v>1371</v>
      </c>
      <c r="H49" s="1000"/>
      <c r="I49" s="333"/>
      <c r="J49" s="66"/>
      <c r="K49" s="1066">
        <f>K48/25*8</f>
        <v>157.44</v>
      </c>
      <c r="L49" s="657" t="s">
        <v>10</v>
      </c>
      <c r="M49" s="1010"/>
      <c r="N49" s="1014" t="s">
        <v>8</v>
      </c>
      <c r="O49" s="1015">
        <f>O48/25*8</f>
        <v>157.44</v>
      </c>
      <c r="P49" s="1016" t="s">
        <v>10</v>
      </c>
      <c r="Q49" s="333"/>
      <c r="R49" s="66"/>
      <c r="S49" s="1066">
        <f>S48/25*8</f>
        <v>157.44</v>
      </c>
      <c r="T49" s="657" t="s">
        <v>10</v>
      </c>
      <c r="U49" s="1010"/>
      <c r="V49" s="1014" t="s">
        <v>8</v>
      </c>
      <c r="W49" s="1015">
        <f>W48/25*8</f>
        <v>157.44</v>
      </c>
      <c r="X49" s="1016" t="s">
        <v>10</v>
      </c>
      <c r="Y49" s="333"/>
      <c r="Z49" s="66"/>
      <c r="AA49" s="1066">
        <f>AA48/25*8</f>
        <v>157.44</v>
      </c>
      <c r="AB49" s="657" t="s">
        <v>10</v>
      </c>
      <c r="AC49" s="1010"/>
      <c r="AD49" s="1014" t="s">
        <v>8</v>
      </c>
      <c r="AE49" s="1015">
        <f>AE48/25*8</f>
        <v>157.44</v>
      </c>
      <c r="AF49" s="1016" t="s">
        <v>10</v>
      </c>
      <c r="AG49" s="80"/>
    </row>
    <row r="50" spans="1:33" ht="46.5" customHeight="1">
      <c r="A50" s="2246">
        <v>4</v>
      </c>
      <c r="B50" s="2142" t="s">
        <v>1007</v>
      </c>
      <c r="C50" s="2143"/>
      <c r="D50" s="2146" t="s">
        <v>260</v>
      </c>
      <c r="E50" s="2147" t="s">
        <v>260</v>
      </c>
      <c r="F50" s="54" t="s">
        <v>4</v>
      </c>
      <c r="G50" s="1000" t="str">
        <f>'XM.FILE GOC'!$E$71</f>
        <v>50~70</v>
      </c>
      <c r="H50" s="1000" t="str">
        <f>'XM.FILE GOC'!$F$71</f>
        <v>(60±5)</v>
      </c>
      <c r="I50" s="333">
        <f>'XM.FILE GOC'!AA71</f>
        <v>0</v>
      </c>
      <c r="J50" s="1088" t="s">
        <v>8</v>
      </c>
      <c r="K50" s="1089">
        <f>'XM.FILE GOC'!AD71</f>
        <v>520.08000000000004</v>
      </c>
      <c r="L50" s="1090" t="s">
        <v>9</v>
      </c>
      <c r="M50" s="1010"/>
      <c r="N50" s="1011" t="s">
        <v>8</v>
      </c>
      <c r="O50" s="1057">
        <f>('XM.FILE GOC'!$G$71-M50)*8668/1000</f>
        <v>520.08000000000004</v>
      </c>
      <c r="P50" s="1013" t="s">
        <v>9</v>
      </c>
      <c r="Q50" s="333">
        <f>'XM.FILE GOC'!AG71</f>
        <v>0</v>
      </c>
      <c r="R50" s="1088" t="s">
        <v>8</v>
      </c>
      <c r="S50" s="1089">
        <f>'XM.FILE GOC'!AJ71</f>
        <v>520.08000000000004</v>
      </c>
      <c r="T50" s="1090" t="s">
        <v>9</v>
      </c>
      <c r="U50" s="1010"/>
      <c r="V50" s="1011" t="s">
        <v>8</v>
      </c>
      <c r="W50" s="1057">
        <f>('XM.FILE GOC'!$G$71-U50)*8668/1000</f>
        <v>520.08000000000004</v>
      </c>
      <c r="X50" s="1013" t="s">
        <v>9</v>
      </c>
      <c r="Y50" s="333">
        <f>'XM.FILE GOC'!AM71</f>
        <v>0</v>
      </c>
      <c r="Z50" s="1088" t="s">
        <v>8</v>
      </c>
      <c r="AA50" s="1089">
        <f>'XM.FILE GOC'!AP71</f>
        <v>520.08000000000004</v>
      </c>
      <c r="AB50" s="1090" t="s">
        <v>9</v>
      </c>
      <c r="AC50" s="1010"/>
      <c r="AD50" s="1011" t="s">
        <v>8</v>
      </c>
      <c r="AE50" s="1056">
        <f>('XM.FILE GOC'!$G$71-AC50)*8668/1000</f>
        <v>520.08000000000004</v>
      </c>
      <c r="AF50" s="1013" t="s">
        <v>9</v>
      </c>
      <c r="AG50" s="80" t="s">
        <v>42</v>
      </c>
    </row>
    <row r="51" spans="1:33" ht="46.5" customHeight="1">
      <c r="A51" s="2247"/>
      <c r="B51" s="2143"/>
      <c r="C51" s="2143"/>
      <c r="D51" s="2146" t="s">
        <v>261</v>
      </c>
      <c r="E51" s="2147" t="s">
        <v>261</v>
      </c>
      <c r="F51" s="999"/>
      <c r="G51" s="1000" t="s">
        <v>1371</v>
      </c>
      <c r="H51" s="1000"/>
      <c r="I51" s="333"/>
      <c r="J51" s="66"/>
      <c r="K51" s="1066">
        <f>K50/25*8</f>
        <v>166.4256</v>
      </c>
      <c r="L51" s="657" t="s">
        <v>10</v>
      </c>
      <c r="M51" s="1010"/>
      <c r="N51" s="1014" t="s">
        <v>8</v>
      </c>
      <c r="O51" s="1015">
        <f>O50/25*8</f>
        <v>166.4256</v>
      </c>
      <c r="P51" s="1016" t="s">
        <v>10</v>
      </c>
      <c r="Q51" s="333"/>
      <c r="R51" s="66"/>
      <c r="S51" s="1066">
        <f>S50/25*8</f>
        <v>166.4256</v>
      </c>
      <c r="T51" s="657" t="s">
        <v>10</v>
      </c>
      <c r="U51" s="1010"/>
      <c r="V51" s="1014" t="s">
        <v>8</v>
      </c>
      <c r="W51" s="1015">
        <f>W50/25*8</f>
        <v>166.4256</v>
      </c>
      <c r="X51" s="1016" t="s">
        <v>10</v>
      </c>
      <c r="Y51" s="333"/>
      <c r="Z51" s="66"/>
      <c r="AA51" s="1066">
        <f>AA50/25*8</f>
        <v>166.4256</v>
      </c>
      <c r="AB51" s="657" t="s">
        <v>10</v>
      </c>
      <c r="AC51" s="1010"/>
      <c r="AD51" s="1014" t="s">
        <v>8</v>
      </c>
      <c r="AE51" s="1015">
        <f>AE50/25*8</f>
        <v>166.4256</v>
      </c>
      <c r="AF51" s="1016" t="s">
        <v>10</v>
      </c>
      <c r="AG51" s="80"/>
    </row>
    <row r="52" spans="1:33" ht="46.5" customHeight="1">
      <c r="A52" s="2246">
        <v>5</v>
      </c>
      <c r="B52" s="2248" t="s">
        <v>1008</v>
      </c>
      <c r="C52" s="2250" t="s">
        <v>1009</v>
      </c>
      <c r="D52" s="2251"/>
      <c r="E52" s="2252"/>
      <c r="F52" s="706" t="s">
        <v>4</v>
      </c>
      <c r="G52" s="1000" t="str">
        <f>'XM.FILE GOC'!$E$72</f>
        <v>135~ 145</v>
      </c>
      <c r="H52" s="1000" t="str">
        <f>'XM.FILE GOC'!$F$72</f>
        <v>(140±5)</v>
      </c>
      <c r="I52" s="61">
        <f>'XM.FILE GOC'!AA72</f>
        <v>0</v>
      </c>
      <c r="J52" s="1088" t="s">
        <v>8</v>
      </c>
      <c r="K52" s="1089">
        <f>'XM.FILE GOC'!AD72</f>
        <v>7429.24</v>
      </c>
      <c r="L52" s="1090" t="s">
        <v>9</v>
      </c>
      <c r="M52" s="1010"/>
      <c r="N52" s="1011" t="s">
        <v>8</v>
      </c>
      <c r="O52" s="1057">
        <f>('XM.FILE GOC'!$G$72-M52)*53066/1000</f>
        <v>7429.24</v>
      </c>
      <c r="P52" s="1013" t="s">
        <v>9</v>
      </c>
      <c r="Q52" s="61">
        <f>'XM.FILE GOC'!AG72</f>
        <v>0</v>
      </c>
      <c r="R52" s="1088" t="s">
        <v>8</v>
      </c>
      <c r="S52" s="1089">
        <f>'XM.FILE GOC'!AJ72</f>
        <v>7429.24</v>
      </c>
      <c r="T52" s="1090" t="s">
        <v>9</v>
      </c>
      <c r="U52" s="1010"/>
      <c r="V52" s="1011" t="s">
        <v>8</v>
      </c>
      <c r="W52" s="1057">
        <f>('XM.FILE GOC'!$G$72-U52)*53066/1000</f>
        <v>7429.24</v>
      </c>
      <c r="X52" s="1013" t="s">
        <v>9</v>
      </c>
      <c r="Y52" s="61">
        <f>'XM.FILE GOC'!AM72</f>
        <v>0</v>
      </c>
      <c r="Z52" s="1088" t="s">
        <v>8</v>
      </c>
      <c r="AA52" s="1089">
        <f>'XM.FILE GOC'!AP72</f>
        <v>7429.24</v>
      </c>
      <c r="AB52" s="1090" t="s">
        <v>9</v>
      </c>
      <c r="AC52" s="1010"/>
      <c r="AD52" s="1011" t="s">
        <v>8</v>
      </c>
      <c r="AE52" s="1057">
        <f>('XM.FILE GOC'!$G$72-AC52)*53066/1000</f>
        <v>7429.24</v>
      </c>
      <c r="AF52" s="1013" t="s">
        <v>9</v>
      </c>
      <c r="AG52" s="80" t="s">
        <v>43</v>
      </c>
    </row>
    <row r="53" spans="1:33" ht="46.5" customHeight="1">
      <c r="A53" s="2247"/>
      <c r="B53" s="2249"/>
      <c r="C53" s="2250" t="s">
        <v>1010</v>
      </c>
      <c r="D53" s="2251"/>
      <c r="E53" s="2252"/>
      <c r="F53" s="706" t="s">
        <v>4</v>
      </c>
      <c r="G53" s="1000" t="str">
        <f>'XM.FILE GOC'!$E$73</f>
        <v>6~8</v>
      </c>
      <c r="H53" s="1000" t="str">
        <f>'XM.FILE GOC'!$F$73</f>
        <v>(7±0.5)</v>
      </c>
      <c r="I53" s="61">
        <f>'XM.FILE GOC'!AA73</f>
        <v>0</v>
      </c>
      <c r="J53" s="1088" t="s">
        <v>8</v>
      </c>
      <c r="K53" s="1089">
        <f>'XM.FILE GOC'!AD73</f>
        <v>371.46199999999999</v>
      </c>
      <c r="L53" s="1090" t="s">
        <v>9</v>
      </c>
      <c r="M53" s="1010"/>
      <c r="N53" s="1011" t="s">
        <v>8</v>
      </c>
      <c r="O53" s="1057">
        <f>('XM.FILE GOC'!$G$73-M53)*53066/1000</f>
        <v>371.46199999999999</v>
      </c>
      <c r="P53" s="1013" t="s">
        <v>9</v>
      </c>
      <c r="Q53" s="61">
        <f>'XM.FILE GOC'!AG73</f>
        <v>0</v>
      </c>
      <c r="R53" s="1088" t="s">
        <v>8</v>
      </c>
      <c r="S53" s="1089">
        <f>'XM.FILE GOC'!AJ73</f>
        <v>371.46199999999999</v>
      </c>
      <c r="T53" s="1090" t="s">
        <v>9</v>
      </c>
      <c r="U53" s="1010"/>
      <c r="V53" s="1011" t="s">
        <v>8</v>
      </c>
      <c r="W53" s="1057">
        <f>('XM.FILE GOC'!$G$73-U53)*53066/1000</f>
        <v>371.46199999999999</v>
      </c>
      <c r="X53" s="1013" t="s">
        <v>9</v>
      </c>
      <c r="Y53" s="61">
        <f>'XM.FILE GOC'!AM73</f>
        <v>0</v>
      </c>
      <c r="Z53" s="1088" t="s">
        <v>8</v>
      </c>
      <c r="AA53" s="1089">
        <f>'XM.FILE GOC'!AP73</f>
        <v>371.46199999999999</v>
      </c>
      <c r="AB53" s="1013" t="s">
        <v>9</v>
      </c>
      <c r="AC53" s="1010"/>
      <c r="AD53" s="1011" t="s">
        <v>8</v>
      </c>
      <c r="AE53" s="1058">
        <f>('XM.FILE GOC'!$G$73-AC53)*53066/1000</f>
        <v>371.46199999999999</v>
      </c>
      <c r="AF53" s="1013" t="s">
        <v>9</v>
      </c>
      <c r="AG53" s="80" t="s">
        <v>44</v>
      </c>
    </row>
    <row r="54" spans="1:33" s="7" customFormat="1" ht="46.5" customHeight="1">
      <c r="A54" s="2246">
        <v>6</v>
      </c>
      <c r="B54" s="2253" t="s">
        <v>40</v>
      </c>
      <c r="C54" s="2254"/>
      <c r="D54" s="2254"/>
      <c r="E54" s="2257"/>
      <c r="F54" s="706" t="s">
        <v>3</v>
      </c>
      <c r="G54" s="1597" t="str">
        <f>'XM.FILE GOC'!$E$82</f>
        <v>8~16 %</v>
      </c>
      <c r="H54" s="1597" t="str">
        <f>'XM.FILE GOC'!$F$82</f>
        <v>(12±2%)</v>
      </c>
      <c r="I54" s="1342">
        <f>'XM.FILE GOC'!AA82</f>
        <v>0</v>
      </c>
      <c r="J54" s="1088" t="s">
        <v>8</v>
      </c>
      <c r="K54" s="1089">
        <f>'XM.FILE GOC'!AD82</f>
        <v>403.2</v>
      </c>
      <c r="L54" s="1090" t="s">
        <v>10</v>
      </c>
      <c r="M54" s="1010"/>
      <c r="N54" s="1014" t="s">
        <v>8</v>
      </c>
      <c r="O54" s="1056">
        <f>('XM.FILE GOC'!$G$82-M54)*3360/100</f>
        <v>403.2</v>
      </c>
      <c r="P54" s="1016" t="s">
        <v>10</v>
      </c>
      <c r="Q54" s="1342">
        <f>'XM.FILE GOC'!AG82</f>
        <v>0</v>
      </c>
      <c r="R54" s="1088" t="s">
        <v>8</v>
      </c>
      <c r="S54" s="1089">
        <f>'XM.FILE GOC'!AJ82</f>
        <v>403.2</v>
      </c>
      <c r="T54" s="1090" t="s">
        <v>10</v>
      </c>
      <c r="U54" s="1010"/>
      <c r="V54" s="1014" t="s">
        <v>8</v>
      </c>
      <c r="W54" s="1056">
        <f>('XM.FILE GOC'!$G$82-U54)*3360/100</f>
        <v>403.2</v>
      </c>
      <c r="X54" s="1016" t="s">
        <v>10</v>
      </c>
      <c r="Y54" s="1342">
        <f>'XM.FILE GOC'!AM82</f>
        <v>0</v>
      </c>
      <c r="Z54" s="1088" t="s">
        <v>8</v>
      </c>
      <c r="AA54" s="1089">
        <f>'XM.FILE GOC'!AP82</f>
        <v>403.2</v>
      </c>
      <c r="AB54" s="1090" t="s">
        <v>10</v>
      </c>
      <c r="AC54" s="1010"/>
      <c r="AD54" s="1014" t="s">
        <v>8</v>
      </c>
      <c r="AE54" s="1056">
        <f>('XM.FILE GOC'!$G$82-AC54)*3360/100</f>
        <v>403.2</v>
      </c>
      <c r="AF54" s="1016" t="s">
        <v>10</v>
      </c>
      <c r="AG54" s="80" t="s">
        <v>45</v>
      </c>
    </row>
    <row r="55" spans="1:33" ht="46.5" customHeight="1">
      <c r="A55" s="2247"/>
      <c r="B55" s="2255"/>
      <c r="C55" s="2256"/>
      <c r="D55" s="2256"/>
      <c r="E55" s="2258"/>
      <c r="F55" s="706" t="s">
        <v>5</v>
      </c>
      <c r="G55" s="1597" t="str">
        <f>'XM.FILE GOC'!$E$83</f>
        <v>1.8~2.4</v>
      </c>
      <c r="H55" s="1597" t="str">
        <f>'XM.FILE GOC'!$F$83</f>
        <v>(2.0 ±0.2 )</v>
      </c>
      <c r="I55" s="67">
        <f>'XM.FILE GOC'!AA83</f>
        <v>0</v>
      </c>
      <c r="J55" s="1601"/>
      <c r="K55" s="1602"/>
      <c r="L55" s="1603"/>
      <c r="M55" s="1604"/>
      <c r="N55" s="1017"/>
      <c r="O55" s="1605"/>
      <c r="P55" s="1018"/>
      <c r="Q55" s="67">
        <f>'XM.FILE GOC'!AG83</f>
        <v>0</v>
      </c>
      <c r="R55" s="1601"/>
      <c r="S55" s="1602"/>
      <c r="T55" s="1603"/>
      <c r="U55" s="1604"/>
      <c r="V55" s="1017"/>
      <c r="W55" s="1605"/>
      <c r="X55" s="1018"/>
      <c r="Y55" s="67">
        <f>'XM.FILE GOC'!AM83</f>
        <v>0</v>
      </c>
      <c r="Z55" s="1088"/>
      <c r="AA55" s="1089"/>
      <c r="AB55" s="1090"/>
      <c r="AC55" s="1010"/>
      <c r="AD55" s="1017"/>
      <c r="AE55" s="1058"/>
      <c r="AF55" s="1018"/>
      <c r="AG55" s="81"/>
    </row>
    <row r="56" spans="1:33" ht="46.5" customHeight="1">
      <c r="A56" s="1091">
        <v>7</v>
      </c>
      <c r="B56" s="2243" t="s">
        <v>1011</v>
      </c>
      <c r="C56" s="2244"/>
      <c r="D56" s="2244"/>
      <c r="E56" s="2245"/>
      <c r="F56" s="706" t="s">
        <v>6</v>
      </c>
      <c r="G56" s="1000" t="str">
        <f>'XM.FILE GOC'!$E$76</f>
        <v>40~50</v>
      </c>
      <c r="H56" s="1000" t="str">
        <f>'XM.FILE GOC'!$F$76</f>
        <v>(45±5)</v>
      </c>
      <c r="I56" s="337">
        <f>'XM.FILE GOC'!AA76</f>
        <v>0</v>
      </c>
      <c r="J56" s="1088" t="s">
        <v>8</v>
      </c>
      <c r="K56" s="1089">
        <f>'XM.FILE GOC'!AD76</f>
        <v>1163.5961538461538</v>
      </c>
      <c r="L56" s="1090" t="s">
        <v>10</v>
      </c>
      <c r="M56" s="1020"/>
      <c r="N56" s="1011" t="s">
        <v>8</v>
      </c>
      <c r="O56" s="1056">
        <f>('XM.FILE GOC'!$G$76-M56)*6723/2.6</f>
        <v>1163.5961538461538</v>
      </c>
      <c r="P56" s="1013" t="s">
        <v>10</v>
      </c>
      <c r="Q56" s="337">
        <f>'XM.FILE GOC'!AG76</f>
        <v>0</v>
      </c>
      <c r="R56" s="1088" t="s">
        <v>8</v>
      </c>
      <c r="S56" s="1089">
        <f>'XM.FILE GOC'!AJ76</f>
        <v>1163.5961538461538</v>
      </c>
      <c r="T56" s="1090" t="s">
        <v>10</v>
      </c>
      <c r="U56" s="1020"/>
      <c r="V56" s="1011" t="s">
        <v>8</v>
      </c>
      <c r="W56" s="1056">
        <f>('XM.FILE GOC'!$G$76-U56)*6723/2.6</f>
        <v>1163.5961538461538</v>
      </c>
      <c r="X56" s="1013" t="s">
        <v>10</v>
      </c>
      <c r="Y56" s="337">
        <f>'XM.FILE GOC'!AM76</f>
        <v>0</v>
      </c>
      <c r="Z56" s="1088" t="s">
        <v>8</v>
      </c>
      <c r="AA56" s="1089">
        <f>'XM.FILE GOC'!AP76</f>
        <v>1163.5961538461538</v>
      </c>
      <c r="AB56" s="1090" t="s">
        <v>10</v>
      </c>
      <c r="AC56" s="1020"/>
      <c r="AD56" s="1011" t="s">
        <v>8</v>
      </c>
      <c r="AE56" s="1056">
        <f>('XM.FILE GOC'!$G$76-AC56)*6723/2.6</f>
        <v>1163.5961538461538</v>
      </c>
      <c r="AF56" s="1013" t="s">
        <v>10</v>
      </c>
      <c r="AG56" s="80" t="s">
        <v>46</v>
      </c>
    </row>
    <row r="57" spans="1:33" ht="46.5" customHeight="1">
      <c r="A57" s="1091">
        <v>8</v>
      </c>
      <c r="B57" s="2243" t="s">
        <v>1012</v>
      </c>
      <c r="C57" s="2244"/>
      <c r="D57" s="2244"/>
      <c r="E57" s="2245"/>
      <c r="F57" s="706" t="s">
        <v>6</v>
      </c>
      <c r="G57" s="1000" t="str">
        <f>'XM.FILE GOC'!$E$77</f>
        <v>40~50</v>
      </c>
      <c r="H57" s="1000" t="str">
        <f>'XM.FILE GOC'!$F$77</f>
        <v>(45±5)</v>
      </c>
      <c r="I57" s="337">
        <f>'XM.FILE GOC'!AA77</f>
        <v>0</v>
      </c>
      <c r="J57" s="1088" t="s">
        <v>8</v>
      </c>
      <c r="K57" s="1089">
        <f>'XM.FILE GOC'!AD77</f>
        <v>1818.8653846153845</v>
      </c>
      <c r="L57" s="1090" t="s">
        <v>10</v>
      </c>
      <c r="M57" s="1020"/>
      <c r="N57" s="1014" t="s">
        <v>8</v>
      </c>
      <c r="O57" s="1056">
        <f>('XM.FILE GOC'!$G$77-M57)*10509/2.6</f>
        <v>1818.8653846153845</v>
      </c>
      <c r="P57" s="1016" t="s">
        <v>10</v>
      </c>
      <c r="Q57" s="337">
        <f>'XM.FILE GOC'!AG77</f>
        <v>0</v>
      </c>
      <c r="R57" s="1088" t="s">
        <v>8</v>
      </c>
      <c r="S57" s="1089">
        <f>'XM.FILE GOC'!AJ77</f>
        <v>1818.8653846153845</v>
      </c>
      <c r="T57" s="1090" t="s">
        <v>10</v>
      </c>
      <c r="U57" s="1020"/>
      <c r="V57" s="1014" t="s">
        <v>8</v>
      </c>
      <c r="W57" s="1056">
        <f>('XM.FILE GOC'!$G$77-U57)*10509/2.6</f>
        <v>1818.8653846153845</v>
      </c>
      <c r="X57" s="1016" t="s">
        <v>10</v>
      </c>
      <c r="Y57" s="337">
        <f>'XM.FILE GOC'!AM77</f>
        <v>0</v>
      </c>
      <c r="Z57" s="1088" t="s">
        <v>8</v>
      </c>
      <c r="AA57" s="1089">
        <f>'XM.FILE GOC'!AP77</f>
        <v>1818.8653846153845</v>
      </c>
      <c r="AB57" s="1090" t="s">
        <v>10</v>
      </c>
      <c r="AC57" s="1020"/>
      <c r="AD57" s="1014" t="s">
        <v>8</v>
      </c>
      <c r="AE57" s="1056">
        <f>('XM.FILE GOC'!$G$77-AC57)*10509/2.6</f>
        <v>1818.8653846153845</v>
      </c>
      <c r="AF57" s="1016" t="s">
        <v>10</v>
      </c>
      <c r="AG57" s="79" t="s">
        <v>46</v>
      </c>
    </row>
    <row r="58" spans="1:33" ht="46.5" customHeight="1">
      <c r="A58" s="1091">
        <v>9</v>
      </c>
      <c r="B58" s="2234" t="s">
        <v>86</v>
      </c>
      <c r="C58" s="2235"/>
      <c r="D58" s="2235"/>
      <c r="E58" s="2236"/>
      <c r="F58" s="706" t="s">
        <v>6</v>
      </c>
      <c r="G58" s="1000" t="str">
        <f>'XM.FILE GOC'!$E$78</f>
        <v>20~40</v>
      </c>
      <c r="H58" s="1000" t="str">
        <f>'XM.FILE GOC'!$F$78</f>
        <v>(30±5)</v>
      </c>
      <c r="I58" s="68">
        <f>'XM.FILE GOC'!AA78</f>
        <v>0</v>
      </c>
      <c r="J58" s="1088" t="s">
        <v>8</v>
      </c>
      <c r="K58" s="1089">
        <f>'XM.FILE GOC'!AD78</f>
        <v>334.55172413793105</v>
      </c>
      <c r="L58" s="1090" t="s">
        <v>10</v>
      </c>
      <c r="M58" s="1020"/>
      <c r="N58" s="1011" t="s">
        <v>8</v>
      </c>
      <c r="O58" s="1058">
        <f>('XM.FILE GOC'!$G$78-M58)*3234/2.9</f>
        <v>334.55172413793105</v>
      </c>
      <c r="P58" s="1013" t="s">
        <v>10</v>
      </c>
      <c r="Q58" s="68">
        <f>'XM.FILE GOC'!AG78</f>
        <v>0</v>
      </c>
      <c r="R58" s="1088" t="s">
        <v>8</v>
      </c>
      <c r="S58" s="1089">
        <f>'XM.FILE GOC'!AJ78</f>
        <v>334.55172413793105</v>
      </c>
      <c r="T58" s="1090" t="s">
        <v>10</v>
      </c>
      <c r="U58" s="1020"/>
      <c r="V58" s="1011" t="s">
        <v>8</v>
      </c>
      <c r="W58" s="1058">
        <f>('XM.FILE GOC'!$G$78-U58)*3234/2.9</f>
        <v>334.55172413793105</v>
      </c>
      <c r="X58" s="1013" t="s">
        <v>10</v>
      </c>
      <c r="Y58" s="68">
        <f>'XM.FILE GOC'!AM78</f>
        <v>0</v>
      </c>
      <c r="Z58" s="1088" t="s">
        <v>8</v>
      </c>
      <c r="AA58" s="1089">
        <f>'XM.FILE GOC'!AP78</f>
        <v>334.55172413793105</v>
      </c>
      <c r="AB58" s="1090" t="s">
        <v>10</v>
      </c>
      <c r="AC58" s="1020"/>
      <c r="AD58" s="1011" t="s">
        <v>8</v>
      </c>
      <c r="AE58" s="1058">
        <f>('XM.FILE GOC'!$G$78-AC58)*3234/2.9</f>
        <v>334.55172413793105</v>
      </c>
      <c r="AF58" s="1013" t="s">
        <v>10</v>
      </c>
      <c r="AG58" s="80" t="s">
        <v>47</v>
      </c>
    </row>
    <row r="59" spans="1:33" ht="46.5" customHeight="1">
      <c r="A59" s="1091">
        <v>10</v>
      </c>
      <c r="B59" s="2234" t="s">
        <v>1013</v>
      </c>
      <c r="C59" s="2235" t="s">
        <v>1013</v>
      </c>
      <c r="D59" s="2235" t="s">
        <v>1013</v>
      </c>
      <c r="E59" s="2236" t="s">
        <v>1013</v>
      </c>
      <c r="F59" s="706" t="s">
        <v>6</v>
      </c>
      <c r="G59" s="1000" t="str">
        <f>'XM.FILE GOC'!$E$79</f>
        <v>0.5~1.5</v>
      </c>
      <c r="H59" s="1000" t="str">
        <f>'XM.FILE GOC'!$F$79</f>
        <v>(1±0.4)</v>
      </c>
      <c r="I59" s="340">
        <f>'XM.FILE GOC'!AA79</f>
        <v>0</v>
      </c>
      <c r="J59" s="1088" t="s">
        <v>8</v>
      </c>
      <c r="K59" s="1092">
        <f>'XM.FILE GOC'!AD79</f>
        <v>28.080000000000002</v>
      </c>
      <c r="L59" s="1093" t="s">
        <v>10</v>
      </c>
      <c r="M59" s="1021"/>
      <c r="N59" s="1059" t="s">
        <v>8</v>
      </c>
      <c r="O59" s="1060">
        <f>('XM.FILE GOC'!$G$79-M59)*2808</f>
        <v>28.080000000000002</v>
      </c>
      <c r="P59" s="1024" t="s">
        <v>10</v>
      </c>
      <c r="Q59" s="340">
        <f>'XM.FILE GOC'!AG79</f>
        <v>0</v>
      </c>
      <c r="R59" s="1088" t="s">
        <v>8</v>
      </c>
      <c r="S59" s="1092">
        <f>'XM.FILE GOC'!AJ79</f>
        <v>28.080000000000002</v>
      </c>
      <c r="T59" s="1093" t="s">
        <v>10</v>
      </c>
      <c r="U59" s="1021"/>
      <c r="V59" s="1059" t="s">
        <v>8</v>
      </c>
      <c r="W59" s="1060">
        <f>('XM.FILE GOC'!$G$79-U59)*2808</f>
        <v>28.080000000000002</v>
      </c>
      <c r="X59" s="1024" t="s">
        <v>10</v>
      </c>
      <c r="Y59" s="340">
        <f>'XM.FILE GOC'!AM79</f>
        <v>0</v>
      </c>
      <c r="Z59" s="1088" t="s">
        <v>8</v>
      </c>
      <c r="AA59" s="1092">
        <f>'XM.FILE GOC'!AP79</f>
        <v>15.600000000000001</v>
      </c>
      <c r="AB59" s="1093" t="s">
        <v>10</v>
      </c>
      <c r="AC59" s="1021"/>
      <c r="AD59" s="1059" t="s">
        <v>8</v>
      </c>
      <c r="AE59" s="1060">
        <f>('XM.FILE GOC'!$G$79-AC59)*2808</f>
        <v>28.080000000000002</v>
      </c>
      <c r="AF59" s="1024" t="s">
        <v>10</v>
      </c>
      <c r="AG59" s="80" t="s">
        <v>47</v>
      </c>
    </row>
    <row r="60" spans="1:33" ht="46.5" customHeight="1">
      <c r="A60" s="1091"/>
      <c r="B60" s="2237" t="s">
        <v>1429</v>
      </c>
      <c r="C60" s="2238"/>
      <c r="D60" s="2238"/>
      <c r="E60" s="2238"/>
      <c r="F60" s="2238"/>
      <c r="G60" s="2238"/>
      <c r="H60" s="2238"/>
      <c r="I60" s="2238"/>
      <c r="J60" s="2238"/>
      <c r="K60" s="2238"/>
      <c r="L60" s="2238"/>
      <c r="M60" s="2238"/>
      <c r="N60" s="2238"/>
      <c r="O60" s="2238"/>
      <c r="P60" s="2238"/>
      <c r="Q60" s="2238"/>
      <c r="R60" s="2238"/>
      <c r="S60" s="2238"/>
      <c r="T60" s="2238"/>
      <c r="U60" s="2238"/>
      <c r="V60" s="2238"/>
      <c r="W60" s="2238"/>
      <c r="X60" s="2238"/>
      <c r="Y60" s="2238"/>
      <c r="Z60" s="2238"/>
      <c r="AA60" s="2238"/>
      <c r="AB60" s="2238"/>
      <c r="AC60" s="2238"/>
      <c r="AD60" s="2238"/>
      <c r="AE60" s="2238"/>
      <c r="AF60" s="2238"/>
      <c r="AG60" s="2239"/>
    </row>
    <row r="61" spans="1:33" ht="53.25" customHeight="1">
      <c r="A61" s="1091" t="s">
        <v>7</v>
      </c>
      <c r="B61" s="2226" t="s">
        <v>1014</v>
      </c>
      <c r="C61" s="2227"/>
      <c r="D61" s="2227"/>
      <c r="E61" s="2228"/>
      <c r="F61" s="1094" t="s">
        <v>1015</v>
      </c>
      <c r="G61" s="1094" t="s">
        <v>1424</v>
      </c>
      <c r="H61" s="1618" t="s">
        <v>1412</v>
      </c>
      <c r="I61" s="2240" t="s">
        <v>1016</v>
      </c>
      <c r="J61" s="2242"/>
      <c r="K61" s="2240" t="s">
        <v>1017</v>
      </c>
      <c r="L61" s="2242"/>
      <c r="M61" s="1025"/>
      <c r="N61" s="1026"/>
      <c r="O61" s="1026"/>
      <c r="P61" s="1027"/>
      <c r="Q61" s="2240" t="s">
        <v>1016</v>
      </c>
      <c r="R61" s="2242"/>
      <c r="S61" s="2240" t="s">
        <v>1017</v>
      </c>
      <c r="T61" s="2242"/>
      <c r="U61" s="1025"/>
      <c r="V61" s="1026"/>
      <c r="W61" s="1026"/>
      <c r="X61" s="1027"/>
      <c r="Y61" s="2240" t="s">
        <v>1016</v>
      </c>
      <c r="Z61" s="2242"/>
      <c r="AA61" s="2240" t="s">
        <v>1017</v>
      </c>
      <c r="AB61" s="2242"/>
      <c r="AC61" s="1025"/>
      <c r="AD61" s="1026"/>
      <c r="AE61" s="1026"/>
      <c r="AF61" s="1027"/>
      <c r="AG61" s="10"/>
    </row>
    <row r="62" spans="1:33" ht="49.5" customHeight="1">
      <c r="A62" s="1091">
        <v>1</v>
      </c>
      <c r="B62" s="2226" t="s">
        <v>1018</v>
      </c>
      <c r="C62" s="2227"/>
      <c r="D62" s="2227"/>
      <c r="E62" s="2228"/>
      <c r="F62" s="1095" t="s">
        <v>1019</v>
      </c>
      <c r="G62" s="1000" t="str">
        <f>'XM.FILE GOC'!$E$91</f>
        <v>65~75</v>
      </c>
      <c r="H62" s="1000" t="str">
        <f>'XM.FILE GOC'!$F$91</f>
        <v>(70±3)</v>
      </c>
      <c r="I62" s="2088">
        <f>'XM.GUI MAIL'!AA91</f>
        <v>0</v>
      </c>
      <c r="J62" s="2089"/>
      <c r="K62" s="2088">
        <f>'XM.FILE GOC'!AD91</f>
        <v>0</v>
      </c>
      <c r="L62" s="2089"/>
      <c r="M62" s="1028"/>
      <c r="N62" s="1029"/>
      <c r="O62" s="1029"/>
      <c r="P62" s="1030"/>
      <c r="Q62" s="2088">
        <f>'XM.GUI MAIL'!AG91</f>
        <v>0</v>
      </c>
      <c r="R62" s="2089"/>
      <c r="S62" s="2088">
        <f>'XM.FILE GOC'!AJ91</f>
        <v>0</v>
      </c>
      <c r="T62" s="2089"/>
      <c r="U62" s="1028"/>
      <c r="V62" s="1029"/>
      <c r="W62" s="1029"/>
      <c r="X62" s="1030"/>
      <c r="Y62" s="2088">
        <f>'XM.GUI MAIL'!AM91</f>
        <v>0</v>
      </c>
      <c r="Z62" s="2089"/>
      <c r="AA62" s="2088">
        <f>'XM.FILE GOC'!AP91</f>
        <v>0</v>
      </c>
      <c r="AB62" s="2089"/>
      <c r="AC62" s="1028"/>
      <c r="AD62" s="1029"/>
      <c r="AE62" s="1029"/>
      <c r="AF62" s="1030"/>
      <c r="AG62" s="86"/>
    </row>
    <row r="63" spans="1:33" ht="49.5" customHeight="1">
      <c r="A63" s="1091">
        <v>2</v>
      </c>
      <c r="B63" s="2226" t="s">
        <v>1020</v>
      </c>
      <c r="C63" s="2227"/>
      <c r="D63" s="2227"/>
      <c r="E63" s="2228"/>
      <c r="F63" s="1095" t="s">
        <v>1019</v>
      </c>
      <c r="G63" s="1000" t="str">
        <f>'XM.FILE GOC'!$E$92</f>
        <v>65~75</v>
      </c>
      <c r="H63" s="1000" t="str">
        <f>'XM.FILE GOC'!$F$92</f>
        <v>(70±3)</v>
      </c>
      <c r="I63" s="2088">
        <f>'XM.GUI MAIL'!AA92</f>
        <v>0</v>
      </c>
      <c r="J63" s="2089"/>
      <c r="K63" s="2088">
        <f>'XM.FILE GOC'!AD92</f>
        <v>0</v>
      </c>
      <c r="L63" s="2089"/>
      <c r="M63" s="1028"/>
      <c r="N63" s="1029"/>
      <c r="O63" s="1029"/>
      <c r="P63" s="1030"/>
      <c r="Q63" s="2088">
        <f>'XM.GUI MAIL'!AG92</f>
        <v>0</v>
      </c>
      <c r="R63" s="2089"/>
      <c r="S63" s="2088">
        <f>'XM.FILE GOC'!AJ92</f>
        <v>0</v>
      </c>
      <c r="T63" s="2089"/>
      <c r="U63" s="1028"/>
      <c r="V63" s="1029"/>
      <c r="W63" s="1029"/>
      <c r="X63" s="1030"/>
      <c r="Y63" s="2088">
        <f>'XM.GUI MAIL'!AM92</f>
        <v>0</v>
      </c>
      <c r="Z63" s="2089"/>
      <c r="AA63" s="2088">
        <f>'XM.FILE GOC'!AP92</f>
        <v>0</v>
      </c>
      <c r="AB63" s="2089"/>
      <c r="AC63" s="1028"/>
      <c r="AD63" s="1029"/>
      <c r="AE63" s="1029"/>
      <c r="AF63" s="1030"/>
      <c r="AG63" s="86"/>
    </row>
    <row r="64" spans="1:33" ht="49.5" customHeight="1">
      <c r="A64" s="1598">
        <v>3</v>
      </c>
      <c r="B64" s="2226" t="s">
        <v>1021</v>
      </c>
      <c r="C64" s="2227"/>
      <c r="D64" s="2227"/>
      <c r="E64" s="2228"/>
      <c r="F64" s="1095" t="s">
        <v>1019</v>
      </c>
      <c r="G64" s="1000" t="str">
        <f>'XM.FILE GOC'!$E$93</f>
        <v>60~70</v>
      </c>
      <c r="H64" s="1000" t="str">
        <f>'XM.FILE GOC'!$F$93</f>
        <v>(65±3)</v>
      </c>
      <c r="I64" s="2088">
        <f>'XM.GUI MAIL'!AA93</f>
        <v>0</v>
      </c>
      <c r="J64" s="2089"/>
      <c r="K64" s="2088">
        <f>'XM.FILE GOC'!AD93</f>
        <v>0</v>
      </c>
      <c r="L64" s="2089"/>
      <c r="M64" s="1028"/>
      <c r="N64" s="1029"/>
      <c r="O64" s="1029"/>
      <c r="P64" s="1030"/>
      <c r="Q64" s="2088">
        <f>'XM.GUI MAIL'!AG93</f>
        <v>0</v>
      </c>
      <c r="R64" s="2089"/>
      <c r="S64" s="2088">
        <f>'XM.FILE GOC'!AJ93</f>
        <v>0</v>
      </c>
      <c r="T64" s="2089"/>
      <c r="U64" s="1028"/>
      <c r="V64" s="1029"/>
      <c r="W64" s="1029"/>
      <c r="X64" s="1030"/>
      <c r="Y64" s="2088">
        <f>'XM.GUI MAIL'!AM93</f>
        <v>0</v>
      </c>
      <c r="Z64" s="2089"/>
      <c r="AA64" s="2088">
        <f>'XM.FILE GOC'!AP93</f>
        <v>0</v>
      </c>
      <c r="AB64" s="2089"/>
      <c r="AC64" s="1028"/>
      <c r="AD64" s="1029"/>
      <c r="AE64" s="1029"/>
      <c r="AF64" s="1030"/>
      <c r="AG64" s="86"/>
    </row>
    <row r="65" spans="1:33" ht="49.5" customHeight="1">
      <c r="A65" s="1598">
        <v>4</v>
      </c>
      <c r="B65" s="2226" t="s">
        <v>1022</v>
      </c>
      <c r="C65" s="2227"/>
      <c r="D65" s="2227"/>
      <c r="E65" s="2228"/>
      <c r="F65" s="1095" t="s">
        <v>1019</v>
      </c>
      <c r="G65" s="1000" t="str">
        <f>'XM.FILE GOC'!$E$94</f>
        <v>60~70</v>
      </c>
      <c r="H65" s="1000" t="str">
        <f>'XM.FILE GOC'!$F$94</f>
        <v>(65±3)</v>
      </c>
      <c r="I65" s="2088">
        <f>'XM.GUI MAIL'!AA94</f>
        <v>0</v>
      </c>
      <c r="J65" s="2089"/>
      <c r="K65" s="2088">
        <f>'XM.FILE GOC'!AD94</f>
        <v>0</v>
      </c>
      <c r="L65" s="2089"/>
      <c r="M65" s="1028"/>
      <c r="N65" s="1029"/>
      <c r="O65" s="1029"/>
      <c r="P65" s="1030"/>
      <c r="Q65" s="2088">
        <f>'XM.GUI MAIL'!AG94</f>
        <v>0</v>
      </c>
      <c r="R65" s="2089"/>
      <c r="S65" s="2088">
        <f>'XM.FILE GOC'!AJ94</f>
        <v>0</v>
      </c>
      <c r="T65" s="2089"/>
      <c r="U65" s="1028"/>
      <c r="V65" s="1029"/>
      <c r="W65" s="1029"/>
      <c r="X65" s="1030"/>
      <c r="Y65" s="2088">
        <f>'XM.GUI MAIL'!AM94</f>
        <v>0</v>
      </c>
      <c r="Z65" s="2089"/>
      <c r="AA65" s="2088">
        <f>'XM.FILE GOC'!AP94</f>
        <v>0</v>
      </c>
      <c r="AB65" s="2089"/>
      <c r="AC65" s="1028"/>
      <c r="AD65" s="1029"/>
      <c r="AE65" s="1029"/>
      <c r="AF65" s="1030"/>
      <c r="AG65" s="86"/>
    </row>
    <row r="66" spans="1:33" ht="49.5" customHeight="1">
      <c r="A66" s="1598">
        <v>5</v>
      </c>
      <c r="B66" s="2226" t="s">
        <v>1023</v>
      </c>
      <c r="C66" s="2227"/>
      <c r="D66" s="2227"/>
      <c r="E66" s="2228"/>
      <c r="F66" s="1095" t="s">
        <v>1019</v>
      </c>
      <c r="G66" s="1000" t="str">
        <f>'XM.FILE GOC'!$E$95</f>
        <v>24~26</v>
      </c>
      <c r="H66" s="1000" t="str">
        <f>'XM.FILE GOC'!$F$95</f>
        <v>(25)</v>
      </c>
      <c r="I66" s="2119">
        <f>'XM.GUI MAIL'!AA95</f>
        <v>0</v>
      </c>
      <c r="J66" s="2120"/>
      <c r="K66" s="2119">
        <f>'XM.FILE GOC'!AD95</f>
        <v>0</v>
      </c>
      <c r="L66" s="2120"/>
      <c r="M66" s="1028"/>
      <c r="N66" s="1029"/>
      <c r="O66" s="1029"/>
      <c r="P66" s="1030"/>
      <c r="Q66" s="2119">
        <f>'XM.GUI MAIL'!AG95</f>
        <v>0</v>
      </c>
      <c r="R66" s="2120"/>
      <c r="S66" s="2119">
        <f>'XM.FILE GOC'!AJ95</f>
        <v>0</v>
      </c>
      <c r="T66" s="2120"/>
      <c r="U66" s="1028"/>
      <c r="V66" s="1029"/>
      <c r="W66" s="1029"/>
      <c r="X66" s="1030"/>
      <c r="Y66" s="2119">
        <f>'XM.GUI MAIL'!AM95</f>
        <v>0</v>
      </c>
      <c r="Z66" s="2120"/>
      <c r="AA66" s="2119">
        <f>'XM.FILE GOC'!AP95</f>
        <v>0</v>
      </c>
      <c r="AB66" s="2120"/>
      <c r="AC66" s="1028"/>
      <c r="AD66" s="1029"/>
      <c r="AE66" s="1029"/>
      <c r="AF66" s="1030"/>
      <c r="AG66" s="86"/>
    </row>
    <row r="67" spans="1:33" ht="49.5" customHeight="1">
      <c r="A67" s="1598">
        <v>6</v>
      </c>
      <c r="B67" s="2226" t="s">
        <v>1024</v>
      </c>
      <c r="C67" s="2227"/>
      <c r="D67" s="2227"/>
      <c r="E67" s="2228"/>
      <c r="F67" s="1095" t="s">
        <v>1019</v>
      </c>
      <c r="G67" s="1519" t="str">
        <f>'XM.FILE GOC'!$E$102</f>
        <v>35~45</v>
      </c>
      <c r="H67" s="1519" t="str">
        <f>'XM.FILE GOC'!$F$102</f>
        <v>(40±3)</v>
      </c>
      <c r="I67" s="2099"/>
      <c r="J67" s="2100"/>
      <c r="K67" s="2099"/>
      <c r="L67" s="2100"/>
      <c r="M67" s="1028"/>
      <c r="N67" s="1029"/>
      <c r="O67" s="1029"/>
      <c r="P67" s="1030"/>
      <c r="Q67" s="2099"/>
      <c r="R67" s="2100"/>
      <c r="S67" s="2099"/>
      <c r="T67" s="2100"/>
      <c r="U67" s="1028"/>
      <c r="V67" s="1029"/>
      <c r="W67" s="1029"/>
      <c r="X67" s="1030"/>
      <c r="Y67" s="2099"/>
      <c r="Z67" s="2100"/>
      <c r="AA67" s="2099"/>
      <c r="AB67" s="2100"/>
      <c r="AC67" s="1028"/>
      <c r="AD67" s="1029"/>
      <c r="AE67" s="1029"/>
      <c r="AF67" s="1030"/>
      <c r="AG67" s="86"/>
    </row>
    <row r="68" spans="1:33" ht="49.5" customHeight="1">
      <c r="A68" s="1598">
        <v>7</v>
      </c>
      <c r="B68" s="2226" t="s">
        <v>1025</v>
      </c>
      <c r="C68" s="2227"/>
      <c r="D68" s="2227"/>
      <c r="E68" s="2228"/>
      <c r="F68" s="1095" t="s">
        <v>1019</v>
      </c>
      <c r="G68" s="1000" t="str">
        <f>'XM.FILE GOC'!$E$97</f>
        <v>55~65</v>
      </c>
      <c r="H68" s="1000" t="str">
        <f>'XM.FILE GOC'!$F$97</f>
        <v>(60±3)</v>
      </c>
      <c r="I68" s="2088">
        <f>'XM.GUI MAIL'!AA97</f>
        <v>0</v>
      </c>
      <c r="J68" s="2089"/>
      <c r="K68" s="2088">
        <f>'XM.FILE GOC'!AD97</f>
        <v>0</v>
      </c>
      <c r="L68" s="2089"/>
      <c r="M68" s="1028"/>
      <c r="N68" s="1029"/>
      <c r="O68" s="1029"/>
      <c r="P68" s="1030"/>
      <c r="Q68" s="2088">
        <f>'XM.GUI MAIL'!AG97</f>
        <v>0</v>
      </c>
      <c r="R68" s="2089"/>
      <c r="S68" s="2088">
        <f>'XM.FILE GOC'!AJ97</f>
        <v>0</v>
      </c>
      <c r="T68" s="2089"/>
      <c r="U68" s="1028"/>
      <c r="V68" s="1029"/>
      <c r="W68" s="1029"/>
      <c r="X68" s="1030"/>
      <c r="Y68" s="2088">
        <f>'XM.GUI MAIL'!AM97</f>
        <v>0</v>
      </c>
      <c r="Z68" s="2089"/>
      <c r="AA68" s="2088">
        <f>'XM.FILE GOC'!AP97</f>
        <v>0</v>
      </c>
      <c r="AB68" s="2089"/>
      <c r="AC68" s="1028"/>
      <c r="AD68" s="1029"/>
      <c r="AE68" s="1029"/>
      <c r="AF68" s="1030"/>
      <c r="AG68" s="86"/>
    </row>
    <row r="69" spans="1:33" ht="49.5" customHeight="1">
      <c r="A69" s="1598">
        <v>8</v>
      </c>
      <c r="B69" s="2226" t="s">
        <v>1026</v>
      </c>
      <c r="C69" s="2227"/>
      <c r="D69" s="2227"/>
      <c r="E69" s="2228"/>
      <c r="F69" s="1095" t="s">
        <v>1019</v>
      </c>
      <c r="G69" s="1000" t="str">
        <f>'XM.FILE GOC'!$E$98</f>
        <v>65~75</v>
      </c>
      <c r="H69" s="1000" t="str">
        <f>'XM.FILE GOC'!$F$98</f>
        <v>(70±3)</v>
      </c>
      <c r="I69" s="2229" t="s">
        <v>50</v>
      </c>
      <c r="J69" s="2230"/>
      <c r="K69" s="2088">
        <f>'XM.FILE GOC'!AD98</f>
        <v>0</v>
      </c>
      <c r="L69" s="2089"/>
      <c r="M69" s="1028"/>
      <c r="N69" s="1029"/>
      <c r="O69" s="1029"/>
      <c r="P69" s="1030"/>
      <c r="Q69" s="2229" t="s">
        <v>50</v>
      </c>
      <c r="R69" s="2230"/>
      <c r="S69" s="2088">
        <f>'XM.FILE GOC'!AJ98</f>
        <v>0</v>
      </c>
      <c r="T69" s="2089"/>
      <c r="U69" s="1028"/>
      <c r="V69" s="1029"/>
      <c r="W69" s="1029"/>
      <c r="X69" s="1030"/>
      <c r="Y69" s="2229" t="s">
        <v>50</v>
      </c>
      <c r="Z69" s="2230"/>
      <c r="AA69" s="2088">
        <f>'XM.FILE GOC'!AP98</f>
        <v>0</v>
      </c>
      <c r="AB69" s="2089"/>
      <c r="AC69" s="1028"/>
      <c r="AD69" s="1029"/>
      <c r="AE69" s="1029"/>
      <c r="AF69" s="1030"/>
      <c r="AG69" s="86"/>
    </row>
    <row r="70" spans="1:33" ht="49.5" customHeight="1">
      <c r="A70" s="1598">
        <v>9</v>
      </c>
      <c r="B70" s="2220" t="s">
        <v>1395</v>
      </c>
      <c r="C70" s="2221"/>
      <c r="D70" s="2221"/>
      <c r="E70" s="2222"/>
      <c r="F70" s="1095" t="s">
        <v>1019</v>
      </c>
      <c r="G70" s="1000" t="str">
        <f>'XM.FILE GOC'!$E$99</f>
        <v>40~60</v>
      </c>
      <c r="H70" s="1000" t="str">
        <f>'XM.FILE GOC'!$F$99</f>
        <v>(50±10)</v>
      </c>
      <c r="I70" s="2223">
        <f>'XM.FILE GOC'!AA99</f>
        <v>0</v>
      </c>
      <c r="J70" s="2225"/>
      <c r="K70" s="2223">
        <f>'XM.FILE GOC'!AD99</f>
        <v>0</v>
      </c>
      <c r="L70" s="2225"/>
      <c r="M70" s="1028"/>
      <c r="N70" s="1029"/>
      <c r="O70" s="1029"/>
      <c r="P70" s="1030"/>
      <c r="Q70" s="2223">
        <f>'XM.FILE GOC'!AG99</f>
        <v>0</v>
      </c>
      <c r="R70" s="2225"/>
      <c r="S70" s="2223">
        <f>'XM.FILE GOC'!AJ99</f>
        <v>0</v>
      </c>
      <c r="T70" s="2225"/>
      <c r="U70" s="1028"/>
      <c r="V70" s="1029"/>
      <c r="W70" s="1029"/>
      <c r="X70" s="1030"/>
      <c r="Y70" s="2223">
        <f>'XM.FILE GOC'!AM99</f>
        <v>0</v>
      </c>
      <c r="Z70" s="2225"/>
      <c r="AA70" s="2223">
        <f>'XM.FILE GOC'!AP99</f>
        <v>0</v>
      </c>
      <c r="AB70" s="2225"/>
      <c r="AC70" s="1028"/>
      <c r="AD70" s="1029"/>
      <c r="AE70" s="1029"/>
      <c r="AF70" s="1030"/>
      <c r="AG70" s="998"/>
    </row>
    <row r="71" spans="1:33" ht="49.5" customHeight="1">
      <c r="A71" s="1598">
        <v>10</v>
      </c>
      <c r="B71" s="2220" t="s">
        <v>1397</v>
      </c>
      <c r="C71" s="2221"/>
      <c r="D71" s="2221"/>
      <c r="E71" s="2222"/>
      <c r="F71" s="1095" t="s">
        <v>1019</v>
      </c>
      <c r="G71" s="1000" t="str">
        <f>'XM.FILE GOC'!$E$100</f>
        <v>50~70</v>
      </c>
      <c r="H71" s="1000" t="str">
        <f>'XM.FILE GOC'!$F$100</f>
        <v>(60±5)</v>
      </c>
      <c r="I71" s="2223">
        <f>'XM.FILE GOC'!AA100</f>
        <v>0</v>
      </c>
      <c r="J71" s="2224"/>
      <c r="K71" s="2223">
        <f>'XM.FILE GOC'!AD100</f>
        <v>0</v>
      </c>
      <c r="L71" s="2224"/>
      <c r="M71" s="1028"/>
      <c r="N71" s="1029"/>
      <c r="O71" s="1029"/>
      <c r="P71" s="1030"/>
      <c r="Q71" s="2223">
        <f>'XM.FILE GOC'!AG100</f>
        <v>0</v>
      </c>
      <c r="R71" s="2224"/>
      <c r="S71" s="2223">
        <f>'XM.FILE GOC'!AJ100</f>
        <v>0</v>
      </c>
      <c r="T71" s="2224"/>
      <c r="U71" s="1028"/>
      <c r="V71" s="1029"/>
      <c r="W71" s="1029"/>
      <c r="X71" s="1030"/>
      <c r="Y71" s="2223">
        <f>'XM.FILE GOC'!AM100</f>
        <v>0</v>
      </c>
      <c r="Z71" s="2224"/>
      <c r="AA71" s="2223">
        <f>'XM.FILE GOC'!AP100</f>
        <v>0</v>
      </c>
      <c r="AB71" s="2224"/>
      <c r="AC71" s="1028"/>
      <c r="AD71" s="1029"/>
      <c r="AE71" s="1029"/>
      <c r="AF71" s="1030"/>
      <c r="AG71" s="998"/>
    </row>
    <row r="72" spans="1:33" ht="46.5" customHeight="1">
      <c r="A72" s="1091"/>
      <c r="B72" s="2237" t="s">
        <v>1428</v>
      </c>
      <c r="C72" s="2238"/>
      <c r="D72" s="2238"/>
      <c r="E72" s="2238"/>
      <c r="F72" s="2238"/>
      <c r="G72" s="2238"/>
      <c r="H72" s="2238"/>
      <c r="I72" s="2238"/>
      <c r="J72" s="2238"/>
      <c r="K72" s="2238"/>
      <c r="L72" s="2238"/>
      <c r="M72" s="2238"/>
      <c r="N72" s="2238"/>
      <c r="O72" s="2238"/>
      <c r="P72" s="2238"/>
      <c r="Q72" s="2238"/>
      <c r="R72" s="2238"/>
      <c r="S72" s="2238"/>
      <c r="T72" s="2238"/>
      <c r="U72" s="2238"/>
      <c r="V72" s="2238"/>
      <c r="W72" s="2238"/>
      <c r="X72" s="2238"/>
      <c r="Y72" s="2238"/>
      <c r="Z72" s="2238"/>
      <c r="AA72" s="2238"/>
      <c r="AB72" s="2238"/>
      <c r="AC72" s="2238"/>
      <c r="AD72" s="2238"/>
      <c r="AE72" s="2238"/>
      <c r="AF72" s="2238"/>
      <c r="AG72" s="2239"/>
    </row>
    <row r="73" spans="1:33" ht="57" customHeight="1">
      <c r="A73" s="1091" t="s">
        <v>7</v>
      </c>
      <c r="B73" s="2226" t="s">
        <v>1027</v>
      </c>
      <c r="C73" s="2227"/>
      <c r="D73" s="2227"/>
      <c r="E73" s="2228"/>
      <c r="F73" s="1094" t="s">
        <v>780</v>
      </c>
      <c r="G73" s="1094" t="s">
        <v>1424</v>
      </c>
      <c r="H73" s="1618" t="s">
        <v>1412</v>
      </c>
      <c r="I73" s="2240" t="s">
        <v>1028</v>
      </c>
      <c r="J73" s="2241"/>
      <c r="K73" s="2241"/>
      <c r="L73" s="2242"/>
      <c r="M73" s="1025"/>
      <c r="N73" s="1026"/>
      <c r="O73" s="1026"/>
      <c r="P73" s="1027"/>
      <c r="Q73" s="2240" t="s">
        <v>1028</v>
      </c>
      <c r="R73" s="2241"/>
      <c r="S73" s="2241"/>
      <c r="T73" s="2242"/>
      <c r="U73" s="1025"/>
      <c r="V73" s="1026"/>
      <c r="W73" s="1026"/>
      <c r="X73" s="1027"/>
      <c r="Y73" s="2240" t="s">
        <v>1028</v>
      </c>
      <c r="Z73" s="2241"/>
      <c r="AA73" s="2241"/>
      <c r="AB73" s="2242"/>
      <c r="AC73" s="1025"/>
      <c r="AD73" s="1026"/>
      <c r="AE73" s="1026"/>
      <c r="AF73" s="1027"/>
      <c r="AG73" s="10"/>
    </row>
    <row r="74" spans="1:33" ht="60.75" customHeight="1">
      <c r="A74" s="1091">
        <v>1</v>
      </c>
      <c r="B74" s="2234" t="s">
        <v>1190</v>
      </c>
      <c r="C74" s="2235"/>
      <c r="D74" s="2235"/>
      <c r="E74" s="2236"/>
      <c r="F74" s="706" t="s">
        <v>51</v>
      </c>
      <c r="G74" s="1000" t="str">
        <f>'XM.FILE GOC'!$E$107</f>
        <v>30~50 
(40)</v>
      </c>
      <c r="H74" s="1000" t="str">
        <f>'XM.FILE GOC'!$F$107</f>
        <v>30~50 
(40)</v>
      </c>
      <c r="I74" s="2091">
        <f>'XM.GUI MAIL'!AA107</f>
        <v>0</v>
      </c>
      <c r="J74" s="2092"/>
      <c r="K74" s="2092"/>
      <c r="L74" s="2092"/>
      <c r="M74" s="1488"/>
      <c r="N74" s="1489"/>
      <c r="O74" s="1489"/>
      <c r="P74" s="1490"/>
      <c r="Q74" s="2091">
        <f>'XM.GUI MAIL'!AG107</f>
        <v>0</v>
      </c>
      <c r="R74" s="2092"/>
      <c r="S74" s="2092"/>
      <c r="T74" s="2092"/>
      <c r="U74" s="1488"/>
      <c r="V74" s="1489"/>
      <c r="W74" s="1489"/>
      <c r="X74" s="1490"/>
      <c r="Y74" s="2091">
        <f>'XM.GUI MAIL'!AM107</f>
        <v>0</v>
      </c>
      <c r="Z74" s="2092"/>
      <c r="AA74" s="2092"/>
      <c r="AB74" s="2093"/>
      <c r="AC74" s="1034"/>
      <c r="AD74" s="1007"/>
      <c r="AE74" s="1007"/>
      <c r="AF74" s="1035"/>
      <c r="AG74" s="86"/>
    </row>
    <row r="75" spans="1:33" ht="60.75" customHeight="1">
      <c r="A75" s="1091">
        <v>2</v>
      </c>
      <c r="B75" s="2234" t="s">
        <v>253</v>
      </c>
      <c r="C75" s="2235"/>
      <c r="D75" s="2235"/>
      <c r="E75" s="2236"/>
      <c r="F75" s="706" t="s">
        <v>51</v>
      </c>
      <c r="G75" s="1000" t="str">
        <f>'XM.FILE GOC'!$E$108</f>
        <v>160~220
(180)</v>
      </c>
      <c r="H75" s="1000" t="str">
        <f>'XM.FILE GOC'!$F$108</f>
        <v>160~220
(180)</v>
      </c>
      <c r="I75" s="2091">
        <f>'XM.GUI MAIL'!AA108</f>
        <v>0</v>
      </c>
      <c r="J75" s="2092"/>
      <c r="K75" s="2092"/>
      <c r="L75" s="2092"/>
      <c r="M75" s="1485"/>
      <c r="N75" s="1486"/>
      <c r="O75" s="1486"/>
      <c r="P75" s="1487"/>
      <c r="Q75" s="2091">
        <f>'XM.GUI MAIL'!AG108</f>
        <v>0</v>
      </c>
      <c r="R75" s="2092"/>
      <c r="S75" s="2092"/>
      <c r="T75" s="2092"/>
      <c r="U75" s="1485"/>
      <c r="V75" s="1486"/>
      <c r="W75" s="1486"/>
      <c r="X75" s="1487"/>
      <c r="Y75" s="2091">
        <f>'XM.GUI MAIL'!AM108</f>
        <v>0</v>
      </c>
      <c r="Z75" s="2092"/>
      <c r="AA75" s="2092"/>
      <c r="AB75" s="2093"/>
      <c r="AC75" s="1036"/>
      <c r="AD75" s="1037"/>
      <c r="AE75" s="1037"/>
      <c r="AF75" s="1038"/>
      <c r="AG75" s="86"/>
    </row>
  </sheetData>
  <sheetProtection selectLockedCells="1"/>
  <mergeCells count="286">
    <mergeCell ref="AA29:AB29"/>
    <mergeCell ref="B28:E28"/>
    <mergeCell ref="I28:J28"/>
    <mergeCell ref="K28:L28"/>
    <mergeCell ref="A1:Z1"/>
    <mergeCell ref="A2:Z2"/>
    <mergeCell ref="A4:A5"/>
    <mergeCell ref="B4:E5"/>
    <mergeCell ref="F4:F5"/>
    <mergeCell ref="G4:G5"/>
    <mergeCell ref="I4:L4"/>
    <mergeCell ref="Q4:T4"/>
    <mergeCell ref="Y4:AB4"/>
    <mergeCell ref="A8:A9"/>
    <mergeCell ref="B8:C9"/>
    <mergeCell ref="D8:E8"/>
    <mergeCell ref="D9:E9"/>
    <mergeCell ref="A10:A11"/>
    <mergeCell ref="B10:C11"/>
    <mergeCell ref="D10:E10"/>
    <mergeCell ref="D11:E11"/>
    <mergeCell ref="A16:A17"/>
    <mergeCell ref="B16:D17"/>
    <mergeCell ref="E16:E17"/>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B18:E18"/>
    <mergeCell ref="B19:E19"/>
    <mergeCell ref="B20:E20"/>
    <mergeCell ref="A12:A13"/>
    <mergeCell ref="B12:C13"/>
    <mergeCell ref="D12:E12"/>
    <mergeCell ref="D13:E13"/>
    <mergeCell ref="A14:A15"/>
    <mergeCell ref="C14:E14"/>
    <mergeCell ref="C15:E15"/>
    <mergeCell ref="B14:B15"/>
    <mergeCell ref="B21:E21"/>
    <mergeCell ref="B22:AG22"/>
    <mergeCell ref="B23:E23"/>
    <mergeCell ref="I23:J23"/>
    <mergeCell ref="K23:L23"/>
    <mergeCell ref="Q23:R23"/>
    <mergeCell ref="S23:T23"/>
    <mergeCell ref="Y23:Z23"/>
    <mergeCell ref="AA23:AB23"/>
    <mergeCell ref="B25:E25"/>
    <mergeCell ref="I25:J25"/>
    <mergeCell ref="K25:L25"/>
    <mergeCell ref="Q25:R25"/>
    <mergeCell ref="S25:T25"/>
    <mergeCell ref="Y25:Z25"/>
    <mergeCell ref="AA25:AB25"/>
    <mergeCell ref="B24:E24"/>
    <mergeCell ref="I24:J24"/>
    <mergeCell ref="K24:L24"/>
    <mergeCell ref="Q24:R24"/>
    <mergeCell ref="S24:T24"/>
    <mergeCell ref="Y24:Z24"/>
    <mergeCell ref="B27:E27"/>
    <mergeCell ref="I27:J27"/>
    <mergeCell ref="K27:L27"/>
    <mergeCell ref="Q27:R27"/>
    <mergeCell ref="S27:T27"/>
    <mergeCell ref="Y27:Z27"/>
    <mergeCell ref="AA27:AB27"/>
    <mergeCell ref="B26:E26"/>
    <mergeCell ref="I26:J26"/>
    <mergeCell ref="K26:L26"/>
    <mergeCell ref="Q26:R26"/>
    <mergeCell ref="S26:T26"/>
    <mergeCell ref="Y26:Z26"/>
    <mergeCell ref="AA31:AB31"/>
    <mergeCell ref="B30:E30"/>
    <mergeCell ref="I30:J30"/>
    <mergeCell ref="K30:L30"/>
    <mergeCell ref="I32:J32"/>
    <mergeCell ref="K32:L32"/>
    <mergeCell ref="Q32:R32"/>
    <mergeCell ref="S32:T32"/>
    <mergeCell ref="Y32:Z32"/>
    <mergeCell ref="B32:E32"/>
    <mergeCell ref="Q28:R28"/>
    <mergeCell ref="S28:T28"/>
    <mergeCell ref="Y28:Z28"/>
    <mergeCell ref="B31:E31"/>
    <mergeCell ref="I31:J31"/>
    <mergeCell ref="K31:L31"/>
    <mergeCell ref="Q31:R31"/>
    <mergeCell ref="S31:T31"/>
    <mergeCell ref="Y31:Z31"/>
    <mergeCell ref="B29:E29"/>
    <mergeCell ref="I29:J29"/>
    <mergeCell ref="K29:L29"/>
    <mergeCell ref="Q29:R29"/>
    <mergeCell ref="S29:T29"/>
    <mergeCell ref="Y29:Z29"/>
    <mergeCell ref="Q30:R30"/>
    <mergeCell ref="S30:T30"/>
    <mergeCell ref="Y30:Z30"/>
    <mergeCell ref="B33:E33"/>
    <mergeCell ref="B37:E37"/>
    <mergeCell ref="A44:A45"/>
    <mergeCell ref="B44:C45"/>
    <mergeCell ref="D44:E44"/>
    <mergeCell ref="D45:E45"/>
    <mergeCell ref="A42:A43"/>
    <mergeCell ref="B42:E43"/>
    <mergeCell ref="B36:E36"/>
    <mergeCell ref="I37:L37"/>
    <mergeCell ref="Q37:T37"/>
    <mergeCell ref="Y37:AB37"/>
    <mergeCell ref="I35:L35"/>
    <mergeCell ref="Q35:T35"/>
    <mergeCell ref="AG42:AG43"/>
    <mergeCell ref="J43:L43"/>
    <mergeCell ref="R43:T43"/>
    <mergeCell ref="Z43:AB43"/>
    <mergeCell ref="Y35:AB35"/>
    <mergeCell ref="I36:L36"/>
    <mergeCell ref="Q36:T36"/>
    <mergeCell ref="Y36:AB36"/>
    <mergeCell ref="F42:F43"/>
    <mergeCell ref="G42:G43"/>
    <mergeCell ref="I42:L42"/>
    <mergeCell ref="Q42:T42"/>
    <mergeCell ref="Y42:AB42"/>
    <mergeCell ref="A54:A55"/>
    <mergeCell ref="B54:D55"/>
    <mergeCell ref="E54:E55"/>
    <mergeCell ref="B56:E56"/>
    <mergeCell ref="A46:A47"/>
    <mergeCell ref="B46:C47"/>
    <mergeCell ref="D46:E46"/>
    <mergeCell ref="D47:E47"/>
    <mergeCell ref="A48:A49"/>
    <mergeCell ref="B48:C49"/>
    <mergeCell ref="D48:E48"/>
    <mergeCell ref="D49:E49"/>
    <mergeCell ref="H42:H43"/>
    <mergeCell ref="B57:E57"/>
    <mergeCell ref="B58:E58"/>
    <mergeCell ref="A50:A51"/>
    <mergeCell ref="B50:C51"/>
    <mergeCell ref="D50:E50"/>
    <mergeCell ref="D51:E51"/>
    <mergeCell ref="A52:A53"/>
    <mergeCell ref="B52:B53"/>
    <mergeCell ref="C52:E52"/>
    <mergeCell ref="C53:E53"/>
    <mergeCell ref="B59:E59"/>
    <mergeCell ref="B60:AG60"/>
    <mergeCell ref="B61:E61"/>
    <mergeCell ref="I61:J61"/>
    <mergeCell ref="K61:L61"/>
    <mergeCell ref="Q61:R61"/>
    <mergeCell ref="S61:T61"/>
    <mergeCell ref="Y61:Z61"/>
    <mergeCell ref="AA61:AB61"/>
    <mergeCell ref="AA62:AB62"/>
    <mergeCell ref="B63:E63"/>
    <mergeCell ref="I63:J63"/>
    <mergeCell ref="K63:L63"/>
    <mergeCell ref="Q63:R63"/>
    <mergeCell ref="S63:T63"/>
    <mergeCell ref="Y63:Z63"/>
    <mergeCell ref="AA63:AB63"/>
    <mergeCell ref="B62:E62"/>
    <mergeCell ref="I62:J62"/>
    <mergeCell ref="K62:L62"/>
    <mergeCell ref="Q62:R62"/>
    <mergeCell ref="S62:T62"/>
    <mergeCell ref="Y62:Z62"/>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K69:L69"/>
    <mergeCell ref="Q69:R69"/>
    <mergeCell ref="S69:T69"/>
    <mergeCell ref="Y69:Z69"/>
    <mergeCell ref="AA69:AB69"/>
    <mergeCell ref="B68:E68"/>
    <mergeCell ref="I68:J68"/>
    <mergeCell ref="K68:L68"/>
    <mergeCell ref="Q68:R68"/>
    <mergeCell ref="S68:T68"/>
    <mergeCell ref="Y68:Z68"/>
    <mergeCell ref="B75:E75"/>
    <mergeCell ref="I75:L75"/>
    <mergeCell ref="Q75:T75"/>
    <mergeCell ref="Y75:AB75"/>
    <mergeCell ref="B72:AG72"/>
    <mergeCell ref="B73:E73"/>
    <mergeCell ref="I73:L73"/>
    <mergeCell ref="Q73:T73"/>
    <mergeCell ref="Y73:AB73"/>
    <mergeCell ref="B74:E74"/>
    <mergeCell ref="I74:L74"/>
    <mergeCell ref="Q74:T74"/>
    <mergeCell ref="Y74:AB74"/>
    <mergeCell ref="AD2:AE2"/>
    <mergeCell ref="AF2:AG2"/>
    <mergeCell ref="AD3:AE3"/>
    <mergeCell ref="AF3:AG3"/>
    <mergeCell ref="M42:P42"/>
    <mergeCell ref="N43:P43"/>
    <mergeCell ref="U42:X42"/>
    <mergeCell ref="V43:X43"/>
    <mergeCell ref="AC42:AF42"/>
    <mergeCell ref="AD43:AF43"/>
    <mergeCell ref="AD40:AE40"/>
    <mergeCell ref="AF40:AG40"/>
    <mergeCell ref="AD41:AE41"/>
    <mergeCell ref="AF41:AG41"/>
    <mergeCell ref="AA41:AB41"/>
    <mergeCell ref="AA30:AB30"/>
    <mergeCell ref="AA28:AB28"/>
    <mergeCell ref="AA26:AB26"/>
    <mergeCell ref="AA24:AB24"/>
    <mergeCell ref="A39:Z39"/>
    <mergeCell ref="A40:Z40"/>
    <mergeCell ref="AA40:AB40"/>
    <mergeCell ref="B34:AG34"/>
    <mergeCell ref="B35:E35"/>
    <mergeCell ref="B71:E71"/>
    <mergeCell ref="I71:J71"/>
    <mergeCell ref="K71:L71"/>
    <mergeCell ref="Q71:R71"/>
    <mergeCell ref="S71:T71"/>
    <mergeCell ref="Y71:Z71"/>
    <mergeCell ref="AA71:AB71"/>
    <mergeCell ref="AA32:AB32"/>
    <mergeCell ref="I33:J33"/>
    <mergeCell ref="K33:L33"/>
    <mergeCell ref="Q33:R33"/>
    <mergeCell ref="S33:T33"/>
    <mergeCell ref="Y33:Z33"/>
    <mergeCell ref="AA33:AB33"/>
    <mergeCell ref="B70:E70"/>
    <mergeCell ref="I70:J70"/>
    <mergeCell ref="K70:L70"/>
    <mergeCell ref="Q70:R70"/>
    <mergeCell ref="S70:T70"/>
    <mergeCell ref="Y70:Z70"/>
    <mergeCell ref="AA70:AB70"/>
    <mergeCell ref="AA68:AB68"/>
    <mergeCell ref="B69:E69"/>
    <mergeCell ref="I69:J69"/>
  </mergeCells>
  <phoneticPr fontId="6" type="noConversion"/>
  <conditionalFormatting sqref="I59 Q59 Y59 I21 Q21 Y21">
    <cfRule type="expression" dxfId="4135" priority="1767">
      <formula>I21&lt;0.5%</formula>
    </cfRule>
    <cfRule type="expression" dxfId="4134" priority="1768">
      <formula>I21&gt;1.5%</formula>
    </cfRule>
  </conditionalFormatting>
  <conditionalFormatting sqref="Y48 Q48 I48 I50 Q50 Y50 Y10 Q10 I10 I12 Q12 Y12">
    <cfRule type="expression" dxfId="4133" priority="1320" stopIfTrue="1">
      <formula>I10&lt;50</formula>
    </cfRule>
  </conditionalFormatting>
  <conditionalFormatting sqref="Y48 Q48 I48 I50 Q50 Y50 Y10 Q10 I10 I12 Q12 Y12">
    <cfRule type="expression" dxfId="4132" priority="1319" stopIfTrue="1">
      <formula>I10&gt;70</formula>
    </cfRule>
  </conditionalFormatting>
  <conditionalFormatting sqref="I56:I57 Y56:Y57 Q56:Q57 I18:I19 Y18:Y19 Q18:Q19">
    <cfRule type="expression" dxfId="4131" priority="1257">
      <formula>I18&lt;40%</formula>
    </cfRule>
    <cfRule type="expression" dxfId="4130" priority="1258">
      <formula>I18&gt;50%</formula>
    </cfRule>
  </conditionalFormatting>
  <conditionalFormatting sqref="I44 I46 Q44 Q46 Y44 Y46 I6 I8 Q6 Q8 Y6 Y8">
    <cfRule type="expression" dxfId="4129" priority="1068" stopIfTrue="1">
      <formula>I6&lt;40</formula>
    </cfRule>
  </conditionalFormatting>
  <conditionalFormatting sqref="I44 I46 Q44 Q46 Y44 Y46 I6 I8 Q6 Q8 Y6 Y8">
    <cfRule type="expression" dxfId="4128" priority="1067" stopIfTrue="1">
      <formula>I6&gt;60</formula>
    </cfRule>
  </conditionalFormatting>
  <conditionalFormatting sqref="I58 Q58 Y58 I20 Q20 Y20">
    <cfRule type="expression" dxfId="4127" priority="1043">
      <formula>I20&lt;20%</formula>
    </cfRule>
    <cfRule type="expression" dxfId="4126" priority="1044">
      <formula>I20&gt;40%</formula>
    </cfRule>
  </conditionalFormatting>
  <conditionalFormatting sqref="I36 Y36 Q36">
    <cfRule type="expression" dxfId="4125" priority="1007">
      <formula>I36&lt;30</formula>
    </cfRule>
    <cfRule type="expression" dxfId="4124" priority="1008">
      <formula>I36&gt;50</formula>
    </cfRule>
  </conditionalFormatting>
  <conditionalFormatting sqref="I37 Y37 Q37">
    <cfRule type="expression" dxfId="4123" priority="1005">
      <formula>I37&lt;160</formula>
    </cfRule>
    <cfRule type="expression" dxfId="4122" priority="1006">
      <formula>I37&gt;220</formula>
    </cfRule>
  </conditionalFormatting>
  <conditionalFormatting sqref="I74">
    <cfRule type="expression" dxfId="4121" priority="995">
      <formula>I74&lt;30</formula>
    </cfRule>
    <cfRule type="expression" dxfId="4120" priority="996">
      <formula>I74&gt;50</formula>
    </cfRule>
  </conditionalFormatting>
  <conditionalFormatting sqref="I75">
    <cfRule type="expression" dxfId="4119" priority="993">
      <formula>I75&lt;160</formula>
    </cfRule>
    <cfRule type="expression" dxfId="4118" priority="994">
      <formula>I75&gt;220</formula>
    </cfRule>
  </conditionalFormatting>
  <conditionalFormatting sqref="Y74">
    <cfRule type="expression" dxfId="4117" priority="991">
      <formula>Y74&lt;30</formula>
    </cfRule>
    <cfRule type="expression" dxfId="4116" priority="992">
      <formula>Y74&gt;50</formula>
    </cfRule>
  </conditionalFormatting>
  <conditionalFormatting sqref="Y75">
    <cfRule type="expression" dxfId="4115" priority="989">
      <formula>Y75&lt;160</formula>
    </cfRule>
    <cfRule type="expression" dxfId="4114" priority="990">
      <formula>Y75&gt;220</formula>
    </cfRule>
  </conditionalFormatting>
  <conditionalFormatting sqref="Q74">
    <cfRule type="expression" dxfId="4113" priority="987">
      <formula>Q74&lt;30</formula>
    </cfRule>
    <cfRule type="expression" dxfId="4112" priority="988">
      <formula>Q74&gt;50</formula>
    </cfRule>
  </conditionalFormatting>
  <conditionalFormatting sqref="Q75">
    <cfRule type="expression" dxfId="4111" priority="985">
      <formula>Q75&lt;160</formula>
    </cfRule>
    <cfRule type="expression" dxfId="4110" priority="986">
      <formula>Q75&gt;220</formula>
    </cfRule>
  </conditionalFormatting>
  <conditionalFormatting sqref="I52 Y52 Q52 I14 Y14 Q14">
    <cfRule type="expression" dxfId="4109" priority="984" stopIfTrue="1">
      <formula>I14&lt;135</formula>
    </cfRule>
  </conditionalFormatting>
  <conditionalFormatting sqref="I52 Y52 Q52 I14 Y14 Q14">
    <cfRule type="expression" dxfId="4108" priority="983" stopIfTrue="1">
      <formula>I14&gt;145</formula>
    </cfRule>
  </conditionalFormatting>
  <conditionalFormatting sqref="I53 Y53 Q53 I15 Y15 Q15">
    <cfRule type="expression" dxfId="4107" priority="982" stopIfTrue="1">
      <formula>I15&lt;6</formula>
    </cfRule>
  </conditionalFormatting>
  <conditionalFormatting sqref="I53 Y53 Q53 I15 Y15 Q15">
    <cfRule type="expression" dxfId="4106" priority="981" stopIfTrue="1">
      <formula>I15&gt;8</formula>
    </cfRule>
  </conditionalFormatting>
  <conditionalFormatting sqref="I32">
    <cfRule type="expression" dxfId="4105" priority="867">
      <formula>I32&lt;40</formula>
    </cfRule>
    <cfRule type="expression" dxfId="4104" priority="868">
      <formula>I32&gt;60</formula>
    </cfRule>
  </conditionalFormatting>
  <conditionalFormatting sqref="K32">
    <cfRule type="expression" dxfId="4103" priority="863">
      <formula>K32&lt;40</formula>
    </cfRule>
    <cfRule type="expression" dxfId="4102" priority="864">
      <formula>K32&gt;60</formula>
    </cfRule>
  </conditionalFormatting>
  <conditionalFormatting sqref="Q32">
    <cfRule type="expression" dxfId="4101" priority="859">
      <formula>Q32&lt;40</formula>
    </cfRule>
    <cfRule type="expression" dxfId="4100" priority="860">
      <formula>Q32&gt;60</formula>
    </cfRule>
  </conditionalFormatting>
  <conditionalFormatting sqref="S32">
    <cfRule type="expression" dxfId="4099" priority="855">
      <formula>S32&lt;40</formula>
    </cfRule>
    <cfRule type="expression" dxfId="4098" priority="856">
      <formula>S32&gt;60</formula>
    </cfRule>
  </conditionalFormatting>
  <conditionalFormatting sqref="Y32">
    <cfRule type="expression" dxfId="4097" priority="847">
      <formula>Y32&lt;40</formula>
    </cfRule>
    <cfRule type="expression" dxfId="4096" priority="848">
      <formula>Y32&gt;60</formula>
    </cfRule>
  </conditionalFormatting>
  <conditionalFormatting sqref="AA32">
    <cfRule type="expression" dxfId="4095" priority="843">
      <formula>AA32&lt;40</formula>
    </cfRule>
    <cfRule type="expression" dxfId="4094" priority="844">
      <formula>AA32&gt;60</formula>
    </cfRule>
  </conditionalFormatting>
  <conditionalFormatting sqref="I70">
    <cfRule type="expression" dxfId="4093" priority="839">
      <formula>I70&lt;40</formula>
    </cfRule>
    <cfRule type="expression" dxfId="4092" priority="840">
      <formula>I70&gt;60</formula>
    </cfRule>
  </conditionalFormatting>
  <conditionalFormatting sqref="K70">
    <cfRule type="expression" dxfId="4091" priority="835">
      <formula>K70&lt;40</formula>
    </cfRule>
    <cfRule type="expression" dxfId="4090" priority="836">
      <formula>K70&gt;60</formula>
    </cfRule>
  </conditionalFormatting>
  <conditionalFormatting sqref="Q70">
    <cfRule type="expression" dxfId="4089" priority="831">
      <formula>Q70&lt;40</formula>
    </cfRule>
    <cfRule type="expression" dxfId="4088" priority="832">
      <formula>Q70&gt;60</formula>
    </cfRule>
  </conditionalFormatting>
  <conditionalFormatting sqref="S70">
    <cfRule type="expression" dxfId="4087" priority="827">
      <formula>S70&lt;40</formula>
    </cfRule>
    <cfRule type="expression" dxfId="4086" priority="828">
      <formula>S70&gt;60</formula>
    </cfRule>
  </conditionalFormatting>
  <conditionalFormatting sqref="Y70">
    <cfRule type="expression" dxfId="4085" priority="823">
      <formula>Y70&lt;40</formula>
    </cfRule>
    <cfRule type="expression" dxfId="4084" priority="824">
      <formula>Y70&gt;60</formula>
    </cfRule>
  </conditionalFormatting>
  <conditionalFormatting sqref="AA70">
    <cfRule type="expression" dxfId="4083" priority="819">
      <formula>AA70&lt;40</formula>
    </cfRule>
    <cfRule type="expression" dxfId="4082" priority="820">
      <formula>AA70&gt;60</formula>
    </cfRule>
  </conditionalFormatting>
  <conditionalFormatting sqref="I54">
    <cfRule type="expression" dxfId="4081" priority="815">
      <formula>I54&lt;8</formula>
    </cfRule>
    <cfRule type="expression" dxfId="4080" priority="816">
      <formula>I54&gt;16</formula>
    </cfRule>
  </conditionalFormatting>
  <conditionalFormatting sqref="I55">
    <cfRule type="expression" dxfId="4079" priority="813">
      <formula>I55&lt;1.8</formula>
    </cfRule>
    <cfRule type="expression" dxfId="4078" priority="814">
      <formula>I55&gt;2.4</formula>
    </cfRule>
  </conditionalFormatting>
  <conditionalFormatting sqref="Y54">
    <cfRule type="expression" dxfId="4077" priority="811">
      <formula>Y54&lt;8</formula>
    </cfRule>
    <cfRule type="expression" dxfId="4076" priority="812">
      <formula>Y54&gt;16</formula>
    </cfRule>
  </conditionalFormatting>
  <conditionalFormatting sqref="Y55">
    <cfRule type="expression" dxfId="4075" priority="809">
      <formula>Y55&lt;1.8</formula>
    </cfRule>
    <cfRule type="expression" dxfId="4074" priority="810">
      <formula>Y55&gt;2.4</formula>
    </cfRule>
  </conditionalFormatting>
  <conditionalFormatting sqref="Q54">
    <cfRule type="expression" dxfId="4073" priority="807">
      <formula>Q54&lt;8</formula>
    </cfRule>
    <cfRule type="expression" dxfId="4072" priority="808">
      <formula>Q54&gt;16</formula>
    </cfRule>
  </conditionalFormatting>
  <conditionalFormatting sqref="Q55">
    <cfRule type="expression" dxfId="4071" priority="805">
      <formula>Q55&lt;1.8</formula>
    </cfRule>
    <cfRule type="expression" dxfId="4070" priority="806">
      <formula>Q55&gt;2.4</formula>
    </cfRule>
  </conditionalFormatting>
  <conditionalFormatting sqref="I16">
    <cfRule type="expression" dxfId="4069" priority="803">
      <formula>I16&lt;8</formula>
    </cfRule>
    <cfRule type="expression" dxfId="4068" priority="804">
      <formula>I16&gt;16</formula>
    </cfRule>
  </conditionalFormatting>
  <conditionalFormatting sqref="I17">
    <cfRule type="expression" dxfId="4067" priority="801">
      <formula>I17&lt;1.8</formula>
    </cfRule>
    <cfRule type="expression" dxfId="4066" priority="802">
      <formula>I17&gt;2.4</formula>
    </cfRule>
  </conditionalFormatting>
  <conditionalFormatting sqref="Q16">
    <cfRule type="expression" dxfId="4065" priority="799">
      <formula>Q16&lt;8</formula>
    </cfRule>
    <cfRule type="expression" dxfId="4064" priority="800">
      <formula>Q16&gt;16</formula>
    </cfRule>
  </conditionalFormatting>
  <conditionalFormatting sqref="Q17">
    <cfRule type="expression" dxfId="4063" priority="797">
      <formula>Q17&lt;1.8</formula>
    </cfRule>
    <cfRule type="expression" dxfId="4062" priority="798">
      <formula>Q17&gt;2.4</formula>
    </cfRule>
  </conditionalFormatting>
  <conditionalFormatting sqref="Y16">
    <cfRule type="expression" dxfId="4061" priority="795">
      <formula>Y16&lt;8</formula>
    </cfRule>
    <cfRule type="expression" dxfId="4060" priority="796">
      <formula>Y16&gt;16</formula>
    </cfRule>
  </conditionalFormatting>
  <conditionalFormatting sqref="Y17">
    <cfRule type="expression" dxfId="4059" priority="793">
      <formula>Y17&lt;1.8</formula>
    </cfRule>
    <cfRule type="expression" dxfId="4058" priority="794">
      <formula>Y17&gt;2.4</formula>
    </cfRule>
  </conditionalFormatting>
  <conditionalFormatting sqref="I29">
    <cfRule type="expression" dxfId="4057" priority="479">
      <formula>I29&lt;35</formula>
    </cfRule>
    <cfRule type="expression" dxfId="4056" priority="480">
      <formula>I29&gt;45</formula>
    </cfRule>
  </conditionalFormatting>
  <conditionalFormatting sqref="I29:J29">
    <cfRule type="cellIs" dxfId="4055" priority="477" operator="between">
      <formula>43.1</formula>
      <formula>45</formula>
    </cfRule>
    <cfRule type="cellIs" dxfId="4054" priority="478" operator="between">
      <formula>35</formula>
      <formula>36.9</formula>
    </cfRule>
  </conditionalFormatting>
  <conditionalFormatting sqref="K29">
    <cfRule type="expression" dxfId="4053" priority="475">
      <formula>K29&lt;35</formula>
    </cfRule>
    <cfRule type="expression" dxfId="4052" priority="476">
      <formula>K29&gt;45</formula>
    </cfRule>
  </conditionalFormatting>
  <conditionalFormatting sqref="K29:L29">
    <cfRule type="cellIs" dxfId="4051" priority="473" operator="between">
      <formula>43.1</formula>
      <formula>45</formula>
    </cfRule>
    <cfRule type="cellIs" dxfId="4050" priority="474" operator="between">
      <formula>35</formula>
      <formula>36.9</formula>
    </cfRule>
  </conditionalFormatting>
  <conditionalFormatting sqref="Q29">
    <cfRule type="expression" dxfId="4049" priority="471">
      <formula>Q29&lt;35</formula>
    </cfRule>
    <cfRule type="expression" dxfId="4048" priority="472">
      <formula>Q29&gt;45</formula>
    </cfRule>
  </conditionalFormatting>
  <conditionalFormatting sqref="Q29:R29">
    <cfRule type="cellIs" dxfId="4047" priority="469" operator="between">
      <formula>43.1</formula>
      <formula>45</formula>
    </cfRule>
    <cfRule type="cellIs" dxfId="4046" priority="470" operator="between">
      <formula>35</formula>
      <formula>36.9</formula>
    </cfRule>
  </conditionalFormatting>
  <conditionalFormatting sqref="S29">
    <cfRule type="expression" dxfId="4045" priority="467">
      <formula>S29&lt;35</formula>
    </cfRule>
    <cfRule type="expression" dxfId="4044" priority="468">
      <formula>S29&gt;45</formula>
    </cfRule>
  </conditionalFormatting>
  <conditionalFormatting sqref="S29:T29">
    <cfRule type="cellIs" dxfId="4043" priority="465" operator="between">
      <formula>43.1</formula>
      <formula>45</formula>
    </cfRule>
    <cfRule type="cellIs" dxfId="4042" priority="466" operator="between">
      <formula>35</formula>
      <formula>36.9</formula>
    </cfRule>
  </conditionalFormatting>
  <conditionalFormatting sqref="Y29">
    <cfRule type="expression" dxfId="4041" priority="463">
      <formula>Y29&lt;35</formula>
    </cfRule>
    <cfRule type="expression" dxfId="4040" priority="464">
      <formula>Y29&gt;45</formula>
    </cfRule>
  </conditionalFormatting>
  <conditionalFormatting sqref="Y29:Z29">
    <cfRule type="cellIs" dxfId="4039" priority="461" operator="between">
      <formula>43.1</formula>
      <formula>45</formula>
    </cfRule>
    <cfRule type="cellIs" dxfId="4038" priority="462" operator="between">
      <formula>35</formula>
      <formula>36.9</formula>
    </cfRule>
  </conditionalFormatting>
  <conditionalFormatting sqref="AA29">
    <cfRule type="expression" dxfId="4037" priority="459">
      <formula>AA29&lt;35</formula>
    </cfRule>
    <cfRule type="expression" dxfId="4036" priority="460">
      <formula>AA29&gt;45</formula>
    </cfRule>
  </conditionalFormatting>
  <conditionalFormatting sqref="AA29:AB29">
    <cfRule type="cellIs" dxfId="4035" priority="457" operator="between">
      <formula>43.1</formula>
      <formula>45</formula>
    </cfRule>
    <cfRule type="cellIs" dxfId="4034" priority="458" operator="between">
      <formula>35</formula>
      <formula>36.9</formula>
    </cfRule>
  </conditionalFormatting>
  <conditionalFormatting sqref="I67">
    <cfRule type="expression" dxfId="4033" priority="455">
      <formula>I67&lt;35</formula>
    </cfRule>
    <cfRule type="expression" dxfId="4032" priority="456">
      <formula>I67&gt;45</formula>
    </cfRule>
  </conditionalFormatting>
  <conditionalFormatting sqref="I67:J67">
    <cfRule type="cellIs" dxfId="4031" priority="453" operator="between">
      <formula>43.1</formula>
      <formula>45</formula>
    </cfRule>
    <cfRule type="cellIs" dxfId="4030" priority="454" operator="between">
      <formula>35</formula>
      <formula>36.9</formula>
    </cfRule>
  </conditionalFormatting>
  <conditionalFormatting sqref="K67">
    <cfRule type="expression" dxfId="4029" priority="451">
      <formula>K67&lt;35</formula>
    </cfRule>
    <cfRule type="expression" dxfId="4028" priority="452">
      <formula>K67&gt;45</formula>
    </cfRule>
  </conditionalFormatting>
  <conditionalFormatting sqref="K67:L67">
    <cfRule type="cellIs" dxfId="4027" priority="449" operator="between">
      <formula>43.1</formula>
      <formula>45</formula>
    </cfRule>
    <cfRule type="cellIs" dxfId="4026" priority="450" operator="between">
      <formula>35</formula>
      <formula>36.9</formula>
    </cfRule>
  </conditionalFormatting>
  <conditionalFormatting sqref="Q67">
    <cfRule type="expression" dxfId="4025" priority="447">
      <formula>Q67&lt;35</formula>
    </cfRule>
    <cfRule type="expression" dxfId="4024" priority="448">
      <formula>Q67&gt;45</formula>
    </cfRule>
  </conditionalFormatting>
  <conditionalFormatting sqref="Q67:R67">
    <cfRule type="cellIs" dxfId="4023" priority="445" operator="between">
      <formula>43.1</formula>
      <formula>45</formula>
    </cfRule>
    <cfRule type="cellIs" dxfId="4022" priority="446" operator="between">
      <formula>35</formula>
      <formula>36.9</formula>
    </cfRule>
  </conditionalFormatting>
  <conditionalFormatting sqref="S67">
    <cfRule type="expression" dxfId="4021" priority="443">
      <formula>S67&lt;35</formula>
    </cfRule>
    <cfRule type="expression" dxfId="4020" priority="444">
      <formula>S67&gt;45</formula>
    </cfRule>
  </conditionalFormatting>
  <conditionalFormatting sqref="S67:T67">
    <cfRule type="cellIs" dxfId="4019" priority="441" operator="between">
      <formula>43.1</formula>
      <formula>45</formula>
    </cfRule>
    <cfRule type="cellIs" dxfId="4018" priority="442" operator="between">
      <formula>35</formula>
      <formula>36.9</formula>
    </cfRule>
  </conditionalFormatting>
  <conditionalFormatting sqref="Y67">
    <cfRule type="expression" dxfId="4017" priority="439">
      <formula>Y67&lt;35</formula>
    </cfRule>
    <cfRule type="expression" dxfId="4016" priority="440">
      <formula>Y67&gt;45</formula>
    </cfRule>
  </conditionalFormatting>
  <conditionalFormatting sqref="Y67:Z67">
    <cfRule type="cellIs" dxfId="4015" priority="437" operator="between">
      <formula>43.1</formula>
      <formula>45</formula>
    </cfRule>
    <cfRule type="cellIs" dxfId="4014" priority="438" operator="between">
      <formula>35</formula>
      <formula>36.9</formula>
    </cfRule>
  </conditionalFormatting>
  <conditionalFormatting sqref="AA67">
    <cfRule type="expression" dxfId="4013" priority="435">
      <formula>AA67&lt;35</formula>
    </cfRule>
    <cfRule type="expression" dxfId="4012" priority="436">
      <formula>AA67&gt;45</formula>
    </cfRule>
  </conditionalFormatting>
  <conditionalFormatting sqref="AA67:AB67">
    <cfRule type="cellIs" dxfId="4011" priority="433" operator="between">
      <formula>43.1</formula>
      <formula>45</formula>
    </cfRule>
    <cfRule type="cellIs" dxfId="4010" priority="434" operator="between">
      <formula>35</formula>
      <formula>36.9</formula>
    </cfRule>
  </conditionalFormatting>
  <conditionalFormatting sqref="I71">
    <cfRule type="expression" dxfId="4009" priority="431">
      <formula>I71&lt;50</formula>
    </cfRule>
    <cfRule type="expression" dxfId="4008" priority="432">
      <formula>I71&gt;70</formula>
    </cfRule>
  </conditionalFormatting>
  <conditionalFormatting sqref="I71:J71">
    <cfRule type="cellIs" dxfId="4007" priority="429" operator="between">
      <formula>50</formula>
      <formula>54.9</formula>
    </cfRule>
    <cfRule type="cellIs" dxfId="4006" priority="430" operator="between">
      <formula>65.1</formula>
      <formula>70</formula>
    </cfRule>
  </conditionalFormatting>
  <conditionalFormatting sqref="K71">
    <cfRule type="expression" dxfId="4005" priority="427">
      <formula>K71&lt;50</formula>
    </cfRule>
    <cfRule type="expression" dxfId="4004" priority="428">
      <formula>K71&gt;70</formula>
    </cfRule>
  </conditionalFormatting>
  <conditionalFormatting sqref="K71:L71">
    <cfRule type="cellIs" dxfId="4003" priority="425" operator="between">
      <formula>50</formula>
      <formula>54.9</formula>
    </cfRule>
    <cfRule type="cellIs" dxfId="4002" priority="426" operator="between">
      <formula>65.1</formula>
      <formula>70</formula>
    </cfRule>
  </conditionalFormatting>
  <conditionalFormatting sqref="Q71">
    <cfRule type="expression" dxfId="4001" priority="423">
      <formula>Q71&lt;50</formula>
    </cfRule>
    <cfRule type="expression" dxfId="4000" priority="424">
      <formula>Q71&gt;70</formula>
    </cfRule>
  </conditionalFormatting>
  <conditionalFormatting sqref="Q71:R71">
    <cfRule type="cellIs" dxfId="3999" priority="421" operator="between">
      <formula>50</formula>
      <formula>54.9</formula>
    </cfRule>
    <cfRule type="cellIs" dxfId="3998" priority="422" operator="between">
      <formula>65.1</formula>
      <formula>70</formula>
    </cfRule>
  </conditionalFormatting>
  <conditionalFormatting sqref="S71">
    <cfRule type="expression" dxfId="3997" priority="419">
      <formula>S71&lt;50</formula>
    </cfRule>
    <cfRule type="expression" dxfId="3996" priority="420">
      <formula>S71&gt;70</formula>
    </cfRule>
  </conditionalFormatting>
  <conditionalFormatting sqref="S71:T71">
    <cfRule type="cellIs" dxfId="3995" priority="417" operator="between">
      <formula>50</formula>
      <formula>54.9</formula>
    </cfRule>
    <cfRule type="cellIs" dxfId="3994" priority="418" operator="between">
      <formula>65.1</formula>
      <formula>70</formula>
    </cfRule>
  </conditionalFormatting>
  <conditionalFormatting sqref="Y71">
    <cfRule type="expression" dxfId="3993" priority="415">
      <formula>Y71&lt;50</formula>
    </cfRule>
    <cfRule type="expression" dxfId="3992" priority="416">
      <formula>Y71&gt;70</formula>
    </cfRule>
  </conditionalFormatting>
  <conditionalFormatting sqref="Y71:Z71">
    <cfRule type="cellIs" dxfId="3991" priority="413" operator="between">
      <formula>50</formula>
      <formula>54.9</formula>
    </cfRule>
    <cfRule type="cellIs" dxfId="3990" priority="414" operator="between">
      <formula>65.1</formula>
      <formula>70</formula>
    </cfRule>
  </conditionalFormatting>
  <conditionalFormatting sqref="AA71">
    <cfRule type="expression" dxfId="3989" priority="411">
      <formula>AA71&lt;50</formula>
    </cfRule>
    <cfRule type="expression" dxfId="3988" priority="412">
      <formula>AA71&gt;70</formula>
    </cfRule>
  </conditionalFormatting>
  <conditionalFormatting sqref="AA71:AB71">
    <cfRule type="cellIs" dxfId="3987" priority="409" operator="between">
      <formula>50</formula>
      <formula>54.9</formula>
    </cfRule>
    <cfRule type="cellIs" dxfId="3986" priority="410" operator="between">
      <formula>65.1</formula>
      <formula>70</formula>
    </cfRule>
  </conditionalFormatting>
  <conditionalFormatting sqref="I33">
    <cfRule type="expression" dxfId="3985" priority="407">
      <formula>I33&lt;50</formula>
    </cfRule>
    <cfRule type="expression" dxfId="3984" priority="408">
      <formula>I33&gt;70</formula>
    </cfRule>
  </conditionalFormatting>
  <conditionalFormatting sqref="I33:J33">
    <cfRule type="cellIs" dxfId="3983" priority="405" operator="between">
      <formula>50</formula>
      <formula>54.9</formula>
    </cfRule>
    <cfRule type="cellIs" dxfId="3982" priority="406" operator="between">
      <formula>65.1</formula>
      <formula>70</formula>
    </cfRule>
  </conditionalFormatting>
  <conditionalFormatting sqref="K33">
    <cfRule type="expression" dxfId="3981" priority="403">
      <formula>K33&lt;50</formula>
    </cfRule>
    <cfRule type="expression" dxfId="3980" priority="404">
      <formula>K33&gt;70</formula>
    </cfRule>
  </conditionalFormatting>
  <conditionalFormatting sqref="K33:L33">
    <cfRule type="cellIs" dxfId="3979" priority="401" operator="between">
      <formula>50</formula>
      <formula>54.9</formula>
    </cfRule>
    <cfRule type="cellIs" dxfId="3978" priority="402" operator="between">
      <formula>65.1</formula>
      <formula>70</formula>
    </cfRule>
  </conditionalFormatting>
  <conditionalFormatting sqref="Q33">
    <cfRule type="expression" dxfId="3977" priority="399">
      <formula>Q33&lt;50</formula>
    </cfRule>
    <cfRule type="expression" dxfId="3976" priority="400">
      <formula>Q33&gt;70</formula>
    </cfRule>
  </conditionalFormatting>
  <conditionalFormatting sqref="Q33:R33">
    <cfRule type="cellIs" dxfId="3975" priority="397" operator="between">
      <formula>50</formula>
      <formula>54.9</formula>
    </cfRule>
    <cfRule type="cellIs" dxfId="3974" priority="398" operator="between">
      <formula>65.1</formula>
      <formula>70</formula>
    </cfRule>
  </conditionalFormatting>
  <conditionalFormatting sqref="S33">
    <cfRule type="expression" dxfId="3973" priority="395">
      <formula>S33&lt;50</formula>
    </cfRule>
    <cfRule type="expression" dxfId="3972" priority="396">
      <formula>S33&gt;70</formula>
    </cfRule>
  </conditionalFormatting>
  <conditionalFormatting sqref="S33:T33">
    <cfRule type="cellIs" dxfId="3971" priority="393" operator="between">
      <formula>50</formula>
      <formula>54.9</formula>
    </cfRule>
    <cfRule type="cellIs" dxfId="3970" priority="394" operator="between">
      <formula>65.1</formula>
      <formula>70</formula>
    </cfRule>
  </conditionalFormatting>
  <conditionalFormatting sqref="Y33">
    <cfRule type="expression" dxfId="3969" priority="391">
      <formula>Y33&lt;50</formula>
    </cfRule>
    <cfRule type="expression" dxfId="3968" priority="392">
      <formula>Y33&gt;70</formula>
    </cfRule>
  </conditionalFormatting>
  <conditionalFormatting sqref="Y33:Z33">
    <cfRule type="cellIs" dxfId="3967" priority="389" operator="between">
      <formula>50</formula>
      <formula>54.9</formula>
    </cfRule>
    <cfRule type="cellIs" dxfId="3966" priority="390" operator="between">
      <formula>65.1</formula>
      <formula>70</formula>
    </cfRule>
  </conditionalFormatting>
  <conditionalFormatting sqref="AA33">
    <cfRule type="expression" dxfId="3965" priority="387">
      <formula>AA33&lt;50</formula>
    </cfRule>
    <cfRule type="expression" dxfId="3964" priority="388">
      <formula>AA33&gt;70</formula>
    </cfRule>
  </conditionalFormatting>
  <conditionalFormatting sqref="AA33:AB33">
    <cfRule type="cellIs" dxfId="3963" priority="385" operator="between">
      <formula>50</formula>
      <formula>54.9</formula>
    </cfRule>
    <cfRule type="cellIs" dxfId="3962" priority="386" operator="between">
      <formula>65.1</formula>
      <formula>70</formula>
    </cfRule>
  </conditionalFormatting>
  <conditionalFormatting sqref="K69">
    <cfRule type="cellIs" dxfId="3961" priority="381" operator="between">
      <formula>65</formula>
      <formula>66.9</formula>
    </cfRule>
    <cfRule type="cellIs" dxfId="3960" priority="382" operator="between">
      <formula>73.1</formula>
      <formula>75</formula>
    </cfRule>
    <cfRule type="expression" dxfId="3959" priority="383">
      <formula>K69&lt;65</formula>
    </cfRule>
    <cfRule type="expression" dxfId="3958" priority="384">
      <formula>K69&gt;75</formula>
    </cfRule>
  </conditionalFormatting>
  <conditionalFormatting sqref="K68">
    <cfRule type="cellIs" dxfId="3957" priority="377" operator="between">
      <formula>55</formula>
      <formula>56.9</formula>
    </cfRule>
    <cfRule type="cellIs" dxfId="3956" priority="378" operator="between">
      <formula>63.1</formula>
      <formula>65</formula>
    </cfRule>
    <cfRule type="expression" dxfId="3955" priority="379">
      <formula>K68&lt;55</formula>
    </cfRule>
    <cfRule type="expression" dxfId="3954" priority="380">
      <formula>K68&gt;65</formula>
    </cfRule>
  </conditionalFormatting>
  <conditionalFormatting sqref="I68">
    <cfRule type="cellIs" dxfId="3953" priority="373" operator="between">
      <formula>55</formula>
      <formula>56.9</formula>
    </cfRule>
    <cfRule type="cellIs" dxfId="3952" priority="374" operator="between">
      <formula>63.1</formula>
      <formula>65</formula>
    </cfRule>
    <cfRule type="expression" dxfId="3951" priority="375">
      <formula>I68&lt;55</formula>
    </cfRule>
    <cfRule type="expression" dxfId="3950" priority="376">
      <formula>I68&gt;65</formula>
    </cfRule>
  </conditionalFormatting>
  <conditionalFormatting sqref="S69">
    <cfRule type="cellIs" dxfId="3949" priority="369" operator="between">
      <formula>65</formula>
      <formula>66.9</formula>
    </cfRule>
    <cfRule type="cellIs" dxfId="3948" priority="370" operator="between">
      <formula>73.1</formula>
      <formula>75</formula>
    </cfRule>
    <cfRule type="expression" dxfId="3947" priority="371">
      <formula>S69&lt;65</formula>
    </cfRule>
    <cfRule type="expression" dxfId="3946" priority="372">
      <formula>S69&gt;75</formula>
    </cfRule>
  </conditionalFormatting>
  <conditionalFormatting sqref="S68">
    <cfRule type="cellIs" dxfId="3945" priority="365" operator="between">
      <formula>55</formula>
      <formula>56.9</formula>
    </cfRule>
    <cfRule type="cellIs" dxfId="3944" priority="366" operator="between">
      <formula>63.1</formula>
      <formula>65</formula>
    </cfRule>
    <cfRule type="expression" dxfId="3943" priority="367">
      <formula>S68&lt;55</formula>
    </cfRule>
    <cfRule type="expression" dxfId="3942" priority="368">
      <formula>S68&gt;65</formula>
    </cfRule>
  </conditionalFormatting>
  <conditionalFormatting sqref="Q68">
    <cfRule type="cellIs" dxfId="3941" priority="361" operator="between">
      <formula>55</formula>
      <formula>56.9</formula>
    </cfRule>
    <cfRule type="cellIs" dxfId="3940" priority="362" operator="between">
      <formula>63.1</formula>
      <formula>65</formula>
    </cfRule>
    <cfRule type="expression" dxfId="3939" priority="363">
      <formula>Q68&lt;55</formula>
    </cfRule>
    <cfRule type="expression" dxfId="3938" priority="364">
      <formula>Q68&gt;65</formula>
    </cfRule>
  </conditionalFormatting>
  <conditionalFormatting sqref="AA69">
    <cfRule type="cellIs" dxfId="3937" priority="357" operator="between">
      <formula>65</formula>
      <formula>66.9</formula>
    </cfRule>
    <cfRule type="cellIs" dxfId="3936" priority="358" operator="between">
      <formula>73.1</formula>
      <formula>75</formula>
    </cfRule>
    <cfRule type="expression" dxfId="3935" priority="359">
      <formula>AA69&lt;65</formula>
    </cfRule>
    <cfRule type="expression" dxfId="3934" priority="360">
      <formula>AA69&gt;75</formula>
    </cfRule>
  </conditionalFormatting>
  <conditionalFormatting sqref="AA68">
    <cfRule type="cellIs" dxfId="3933" priority="353" operator="between">
      <formula>55</formula>
      <formula>56.9</formula>
    </cfRule>
    <cfRule type="cellIs" dxfId="3932" priority="354" operator="between">
      <formula>63.1</formula>
      <formula>65</formula>
    </cfRule>
    <cfRule type="expression" dxfId="3931" priority="355">
      <formula>AA68&lt;55</formula>
    </cfRule>
    <cfRule type="expression" dxfId="3930" priority="356">
      <formula>AA68&gt;65</formula>
    </cfRule>
  </conditionalFormatting>
  <conditionalFormatting sqref="Y68">
    <cfRule type="cellIs" dxfId="3929" priority="349" operator="between">
      <formula>55</formula>
      <formula>56.9</formula>
    </cfRule>
    <cfRule type="cellIs" dxfId="3928" priority="350" operator="between">
      <formula>63.1</formula>
      <formula>65</formula>
    </cfRule>
    <cfRule type="expression" dxfId="3927" priority="351">
      <formula>Y68&lt;55</formula>
    </cfRule>
    <cfRule type="expression" dxfId="3926" priority="352">
      <formula>Y68&gt;65</formula>
    </cfRule>
  </conditionalFormatting>
  <conditionalFormatting sqref="K31">
    <cfRule type="cellIs" dxfId="3925" priority="345" operator="between">
      <formula>65</formula>
      <formula>66.9</formula>
    </cfRule>
    <cfRule type="cellIs" dxfId="3924" priority="346" operator="between">
      <formula>73.1</formula>
      <formula>75</formula>
    </cfRule>
    <cfRule type="expression" dxfId="3923" priority="347">
      <formula>K31&lt;65</formula>
    </cfRule>
    <cfRule type="expression" dxfId="3922" priority="348">
      <formula>K31&gt;75</formula>
    </cfRule>
  </conditionalFormatting>
  <conditionalFormatting sqref="K30">
    <cfRule type="cellIs" dxfId="3921" priority="341" operator="between">
      <formula>55</formula>
      <formula>56.9</formula>
    </cfRule>
    <cfRule type="cellIs" dxfId="3920" priority="342" operator="between">
      <formula>63.1</formula>
      <formula>65</formula>
    </cfRule>
    <cfRule type="expression" dxfId="3919" priority="343">
      <formula>K30&lt;55</formula>
    </cfRule>
    <cfRule type="expression" dxfId="3918" priority="344">
      <formula>K30&gt;65</formula>
    </cfRule>
  </conditionalFormatting>
  <conditionalFormatting sqref="I30">
    <cfRule type="cellIs" dxfId="3917" priority="337" operator="between">
      <formula>55</formula>
      <formula>56.9</formula>
    </cfRule>
    <cfRule type="cellIs" dxfId="3916" priority="338" operator="between">
      <formula>63.1</formula>
      <formula>65</formula>
    </cfRule>
    <cfRule type="expression" dxfId="3915" priority="339">
      <formula>I30&lt;55</formula>
    </cfRule>
    <cfRule type="expression" dxfId="3914" priority="340">
      <formula>I30&gt;65</formula>
    </cfRule>
  </conditionalFormatting>
  <conditionalFormatting sqref="S31">
    <cfRule type="cellIs" dxfId="3913" priority="333" operator="between">
      <formula>65</formula>
      <formula>66.9</formula>
    </cfRule>
    <cfRule type="cellIs" dxfId="3912" priority="334" operator="between">
      <formula>73.1</formula>
      <formula>75</formula>
    </cfRule>
    <cfRule type="expression" dxfId="3911" priority="335">
      <formula>S31&lt;65</formula>
    </cfRule>
    <cfRule type="expression" dxfId="3910" priority="336">
      <formula>S31&gt;75</formula>
    </cfRule>
  </conditionalFormatting>
  <conditionalFormatting sqref="S30">
    <cfRule type="cellIs" dxfId="3909" priority="329" operator="between">
      <formula>55</formula>
      <formula>56.9</formula>
    </cfRule>
    <cfRule type="cellIs" dxfId="3908" priority="330" operator="between">
      <formula>63.1</formula>
      <formula>65</formula>
    </cfRule>
    <cfRule type="expression" dxfId="3907" priority="331">
      <formula>S30&lt;55</formula>
    </cfRule>
    <cfRule type="expression" dxfId="3906" priority="332">
      <formula>S30&gt;65</formula>
    </cfRule>
  </conditionalFormatting>
  <conditionalFormatting sqref="Q30">
    <cfRule type="cellIs" dxfId="3905" priority="325" operator="between">
      <formula>55</formula>
      <formula>56.9</formula>
    </cfRule>
    <cfRule type="cellIs" dxfId="3904" priority="326" operator="between">
      <formula>63.1</formula>
      <formula>65</formula>
    </cfRule>
    <cfRule type="expression" dxfId="3903" priority="327">
      <formula>Q30&lt;55</formula>
    </cfRule>
    <cfRule type="expression" dxfId="3902" priority="328">
      <formula>Q30&gt;65</formula>
    </cfRule>
  </conditionalFormatting>
  <conditionalFormatting sqref="AA31">
    <cfRule type="cellIs" dxfId="3901" priority="321" operator="between">
      <formula>65</formula>
      <formula>66.9</formula>
    </cfRule>
    <cfRule type="cellIs" dxfId="3900" priority="322" operator="between">
      <formula>73.1</formula>
      <formula>75</formula>
    </cfRule>
    <cfRule type="expression" dxfId="3899" priority="323">
      <formula>AA31&lt;65</formula>
    </cfRule>
    <cfRule type="expression" dxfId="3898" priority="324">
      <formula>AA31&gt;75</formula>
    </cfRule>
  </conditionalFormatting>
  <conditionalFormatting sqref="AA30">
    <cfRule type="cellIs" dxfId="3897" priority="317" operator="between">
      <formula>55</formula>
      <formula>56.9</formula>
    </cfRule>
    <cfRule type="cellIs" dxfId="3896" priority="318" operator="between">
      <formula>63.1</formula>
      <formula>65</formula>
    </cfRule>
    <cfRule type="expression" dxfId="3895" priority="319">
      <formula>AA30&lt;55</formula>
    </cfRule>
    <cfRule type="expression" dxfId="3894" priority="320">
      <formula>AA30&gt;65</formula>
    </cfRule>
  </conditionalFormatting>
  <conditionalFormatting sqref="Y30">
    <cfRule type="cellIs" dxfId="3893" priority="313" operator="between">
      <formula>55</formula>
      <formula>56.9</formula>
    </cfRule>
    <cfRule type="cellIs" dxfId="3892" priority="314" operator="between">
      <formula>63.1</formula>
      <formula>65</formula>
    </cfRule>
    <cfRule type="expression" dxfId="3891" priority="315">
      <formula>Y30&lt;55</formula>
    </cfRule>
    <cfRule type="expression" dxfId="3890" priority="316">
      <formula>Y30&gt;65</formula>
    </cfRule>
  </conditionalFormatting>
  <conditionalFormatting sqref="K62">
    <cfRule type="cellIs" dxfId="3889" priority="309" operator="between">
      <formula>65</formula>
      <formula>66.9</formula>
    </cfRule>
    <cfRule type="cellIs" dxfId="3888" priority="310" operator="between">
      <formula>73.1</formula>
      <formula>75</formula>
    </cfRule>
    <cfRule type="expression" dxfId="3887" priority="311">
      <formula>K62&lt;65</formula>
    </cfRule>
    <cfRule type="expression" dxfId="3886" priority="312">
      <formula>K62&gt;75</formula>
    </cfRule>
  </conditionalFormatting>
  <conditionalFormatting sqref="K66">
    <cfRule type="expression" dxfId="3885" priority="307">
      <formula>K66&lt;24</formula>
    </cfRule>
    <cfRule type="expression" dxfId="3884" priority="308">
      <formula>K66&gt;26</formula>
    </cfRule>
  </conditionalFormatting>
  <conditionalFormatting sqref="K63">
    <cfRule type="cellIs" dxfId="3883" priority="299" operator="between">
      <formula>65</formula>
      <formula>66.9</formula>
    </cfRule>
    <cfRule type="cellIs" dxfId="3882" priority="300" operator="between">
      <formula>73.1</formula>
      <formula>75</formula>
    </cfRule>
    <cfRule type="expression" dxfId="3881" priority="301">
      <formula>K63&lt;65</formula>
    </cfRule>
    <cfRule type="expression" dxfId="3880" priority="302">
      <formula>K63&gt;75</formula>
    </cfRule>
  </conditionalFormatting>
  <conditionalFormatting sqref="I62">
    <cfRule type="cellIs" dxfId="3879" priority="291" operator="between">
      <formula>65</formula>
      <formula>66.9</formula>
    </cfRule>
    <cfRule type="cellIs" dxfId="3878" priority="292" operator="between">
      <formula>73.1</formula>
      <formula>75</formula>
    </cfRule>
    <cfRule type="expression" dxfId="3877" priority="293">
      <formula>I62&lt;65</formula>
    </cfRule>
    <cfRule type="expression" dxfId="3876" priority="294">
      <formula>I62&gt;75</formula>
    </cfRule>
  </conditionalFormatting>
  <conditionalFormatting sqref="I66">
    <cfRule type="expression" dxfId="3875" priority="289">
      <formula>I66&lt;24</formula>
    </cfRule>
    <cfRule type="expression" dxfId="3874" priority="290">
      <formula>I66&gt;26</formula>
    </cfRule>
  </conditionalFormatting>
  <conditionalFormatting sqref="I63">
    <cfRule type="cellIs" dxfId="3873" priority="281" operator="between">
      <formula>65</formula>
      <formula>66.9</formula>
    </cfRule>
    <cfRule type="cellIs" dxfId="3872" priority="282" operator="between">
      <formula>73.1</formula>
      <formula>75</formula>
    </cfRule>
    <cfRule type="expression" dxfId="3871" priority="283">
      <formula>I63&lt;65</formula>
    </cfRule>
    <cfRule type="expression" dxfId="3870" priority="284">
      <formula>I63&gt;75</formula>
    </cfRule>
  </conditionalFormatting>
  <conditionalFormatting sqref="S62">
    <cfRule type="cellIs" dxfId="3869" priority="273" operator="between">
      <formula>65</formula>
      <formula>66.9</formula>
    </cfRule>
    <cfRule type="cellIs" dxfId="3868" priority="274" operator="between">
      <formula>73.1</formula>
      <formula>75</formula>
    </cfRule>
    <cfRule type="expression" dxfId="3867" priority="275">
      <formula>S62&lt;65</formula>
    </cfRule>
    <cfRule type="expression" dxfId="3866" priority="276">
      <formula>S62&gt;75</formula>
    </cfRule>
  </conditionalFormatting>
  <conditionalFormatting sqref="S66">
    <cfRule type="expression" dxfId="3865" priority="271">
      <formula>S66&lt;24</formula>
    </cfRule>
    <cfRule type="expression" dxfId="3864" priority="272">
      <formula>S66&gt;26</formula>
    </cfRule>
  </conditionalFormatting>
  <conditionalFormatting sqref="S63">
    <cfRule type="cellIs" dxfId="3863" priority="263" operator="between">
      <formula>65</formula>
      <formula>66.9</formula>
    </cfRule>
    <cfRule type="cellIs" dxfId="3862" priority="264" operator="between">
      <formula>73.1</formula>
      <formula>75</formula>
    </cfRule>
    <cfRule type="expression" dxfId="3861" priority="265">
      <formula>S63&lt;65</formula>
    </cfRule>
    <cfRule type="expression" dxfId="3860" priority="266">
      <formula>S63&gt;75</formula>
    </cfRule>
  </conditionalFormatting>
  <conditionalFormatting sqref="Q62">
    <cfRule type="cellIs" dxfId="3859" priority="255" operator="between">
      <formula>65</formula>
      <formula>66.9</formula>
    </cfRule>
    <cfRule type="cellIs" dxfId="3858" priority="256" operator="between">
      <formula>73.1</formula>
      <formula>75</formula>
    </cfRule>
    <cfRule type="expression" dxfId="3857" priority="257">
      <formula>Q62&lt;65</formula>
    </cfRule>
    <cfRule type="expression" dxfId="3856" priority="258">
      <formula>Q62&gt;75</formula>
    </cfRule>
  </conditionalFormatting>
  <conditionalFormatting sqref="Q66">
    <cfRule type="expression" dxfId="3855" priority="253">
      <formula>Q66&lt;24</formula>
    </cfRule>
    <cfRule type="expression" dxfId="3854" priority="254">
      <formula>Q66&gt;26</formula>
    </cfRule>
  </conditionalFormatting>
  <conditionalFormatting sqref="Q63">
    <cfRule type="cellIs" dxfId="3853" priority="245" operator="between">
      <formula>65</formula>
      <formula>66.9</formula>
    </cfRule>
    <cfRule type="cellIs" dxfId="3852" priority="246" operator="between">
      <formula>73.1</formula>
      <formula>75</formula>
    </cfRule>
    <cfRule type="expression" dxfId="3851" priority="247">
      <formula>Q63&lt;65</formula>
    </cfRule>
    <cfRule type="expression" dxfId="3850" priority="248">
      <formula>Q63&gt;75</formula>
    </cfRule>
  </conditionalFormatting>
  <conditionalFormatting sqref="AA62">
    <cfRule type="cellIs" dxfId="3849" priority="237" operator="between">
      <formula>65</formula>
      <formula>66.9</formula>
    </cfRule>
    <cfRule type="cellIs" dxfId="3848" priority="238" operator="between">
      <formula>73.1</formula>
      <formula>75</formula>
    </cfRule>
    <cfRule type="expression" dxfId="3847" priority="239">
      <formula>AA62&lt;65</formula>
    </cfRule>
    <cfRule type="expression" dxfId="3846" priority="240">
      <formula>AA62&gt;75</formula>
    </cfRule>
  </conditionalFormatting>
  <conditionalFormatting sqref="AA66">
    <cfRule type="expression" dxfId="3845" priority="235">
      <formula>AA66&lt;24</formula>
    </cfRule>
    <cfRule type="expression" dxfId="3844" priority="236">
      <formula>AA66&gt;26</formula>
    </cfRule>
  </conditionalFormatting>
  <conditionalFormatting sqref="AA63">
    <cfRule type="cellIs" dxfId="3843" priority="227" operator="between">
      <formula>65</formula>
      <formula>66.9</formula>
    </cfRule>
    <cfRule type="cellIs" dxfId="3842" priority="228" operator="between">
      <formula>73.1</formula>
      <formula>75</formula>
    </cfRule>
    <cfRule type="expression" dxfId="3841" priority="229">
      <formula>AA63&lt;65</formula>
    </cfRule>
    <cfRule type="expression" dxfId="3840" priority="230">
      <formula>AA63&gt;75</formula>
    </cfRule>
  </conditionalFormatting>
  <conditionalFormatting sqref="Y62">
    <cfRule type="cellIs" dxfId="3839" priority="219" operator="between">
      <formula>65</formula>
      <formula>66.9</formula>
    </cfRule>
    <cfRule type="cellIs" dxfId="3838" priority="220" operator="between">
      <formula>73.1</formula>
      <formula>75</formula>
    </cfRule>
    <cfRule type="expression" dxfId="3837" priority="221">
      <formula>Y62&lt;65</formula>
    </cfRule>
    <cfRule type="expression" dxfId="3836" priority="222">
      <formula>Y62&gt;75</formula>
    </cfRule>
  </conditionalFormatting>
  <conditionalFormatting sqref="Y66">
    <cfRule type="expression" dxfId="3835" priority="217">
      <formula>Y66&lt;24</formula>
    </cfRule>
    <cfRule type="expression" dxfId="3834" priority="218">
      <formula>Y66&gt;26</formula>
    </cfRule>
  </conditionalFormatting>
  <conditionalFormatting sqref="Y63">
    <cfRule type="cellIs" dxfId="3833" priority="209" operator="between">
      <formula>65</formula>
      <formula>66.9</formula>
    </cfRule>
    <cfRule type="cellIs" dxfId="3832" priority="210" operator="between">
      <formula>73.1</formula>
      <formula>75</formula>
    </cfRule>
    <cfRule type="expression" dxfId="3831" priority="211">
      <formula>Y63&lt;65</formula>
    </cfRule>
    <cfRule type="expression" dxfId="3830" priority="212">
      <formula>Y63&gt;75</formula>
    </cfRule>
  </conditionalFormatting>
  <conditionalFormatting sqref="K24">
    <cfRule type="cellIs" dxfId="3829" priority="201" operator="between">
      <formula>65</formula>
      <formula>66.9</formula>
    </cfRule>
    <cfRule type="cellIs" dxfId="3828" priority="202" operator="between">
      <formula>73.1</formula>
      <formula>75</formula>
    </cfRule>
    <cfRule type="expression" dxfId="3827" priority="203">
      <formula>K24&lt;65</formula>
    </cfRule>
    <cfRule type="expression" dxfId="3826" priority="204">
      <formula>K24&gt;75</formula>
    </cfRule>
  </conditionalFormatting>
  <conditionalFormatting sqref="K28">
    <cfRule type="expression" dxfId="3825" priority="199">
      <formula>K28&lt;24</formula>
    </cfRule>
    <cfRule type="expression" dxfId="3824" priority="200">
      <formula>K28&gt;26</formula>
    </cfRule>
  </conditionalFormatting>
  <conditionalFormatting sqref="K25">
    <cfRule type="cellIs" dxfId="3823" priority="191" operator="between">
      <formula>65</formula>
      <formula>66.9</formula>
    </cfRule>
    <cfRule type="cellIs" dxfId="3822" priority="192" operator="between">
      <formula>73.1</formula>
      <formula>75</formula>
    </cfRule>
    <cfRule type="expression" dxfId="3821" priority="193">
      <formula>K25&lt;65</formula>
    </cfRule>
    <cfRule type="expression" dxfId="3820" priority="194">
      <formula>K25&gt;75</formula>
    </cfRule>
  </conditionalFormatting>
  <conditionalFormatting sqref="I24">
    <cfRule type="cellIs" dxfId="3819" priority="183" operator="between">
      <formula>65</formula>
      <formula>66.9</formula>
    </cfRule>
    <cfRule type="cellIs" dxfId="3818" priority="184" operator="between">
      <formula>73.1</formula>
      <formula>75</formula>
    </cfRule>
    <cfRule type="expression" dxfId="3817" priority="185">
      <formula>I24&lt;65</formula>
    </cfRule>
    <cfRule type="expression" dxfId="3816" priority="186">
      <formula>I24&gt;75</formula>
    </cfRule>
  </conditionalFormatting>
  <conditionalFormatting sqref="I28">
    <cfRule type="expression" dxfId="3815" priority="181">
      <formula>I28&lt;24</formula>
    </cfRule>
    <cfRule type="expression" dxfId="3814" priority="182">
      <formula>I28&gt;26</formula>
    </cfRule>
  </conditionalFormatting>
  <conditionalFormatting sqref="I25">
    <cfRule type="cellIs" dxfId="3813" priority="173" operator="between">
      <formula>65</formula>
      <formula>66.9</formula>
    </cfRule>
    <cfRule type="cellIs" dxfId="3812" priority="174" operator="between">
      <formula>73.1</formula>
      <formula>75</formula>
    </cfRule>
    <cfRule type="expression" dxfId="3811" priority="175">
      <formula>I25&lt;65</formula>
    </cfRule>
    <cfRule type="expression" dxfId="3810" priority="176">
      <formula>I25&gt;75</formula>
    </cfRule>
  </conditionalFormatting>
  <conditionalFormatting sqref="S24">
    <cfRule type="cellIs" dxfId="3809" priority="165" operator="between">
      <formula>65</formula>
      <formula>66.9</formula>
    </cfRule>
    <cfRule type="cellIs" dxfId="3808" priority="166" operator="between">
      <formula>73.1</formula>
      <formula>75</formula>
    </cfRule>
    <cfRule type="expression" dxfId="3807" priority="167">
      <formula>S24&lt;65</formula>
    </cfRule>
    <cfRule type="expression" dxfId="3806" priority="168">
      <formula>S24&gt;75</formula>
    </cfRule>
  </conditionalFormatting>
  <conditionalFormatting sqref="S28">
    <cfRule type="expression" dxfId="3805" priority="163">
      <formula>S28&lt;24</formula>
    </cfRule>
    <cfRule type="expression" dxfId="3804" priority="164">
      <formula>S28&gt;26</formula>
    </cfRule>
  </conditionalFormatting>
  <conditionalFormatting sqref="S25">
    <cfRule type="cellIs" dxfId="3803" priority="155" operator="between">
      <formula>65</formula>
      <formula>66.9</formula>
    </cfRule>
    <cfRule type="cellIs" dxfId="3802" priority="156" operator="between">
      <formula>73.1</formula>
      <formula>75</formula>
    </cfRule>
    <cfRule type="expression" dxfId="3801" priority="157">
      <formula>S25&lt;65</formula>
    </cfRule>
    <cfRule type="expression" dxfId="3800" priority="158">
      <formula>S25&gt;75</formula>
    </cfRule>
  </conditionalFormatting>
  <conditionalFormatting sqref="Q24">
    <cfRule type="cellIs" dxfId="3799" priority="147" operator="between">
      <formula>65</formula>
      <formula>66.9</formula>
    </cfRule>
    <cfRule type="cellIs" dxfId="3798" priority="148" operator="between">
      <formula>73.1</formula>
      <formula>75</formula>
    </cfRule>
    <cfRule type="expression" dxfId="3797" priority="149">
      <formula>Q24&lt;65</formula>
    </cfRule>
    <cfRule type="expression" dxfId="3796" priority="150">
      <formula>Q24&gt;75</formula>
    </cfRule>
  </conditionalFormatting>
  <conditionalFormatting sqref="Q28">
    <cfRule type="expression" dxfId="3795" priority="145">
      <formula>Q28&lt;24</formula>
    </cfRule>
    <cfRule type="expression" dxfId="3794" priority="146">
      <formula>Q28&gt;26</formula>
    </cfRule>
  </conditionalFormatting>
  <conditionalFormatting sqref="Q25">
    <cfRule type="cellIs" dxfId="3793" priority="137" operator="between">
      <formula>65</formula>
      <formula>66.9</formula>
    </cfRule>
    <cfRule type="cellIs" dxfId="3792" priority="138" operator="between">
      <formula>73.1</formula>
      <formula>75</formula>
    </cfRule>
    <cfRule type="expression" dxfId="3791" priority="139">
      <formula>Q25&lt;65</formula>
    </cfRule>
    <cfRule type="expression" dxfId="3790" priority="140">
      <formula>Q25&gt;75</formula>
    </cfRule>
  </conditionalFormatting>
  <conditionalFormatting sqref="AA24">
    <cfRule type="cellIs" dxfId="3789" priority="129" operator="between">
      <formula>65</formula>
      <formula>66.9</formula>
    </cfRule>
    <cfRule type="cellIs" dxfId="3788" priority="130" operator="between">
      <formula>73.1</formula>
      <formula>75</formula>
    </cfRule>
    <cfRule type="expression" dxfId="3787" priority="131">
      <formula>AA24&lt;65</formula>
    </cfRule>
    <cfRule type="expression" dxfId="3786" priority="132">
      <formula>AA24&gt;75</formula>
    </cfRule>
  </conditionalFormatting>
  <conditionalFormatting sqref="AA28">
    <cfRule type="expression" dxfId="3785" priority="127">
      <formula>AA28&lt;24</formula>
    </cfRule>
    <cfRule type="expression" dxfId="3784" priority="128">
      <formula>AA28&gt;26</formula>
    </cfRule>
  </conditionalFormatting>
  <conditionalFormatting sqref="AA25">
    <cfRule type="cellIs" dxfId="3783" priority="119" operator="between">
      <formula>65</formula>
      <formula>66.9</formula>
    </cfRule>
    <cfRule type="cellIs" dxfId="3782" priority="120" operator="between">
      <formula>73.1</formula>
      <formula>75</formula>
    </cfRule>
    <cfRule type="expression" dxfId="3781" priority="121">
      <formula>AA25&lt;65</formula>
    </cfRule>
    <cfRule type="expression" dxfId="3780" priority="122">
      <formula>AA25&gt;75</formula>
    </cfRule>
  </conditionalFormatting>
  <conditionalFormatting sqref="Y24">
    <cfRule type="cellIs" dxfId="3779" priority="111" operator="between">
      <formula>65</formula>
      <formula>66.9</formula>
    </cfRule>
    <cfRule type="cellIs" dxfId="3778" priority="112" operator="between">
      <formula>73.1</formula>
      <formula>75</formula>
    </cfRule>
    <cfRule type="expression" dxfId="3777" priority="113">
      <formula>Y24&lt;65</formula>
    </cfRule>
    <cfRule type="expression" dxfId="3776" priority="114">
      <formula>Y24&gt;75</formula>
    </cfRule>
  </conditionalFormatting>
  <conditionalFormatting sqref="Y28">
    <cfRule type="expression" dxfId="3775" priority="109">
      <formula>Y28&lt;24</formula>
    </cfRule>
    <cfRule type="expression" dxfId="3774" priority="110">
      <formula>Y28&gt;26</formula>
    </cfRule>
  </conditionalFormatting>
  <conditionalFormatting sqref="Y25">
    <cfRule type="cellIs" dxfId="3773" priority="101" operator="between">
      <formula>65</formula>
      <formula>66.9</formula>
    </cfRule>
    <cfRule type="cellIs" dxfId="3772" priority="102" operator="between">
      <formula>73.1</formula>
      <formula>75</formula>
    </cfRule>
    <cfRule type="expression" dxfId="3771" priority="103">
      <formula>Y25&lt;65</formula>
    </cfRule>
    <cfRule type="expression" dxfId="3770" priority="104">
      <formula>Y25&gt;75</formula>
    </cfRule>
  </conditionalFormatting>
  <conditionalFormatting sqref="I64">
    <cfRule type="cellIs" dxfId="3769" priority="93" operator="between">
      <formula>60</formula>
      <formula>61.9</formula>
    </cfRule>
    <cfRule type="cellIs" dxfId="3768" priority="94" operator="between">
      <formula>68.1</formula>
      <formula>70</formula>
    </cfRule>
    <cfRule type="expression" dxfId="3767" priority="95">
      <formula>I64&lt;60</formula>
    </cfRule>
    <cfRule type="expression" dxfId="3766" priority="96">
      <formula>I64&gt;70</formula>
    </cfRule>
  </conditionalFormatting>
  <conditionalFormatting sqref="I65">
    <cfRule type="cellIs" dxfId="3765" priority="89" operator="between">
      <formula>60</formula>
      <formula>61.9</formula>
    </cfRule>
    <cfRule type="cellIs" dxfId="3764" priority="90" operator="between">
      <formula>68.1</formula>
      <formula>70</formula>
    </cfRule>
    <cfRule type="expression" dxfId="3763" priority="91">
      <formula>I65&lt;60</formula>
    </cfRule>
    <cfRule type="expression" dxfId="3762" priority="92">
      <formula>I65&gt;70</formula>
    </cfRule>
  </conditionalFormatting>
  <conditionalFormatting sqref="K64">
    <cfRule type="cellIs" dxfId="3761" priority="85" operator="between">
      <formula>60</formula>
      <formula>61.9</formula>
    </cfRule>
    <cfRule type="cellIs" dxfId="3760" priority="86" operator="between">
      <formula>68.1</formula>
      <formula>70</formula>
    </cfRule>
    <cfRule type="expression" dxfId="3759" priority="87">
      <formula>K64&lt;60</formula>
    </cfRule>
    <cfRule type="expression" dxfId="3758" priority="88">
      <formula>K64&gt;70</formula>
    </cfRule>
  </conditionalFormatting>
  <conditionalFormatting sqref="K65">
    <cfRule type="cellIs" dxfId="3757" priority="81" operator="between">
      <formula>60</formula>
      <formula>61.9</formula>
    </cfRule>
    <cfRule type="cellIs" dxfId="3756" priority="82" operator="between">
      <formula>68.1</formula>
      <formula>70</formula>
    </cfRule>
    <cfRule type="expression" dxfId="3755" priority="83">
      <formula>K65&lt;60</formula>
    </cfRule>
    <cfRule type="expression" dxfId="3754" priority="84">
      <formula>K65&gt;70</formula>
    </cfRule>
  </conditionalFormatting>
  <conditionalFormatting sqref="Q64">
    <cfRule type="cellIs" dxfId="3753" priority="77" operator="between">
      <formula>60</formula>
      <formula>61.9</formula>
    </cfRule>
    <cfRule type="cellIs" dxfId="3752" priority="78" operator="between">
      <formula>68.1</formula>
      <formula>70</formula>
    </cfRule>
    <cfRule type="expression" dxfId="3751" priority="79">
      <formula>Q64&lt;60</formula>
    </cfRule>
    <cfRule type="expression" dxfId="3750" priority="80">
      <formula>Q64&gt;70</formula>
    </cfRule>
  </conditionalFormatting>
  <conditionalFormatting sqref="Q65">
    <cfRule type="cellIs" dxfId="3749" priority="73" operator="between">
      <formula>60</formula>
      <formula>61.9</formula>
    </cfRule>
    <cfRule type="cellIs" dxfId="3748" priority="74" operator="between">
      <formula>68.1</formula>
      <formula>70</formula>
    </cfRule>
    <cfRule type="expression" dxfId="3747" priority="75">
      <formula>Q65&lt;60</formula>
    </cfRule>
    <cfRule type="expression" dxfId="3746" priority="76">
      <formula>Q65&gt;70</formula>
    </cfRule>
  </conditionalFormatting>
  <conditionalFormatting sqref="S64">
    <cfRule type="cellIs" dxfId="3745" priority="69" operator="between">
      <formula>60</formula>
      <formula>61.9</formula>
    </cfRule>
    <cfRule type="cellIs" dxfId="3744" priority="70" operator="between">
      <formula>68.1</formula>
      <formula>70</formula>
    </cfRule>
    <cfRule type="expression" dxfId="3743" priority="71">
      <formula>S64&lt;60</formula>
    </cfRule>
    <cfRule type="expression" dxfId="3742" priority="72">
      <formula>S64&gt;70</formula>
    </cfRule>
  </conditionalFormatting>
  <conditionalFormatting sqref="S65">
    <cfRule type="cellIs" dxfId="3741" priority="65" operator="between">
      <formula>60</formula>
      <formula>61.9</formula>
    </cfRule>
    <cfRule type="cellIs" dxfId="3740" priority="66" operator="between">
      <formula>68.1</formula>
      <formula>70</formula>
    </cfRule>
    <cfRule type="expression" dxfId="3739" priority="67">
      <formula>S65&lt;60</formula>
    </cfRule>
    <cfRule type="expression" dxfId="3738" priority="68">
      <formula>S65&gt;70</formula>
    </cfRule>
  </conditionalFormatting>
  <conditionalFormatting sqref="Y64">
    <cfRule type="cellIs" dxfId="3737" priority="61" operator="between">
      <formula>60</formula>
      <formula>61.9</formula>
    </cfRule>
    <cfRule type="cellIs" dxfId="3736" priority="62" operator="between">
      <formula>68.1</formula>
      <formula>70</formula>
    </cfRule>
    <cfRule type="expression" dxfId="3735" priority="63">
      <formula>Y64&lt;60</formula>
    </cfRule>
    <cfRule type="expression" dxfId="3734" priority="64">
      <formula>Y64&gt;70</formula>
    </cfRule>
  </conditionalFormatting>
  <conditionalFormatting sqref="Y65">
    <cfRule type="cellIs" dxfId="3733" priority="57" operator="between">
      <formula>60</formula>
      <formula>61.9</formula>
    </cfRule>
    <cfRule type="cellIs" dxfId="3732" priority="58" operator="between">
      <formula>68.1</formula>
      <formula>70</formula>
    </cfRule>
    <cfRule type="expression" dxfId="3731" priority="59">
      <formula>Y65&lt;60</formula>
    </cfRule>
    <cfRule type="expression" dxfId="3730" priority="60">
      <formula>Y65&gt;70</formula>
    </cfRule>
  </conditionalFormatting>
  <conditionalFormatting sqref="AA64">
    <cfRule type="cellIs" dxfId="3729" priority="53" operator="between">
      <formula>60</formula>
      <formula>61.9</formula>
    </cfRule>
    <cfRule type="cellIs" dxfId="3728" priority="54" operator="between">
      <formula>68.1</formula>
      <formula>70</formula>
    </cfRule>
    <cfRule type="expression" dxfId="3727" priority="55">
      <formula>AA64&lt;60</formula>
    </cfRule>
    <cfRule type="expression" dxfId="3726" priority="56">
      <formula>AA64&gt;70</formula>
    </cfRule>
  </conditionalFormatting>
  <conditionalFormatting sqref="AA65">
    <cfRule type="cellIs" dxfId="3725" priority="49" operator="between">
      <formula>60</formula>
      <formula>61.9</formula>
    </cfRule>
    <cfRule type="cellIs" dxfId="3724" priority="50" operator="between">
      <formula>68.1</formula>
      <formula>70</formula>
    </cfRule>
    <cfRule type="expression" dxfId="3723" priority="51">
      <formula>AA65&lt;60</formula>
    </cfRule>
    <cfRule type="expression" dxfId="3722" priority="52">
      <formula>AA65&gt;70</formula>
    </cfRule>
  </conditionalFormatting>
  <conditionalFormatting sqref="I26">
    <cfRule type="cellIs" dxfId="3721" priority="45" operator="between">
      <formula>60</formula>
      <formula>61.9</formula>
    </cfRule>
    <cfRule type="cellIs" dxfId="3720" priority="46" operator="between">
      <formula>68.1</formula>
      <formula>70</formula>
    </cfRule>
    <cfRule type="expression" dxfId="3719" priority="47">
      <formula>I26&lt;60</formula>
    </cfRule>
    <cfRule type="expression" dxfId="3718" priority="48">
      <formula>I26&gt;70</formula>
    </cfRule>
  </conditionalFormatting>
  <conditionalFormatting sqref="I27">
    <cfRule type="cellIs" dxfId="3717" priority="41" operator="between">
      <formula>60</formula>
      <formula>61.9</formula>
    </cfRule>
    <cfRule type="cellIs" dxfId="3716" priority="42" operator="between">
      <formula>68.1</formula>
      <formula>70</formula>
    </cfRule>
    <cfRule type="expression" dxfId="3715" priority="43">
      <formula>I27&lt;60</formula>
    </cfRule>
    <cfRule type="expression" dxfId="3714" priority="44">
      <formula>I27&gt;70</formula>
    </cfRule>
  </conditionalFormatting>
  <conditionalFormatting sqref="K26">
    <cfRule type="cellIs" dxfId="3713" priority="37" operator="between">
      <formula>60</formula>
      <formula>61.9</formula>
    </cfRule>
    <cfRule type="cellIs" dxfId="3712" priority="38" operator="between">
      <formula>68.1</formula>
      <formula>70</formula>
    </cfRule>
    <cfRule type="expression" dxfId="3711" priority="39">
      <formula>K26&lt;60</formula>
    </cfRule>
    <cfRule type="expression" dxfId="3710" priority="40">
      <formula>K26&gt;70</formula>
    </cfRule>
  </conditionalFormatting>
  <conditionalFormatting sqref="K27">
    <cfRule type="cellIs" dxfId="3709" priority="33" operator="between">
      <formula>60</formula>
      <formula>61.9</formula>
    </cfRule>
    <cfRule type="cellIs" dxfId="3708" priority="34" operator="between">
      <formula>68.1</formula>
      <formula>70</formula>
    </cfRule>
    <cfRule type="expression" dxfId="3707" priority="35">
      <formula>K27&lt;60</formula>
    </cfRule>
    <cfRule type="expression" dxfId="3706" priority="36">
      <formula>K27&gt;70</formula>
    </cfRule>
  </conditionalFormatting>
  <conditionalFormatting sqref="Q26">
    <cfRule type="cellIs" dxfId="3705" priority="29" operator="between">
      <formula>60</formula>
      <formula>61.9</formula>
    </cfRule>
    <cfRule type="cellIs" dxfId="3704" priority="30" operator="between">
      <formula>68.1</formula>
      <formula>70</formula>
    </cfRule>
    <cfRule type="expression" dxfId="3703" priority="31">
      <formula>Q26&lt;60</formula>
    </cfRule>
    <cfRule type="expression" dxfId="3702" priority="32">
      <formula>Q26&gt;70</formula>
    </cfRule>
  </conditionalFormatting>
  <conditionalFormatting sqref="Q27">
    <cfRule type="cellIs" dxfId="3701" priority="25" operator="between">
      <formula>60</formula>
      <formula>61.9</formula>
    </cfRule>
    <cfRule type="cellIs" dxfId="3700" priority="26" operator="between">
      <formula>68.1</formula>
      <formula>70</formula>
    </cfRule>
    <cfRule type="expression" dxfId="3699" priority="27">
      <formula>Q27&lt;60</formula>
    </cfRule>
    <cfRule type="expression" dxfId="3698" priority="28">
      <formula>Q27&gt;70</formula>
    </cfRule>
  </conditionalFormatting>
  <conditionalFormatting sqref="S26">
    <cfRule type="cellIs" dxfId="3697" priority="21" operator="between">
      <formula>60</formula>
      <formula>61.9</formula>
    </cfRule>
    <cfRule type="cellIs" dxfId="3696" priority="22" operator="between">
      <formula>68.1</formula>
      <formula>70</formula>
    </cfRule>
    <cfRule type="expression" dxfId="3695" priority="23">
      <formula>S26&lt;60</formula>
    </cfRule>
    <cfRule type="expression" dxfId="3694" priority="24">
      <formula>S26&gt;70</formula>
    </cfRule>
  </conditionalFormatting>
  <conditionalFormatting sqref="S27">
    <cfRule type="cellIs" dxfId="3693" priority="17" operator="between">
      <formula>60</formula>
      <formula>61.9</formula>
    </cfRule>
    <cfRule type="cellIs" dxfId="3692" priority="18" operator="between">
      <formula>68.1</formula>
      <formula>70</formula>
    </cfRule>
    <cfRule type="expression" dxfId="3691" priority="19">
      <formula>S27&lt;60</formula>
    </cfRule>
    <cfRule type="expression" dxfId="3690" priority="20">
      <formula>S27&gt;70</formula>
    </cfRule>
  </conditionalFormatting>
  <conditionalFormatting sqref="Y26">
    <cfRule type="cellIs" dxfId="3689" priority="13" operator="between">
      <formula>60</formula>
      <formula>61.9</formula>
    </cfRule>
    <cfRule type="cellIs" dxfId="3688" priority="14" operator="between">
      <formula>68.1</formula>
      <formula>70</formula>
    </cfRule>
    <cfRule type="expression" dxfId="3687" priority="15">
      <formula>Y26&lt;60</formula>
    </cfRule>
    <cfRule type="expression" dxfId="3686" priority="16">
      <formula>Y26&gt;70</formula>
    </cfRule>
  </conditionalFormatting>
  <conditionalFormatting sqref="Y27">
    <cfRule type="cellIs" dxfId="3685" priority="9" operator="between">
      <formula>60</formula>
      <formula>61.9</formula>
    </cfRule>
    <cfRule type="cellIs" dxfId="3684" priority="10" operator="between">
      <formula>68.1</formula>
      <formula>70</formula>
    </cfRule>
    <cfRule type="expression" dxfId="3683" priority="11">
      <formula>Y27&lt;60</formula>
    </cfRule>
    <cfRule type="expression" dxfId="3682" priority="12">
      <formula>Y27&gt;70</formula>
    </cfRule>
  </conditionalFormatting>
  <conditionalFormatting sqref="AA26">
    <cfRule type="cellIs" dxfId="3681" priority="5" operator="between">
      <formula>60</formula>
      <formula>61.9</formula>
    </cfRule>
    <cfRule type="cellIs" dxfId="3680" priority="6" operator="between">
      <formula>68.1</formula>
      <formula>70</formula>
    </cfRule>
    <cfRule type="expression" dxfId="3679" priority="7">
      <formula>AA26&lt;60</formula>
    </cfRule>
    <cfRule type="expression" dxfId="3678" priority="8">
      <formula>AA26&gt;70</formula>
    </cfRule>
  </conditionalFormatting>
  <conditionalFormatting sqref="AA27">
    <cfRule type="cellIs" dxfId="3677" priority="1" operator="between">
      <formula>60</formula>
      <formula>61.9</formula>
    </cfRule>
    <cfRule type="cellIs" dxfId="3676" priority="2" operator="between">
      <formula>68.1</formula>
      <formula>70</formula>
    </cfRule>
    <cfRule type="expression" dxfId="3675" priority="3">
      <formula>AA27&lt;60</formula>
    </cfRule>
    <cfRule type="expression" dxfId="3674" priority="4">
      <formula>AA27&gt;70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rgb="FFFFC000"/>
  </sheetPr>
  <dimension ref="A1:Q69"/>
  <sheetViews>
    <sheetView view="pageBreakPreview" zoomScale="60" zoomScaleNormal="70" workbookViewId="0">
      <selection activeCell="I50" sqref="I50"/>
    </sheetView>
  </sheetViews>
  <sheetFormatPr defaultRowHeight="16.5"/>
  <cols>
    <col min="1" max="1" width="5" style="8" customWidth="1"/>
    <col min="2" max="2" width="11.125" style="31" customWidth="1"/>
    <col min="3" max="3" width="5.25" style="31" customWidth="1"/>
    <col min="4" max="4" width="12.625" style="31" customWidth="1"/>
    <col min="5" max="5" width="2.75" style="31" customWidth="1"/>
    <col min="6" max="6" width="8.25" style="7" customWidth="1"/>
    <col min="7" max="7" width="15.125" style="7" customWidth="1"/>
    <col min="8" max="8" width="12.375" style="7" customWidth="1"/>
    <col min="9" max="9" width="9.25" style="7" customWidth="1"/>
    <col min="10" max="10" width="3.125" style="7" customWidth="1"/>
    <col min="11" max="11" width="8.75" style="7" customWidth="1"/>
    <col min="12" max="12" width="4" style="7" customWidth="1"/>
    <col min="13" max="13" width="8.375" style="7" customWidth="1"/>
    <col min="14" max="14" width="4.25" style="7" customWidth="1"/>
    <col min="15" max="15" width="9.25" style="7" customWidth="1"/>
    <col min="16" max="16" width="4.875" style="7" customWidth="1"/>
    <col min="17" max="17" width="13.625" style="8" customWidth="1"/>
    <col min="18" max="16384" width="9" style="8"/>
  </cols>
  <sheetData>
    <row r="1" spans="1:17" ht="28.5" customHeight="1">
      <c r="A1" s="2231" t="s">
        <v>151</v>
      </c>
      <c r="B1" s="2231"/>
      <c r="C1" s="2231"/>
      <c r="D1" s="2231"/>
      <c r="E1" s="2231"/>
      <c r="F1" s="2231"/>
      <c r="G1" s="2231"/>
      <c r="H1" s="2231"/>
      <c r="I1" s="2231"/>
      <c r="J1" s="2231"/>
      <c r="K1" s="2231"/>
      <c r="L1" s="2231"/>
      <c r="M1" s="2231"/>
      <c r="N1" s="2231"/>
      <c r="O1" s="1110"/>
      <c r="P1" s="1110"/>
      <c r="Q1" s="70"/>
    </row>
    <row r="2" spans="1:17" ht="51.75" customHeight="1">
      <c r="A2" s="2232" t="s">
        <v>1042</v>
      </c>
      <c r="B2" s="2232"/>
      <c r="C2" s="2232"/>
      <c r="D2" s="2232"/>
      <c r="E2" s="2232"/>
      <c r="F2" s="2232"/>
      <c r="G2" s="2232"/>
      <c r="H2" s="2232"/>
      <c r="I2" s="2232"/>
      <c r="J2" s="2232"/>
      <c r="K2" s="2232"/>
      <c r="L2" s="2232"/>
      <c r="M2" s="2232"/>
      <c r="N2" s="2267"/>
      <c r="O2" s="2268" t="s">
        <v>96</v>
      </c>
      <c r="P2" s="2130"/>
      <c r="Q2" s="85" t="s">
        <v>17</v>
      </c>
    </row>
    <row r="3" spans="1:17" ht="28.5" customHeight="1">
      <c r="A3" s="9"/>
      <c r="B3" s="1703" t="s">
        <v>143</v>
      </c>
      <c r="C3" s="1654"/>
      <c r="D3" s="1654"/>
      <c r="E3" s="1654"/>
      <c r="F3" s="1655"/>
      <c r="G3" s="1656" t="str">
        <f>'1. XL-1E kh'!$G$3</f>
        <v>2023/03/21</v>
      </c>
      <c r="H3" s="1646"/>
      <c r="I3" s="28"/>
      <c r="J3" s="28"/>
      <c r="K3" s="28"/>
      <c r="L3" s="29"/>
      <c r="M3" s="29"/>
      <c r="N3" s="29"/>
      <c r="O3" s="2269" t="str">
        <f>'1. XL-1E kh'!$AD$3</f>
        <v>Trang</v>
      </c>
      <c r="P3" s="2270"/>
      <c r="Q3" s="84" t="s">
        <v>11</v>
      </c>
    </row>
    <row r="4" spans="1:17" s="71" customFormat="1" ht="41.25" customHeight="1">
      <c r="A4" s="2271" t="s">
        <v>7</v>
      </c>
      <c r="B4" s="2272" t="s">
        <v>79</v>
      </c>
      <c r="C4" s="2273"/>
      <c r="D4" s="2273"/>
      <c r="E4" s="2274"/>
      <c r="F4" s="2278" t="s">
        <v>136</v>
      </c>
      <c r="G4" s="2125" t="s">
        <v>1424</v>
      </c>
      <c r="H4" s="2173" t="s">
        <v>1412</v>
      </c>
      <c r="I4" s="2128">
        <v>0.26041666666666669</v>
      </c>
      <c r="J4" s="2129"/>
      <c r="K4" s="2129"/>
      <c r="L4" s="2130"/>
      <c r="M4" s="2128">
        <v>0.59375</v>
      </c>
      <c r="N4" s="2129"/>
      <c r="O4" s="2129"/>
      <c r="P4" s="2130"/>
      <c r="Q4" s="2208" t="s">
        <v>41</v>
      </c>
    </row>
    <row r="5" spans="1:17" s="71" customFormat="1" ht="30" customHeight="1">
      <c r="A5" s="2271"/>
      <c r="B5" s="2275"/>
      <c r="C5" s="2276"/>
      <c r="D5" s="2276"/>
      <c r="E5" s="2277"/>
      <c r="F5" s="2279"/>
      <c r="G5" s="2126"/>
      <c r="H5" s="2174"/>
      <c r="I5" s="60" t="s">
        <v>145</v>
      </c>
      <c r="J5" s="2134" t="s">
        <v>1</v>
      </c>
      <c r="K5" s="2135"/>
      <c r="L5" s="2136"/>
      <c r="M5" s="60" t="s">
        <v>145</v>
      </c>
      <c r="N5" s="2134" t="s">
        <v>1</v>
      </c>
      <c r="O5" s="2135"/>
      <c r="P5" s="2136"/>
      <c r="Q5" s="2209"/>
    </row>
    <row r="6" spans="1:17" ht="36" customHeight="1">
      <c r="A6" s="2280">
        <v>1</v>
      </c>
      <c r="B6" s="2282" t="s">
        <v>154</v>
      </c>
      <c r="C6" s="2283"/>
      <c r="D6" s="2286" t="s">
        <v>258</v>
      </c>
      <c r="E6" s="2287"/>
      <c r="F6" s="1166" t="s">
        <v>4</v>
      </c>
      <c r="G6" s="1000" t="str">
        <f>'XM.GUI MAIL'!$E$68</f>
        <v>40~60</v>
      </c>
      <c r="H6" s="1000" t="str">
        <f>'XM.GUI MAIL'!$F$68</f>
        <v>(50±5)</v>
      </c>
      <c r="I6" s="61">
        <f>'XM.FILE GOC'!I68</f>
        <v>87.290499999999994</v>
      </c>
      <c r="J6" s="72" t="s">
        <v>8</v>
      </c>
      <c r="K6" s="73">
        <f>'XM.FILE GOC'!L68</f>
        <v>0</v>
      </c>
      <c r="L6" s="30" t="s">
        <v>9</v>
      </c>
      <c r="M6" s="61">
        <f>'XM.FILE GOC'!U68</f>
        <v>0</v>
      </c>
      <c r="N6" s="72" t="s">
        <v>8</v>
      </c>
      <c r="O6" s="73">
        <f>'XM.FILE GOC'!X68</f>
        <v>775.85</v>
      </c>
      <c r="P6" s="30" t="s">
        <v>9</v>
      </c>
      <c r="Q6" s="1109" t="s">
        <v>42</v>
      </c>
    </row>
    <row r="7" spans="1:17" ht="36" customHeight="1">
      <c r="A7" s="2281"/>
      <c r="B7" s="2284"/>
      <c r="C7" s="2285"/>
      <c r="D7" s="2286" t="s">
        <v>259</v>
      </c>
      <c r="E7" s="2287"/>
      <c r="F7" s="1132" t="s">
        <v>58</v>
      </c>
      <c r="G7" s="1000" t="s">
        <v>1189</v>
      </c>
      <c r="H7" s="1000"/>
      <c r="I7" s="61"/>
      <c r="J7" s="72" t="s">
        <v>8</v>
      </c>
      <c r="K7" s="74">
        <f>K6/25*840/1000</f>
        <v>0</v>
      </c>
      <c r="L7" s="75" t="s">
        <v>10</v>
      </c>
      <c r="M7" s="61"/>
      <c r="N7" s="72" t="s">
        <v>8</v>
      </c>
      <c r="O7" s="74">
        <f>O6/25*840/1000</f>
        <v>26.068560000000002</v>
      </c>
      <c r="P7" s="75" t="s">
        <v>10</v>
      </c>
      <c r="Q7" s="1109"/>
    </row>
    <row r="8" spans="1:17" ht="36" customHeight="1">
      <c r="A8" s="2280">
        <v>2</v>
      </c>
      <c r="B8" s="2282" t="s">
        <v>155</v>
      </c>
      <c r="C8" s="2283"/>
      <c r="D8" s="2286" t="s">
        <v>258</v>
      </c>
      <c r="E8" s="2287"/>
      <c r="F8" s="1166" t="s">
        <v>4</v>
      </c>
      <c r="G8" s="1000" t="str">
        <f>'XM.GUI MAIL'!$E$69</f>
        <v>40~60</v>
      </c>
      <c r="H8" s="1000" t="str">
        <f>'XM.GUI MAIL'!$F$69</f>
        <v>(50±5)</v>
      </c>
      <c r="I8" s="61">
        <f>'XM.FILE GOC'!I69</f>
        <v>0</v>
      </c>
      <c r="J8" s="72" t="s">
        <v>8</v>
      </c>
      <c r="K8" s="73">
        <f>'XM.FILE GOC'!L69</f>
        <v>573.75</v>
      </c>
      <c r="L8" s="30" t="s">
        <v>9</v>
      </c>
      <c r="M8" s="61">
        <f>'XM.FILE GOC'!U69</f>
        <v>0</v>
      </c>
      <c r="N8" s="72" t="s">
        <v>8</v>
      </c>
      <c r="O8" s="73">
        <f>'XM.FILE GOC'!X69</f>
        <v>573.75</v>
      </c>
      <c r="P8" s="30" t="s">
        <v>9</v>
      </c>
      <c r="Q8" s="1109" t="s">
        <v>42</v>
      </c>
    </row>
    <row r="9" spans="1:17" ht="36" customHeight="1">
      <c r="A9" s="2281"/>
      <c r="B9" s="2284"/>
      <c r="C9" s="2285"/>
      <c r="D9" s="2286" t="s">
        <v>259</v>
      </c>
      <c r="E9" s="2287"/>
      <c r="F9" s="1132" t="s">
        <v>58</v>
      </c>
      <c r="G9" s="1000" t="s">
        <v>1189</v>
      </c>
      <c r="H9" s="1000"/>
      <c r="I9" s="61"/>
      <c r="J9" s="72" t="s">
        <v>8</v>
      </c>
      <c r="K9" s="74">
        <f>K8/25*840/1000</f>
        <v>19.277999999999999</v>
      </c>
      <c r="L9" s="75" t="s">
        <v>10</v>
      </c>
      <c r="M9" s="61"/>
      <c r="N9" s="72" t="s">
        <v>8</v>
      </c>
      <c r="O9" s="74">
        <f>O8/25*840/1000</f>
        <v>19.277999999999999</v>
      </c>
      <c r="P9" s="75" t="s">
        <v>10</v>
      </c>
      <c r="Q9" s="1109"/>
    </row>
    <row r="10" spans="1:17" ht="36" customHeight="1">
      <c r="A10" s="2280">
        <v>3</v>
      </c>
      <c r="B10" s="2289" t="s">
        <v>156</v>
      </c>
      <c r="C10" s="2290"/>
      <c r="D10" s="2291" t="s">
        <v>260</v>
      </c>
      <c r="E10" s="2292" t="s">
        <v>260</v>
      </c>
      <c r="F10" s="1166" t="s">
        <v>4</v>
      </c>
      <c r="G10" s="1000" t="str">
        <f>'XM.GUI MAIL'!$E$70</f>
        <v>50~70</v>
      </c>
      <c r="H10" s="1000" t="str">
        <f>'XM.GUI MAIL'!$F$70</f>
        <v>(60±5)</v>
      </c>
      <c r="I10" s="61">
        <f>'XM.FILE GOC'!I70</f>
        <v>57.75</v>
      </c>
      <c r="J10" s="72" t="s">
        <v>8</v>
      </c>
      <c r="K10" s="73">
        <f>'XM.FILE GOC'!L70</f>
        <v>18.45</v>
      </c>
      <c r="L10" s="30" t="s">
        <v>9</v>
      </c>
      <c r="M10" s="61">
        <f>'XM.FILE GOC'!U70</f>
        <v>0</v>
      </c>
      <c r="N10" s="72" t="s">
        <v>8</v>
      </c>
      <c r="O10" s="73">
        <f>'XM.FILE GOC'!X70</f>
        <v>492</v>
      </c>
      <c r="P10" s="30" t="s">
        <v>9</v>
      </c>
      <c r="Q10" s="1109" t="s">
        <v>42</v>
      </c>
    </row>
    <row r="11" spans="1:17" ht="36" customHeight="1">
      <c r="A11" s="2288"/>
      <c r="B11" s="2290"/>
      <c r="C11" s="2290"/>
      <c r="D11" s="2291" t="s">
        <v>261</v>
      </c>
      <c r="E11" s="2292" t="s">
        <v>261</v>
      </c>
      <c r="F11" s="1132" t="s">
        <v>58</v>
      </c>
      <c r="G11" s="1000" t="s">
        <v>1035</v>
      </c>
      <c r="H11" s="1000"/>
      <c r="I11" s="61"/>
      <c r="J11" s="72" t="s">
        <v>8</v>
      </c>
      <c r="K11" s="89">
        <f>K10/25*7.5</f>
        <v>5.5350000000000001</v>
      </c>
      <c r="L11" s="77" t="s">
        <v>10</v>
      </c>
      <c r="M11" s="61"/>
      <c r="N11" s="72" t="s">
        <v>8</v>
      </c>
      <c r="O11" s="89">
        <f>O10/25*7.5</f>
        <v>147.6</v>
      </c>
      <c r="P11" s="77" t="s">
        <v>10</v>
      </c>
      <c r="Q11" s="1109"/>
    </row>
    <row r="12" spans="1:17" ht="36" customHeight="1">
      <c r="A12" s="2280">
        <v>4</v>
      </c>
      <c r="B12" s="2289" t="s">
        <v>157</v>
      </c>
      <c r="C12" s="2290"/>
      <c r="D12" s="2291" t="s">
        <v>260</v>
      </c>
      <c r="E12" s="2292" t="s">
        <v>260</v>
      </c>
      <c r="F12" s="1166" t="s">
        <v>4</v>
      </c>
      <c r="G12" s="1000" t="str">
        <f>'XM.GUI MAIL'!$E$71</f>
        <v>50~70</v>
      </c>
      <c r="H12" s="1000" t="str">
        <f>'XM.GUI MAIL'!$F$71</f>
        <v>(60±5)</v>
      </c>
      <c r="I12" s="61">
        <f>'XM.FILE GOC'!I71</f>
        <v>0</v>
      </c>
      <c r="J12" s="72" t="s">
        <v>8</v>
      </c>
      <c r="K12" s="73">
        <f>'XM.FILE GOC'!L71</f>
        <v>520.08000000000004</v>
      </c>
      <c r="L12" s="30" t="s">
        <v>9</v>
      </c>
      <c r="M12" s="61">
        <f>'XM.FILE GOC'!U71</f>
        <v>0</v>
      </c>
      <c r="N12" s="72" t="s">
        <v>8</v>
      </c>
      <c r="O12" s="73">
        <f>'XM.FILE GOC'!X71</f>
        <v>520.08000000000004</v>
      </c>
      <c r="P12" s="30" t="s">
        <v>9</v>
      </c>
      <c r="Q12" s="1109" t="s">
        <v>42</v>
      </c>
    </row>
    <row r="13" spans="1:17" ht="36" customHeight="1">
      <c r="A13" s="2288"/>
      <c r="B13" s="2290"/>
      <c r="C13" s="2290"/>
      <c r="D13" s="2291" t="s">
        <v>261</v>
      </c>
      <c r="E13" s="2292" t="s">
        <v>261</v>
      </c>
      <c r="F13" s="1132" t="s">
        <v>58</v>
      </c>
      <c r="G13" s="1000" t="s">
        <v>1035</v>
      </c>
      <c r="H13" s="1000"/>
      <c r="I13" s="61"/>
      <c r="J13" s="72" t="s">
        <v>8</v>
      </c>
      <c r="K13" s="89">
        <f>K12/25*7.5</f>
        <v>156.024</v>
      </c>
      <c r="L13" s="77" t="s">
        <v>10</v>
      </c>
      <c r="M13" s="61"/>
      <c r="N13" s="72" t="s">
        <v>8</v>
      </c>
      <c r="O13" s="89">
        <f>O12/25*7.5</f>
        <v>156.024</v>
      </c>
      <c r="P13" s="77" t="s">
        <v>10</v>
      </c>
      <c r="Q13" s="1109"/>
    </row>
    <row r="14" spans="1:17" ht="30.75" customHeight="1">
      <c r="A14" s="2280">
        <v>5</v>
      </c>
      <c r="B14" s="2303" t="s">
        <v>133</v>
      </c>
      <c r="C14" s="2304"/>
      <c r="D14" s="2309" t="s">
        <v>124</v>
      </c>
      <c r="E14" s="2310"/>
      <c r="F14" s="604" t="s">
        <v>4</v>
      </c>
      <c r="G14" s="1000" t="str">
        <f>'XM.GUI MAIL'!$E$84</f>
        <v>5~6</v>
      </c>
      <c r="H14" s="1000" t="str">
        <f>'XM.GUI MAIL'!$F$84</f>
        <v>(5.5± 0.5L)</v>
      </c>
      <c r="I14" s="61">
        <f>'XM.FILE GOC'!I84</f>
        <v>0</v>
      </c>
      <c r="J14" s="904" t="s">
        <v>8</v>
      </c>
      <c r="K14" s="905">
        <f>'XM.FILE GOC'!L84</f>
        <v>44</v>
      </c>
      <c r="L14" s="77" t="s">
        <v>9</v>
      </c>
      <c r="M14" s="61">
        <f>'XM.FILE GOC'!U84</f>
        <v>0</v>
      </c>
      <c r="N14" s="72" t="s">
        <v>8</v>
      </c>
      <c r="O14" s="89">
        <f>'XM.FILE GOC'!X84</f>
        <v>44</v>
      </c>
      <c r="P14" s="77" t="s">
        <v>9</v>
      </c>
      <c r="Q14" s="1109" t="s">
        <v>43</v>
      </c>
    </row>
    <row r="15" spans="1:17" ht="30.75" hidden="1" customHeight="1">
      <c r="A15" s="2281"/>
      <c r="B15" s="2305"/>
      <c r="C15" s="2306"/>
      <c r="D15" s="2309" t="s">
        <v>134</v>
      </c>
      <c r="E15" s="2310"/>
      <c r="F15" s="604" t="s">
        <v>4</v>
      </c>
      <c r="G15" s="1000" t="s">
        <v>126</v>
      </c>
      <c r="H15" s="1000" t="s">
        <v>126</v>
      </c>
      <c r="I15" s="67">
        <f>'XM.FILE GOC'!I85</f>
        <v>0</v>
      </c>
      <c r="J15" s="904"/>
      <c r="K15" s="905">
        <f>'XM.FILE GOC'!L85</f>
        <v>14.4</v>
      </c>
      <c r="L15" s="77"/>
      <c r="M15" s="67">
        <f>'XM.FILE GOC'!U85</f>
        <v>0</v>
      </c>
      <c r="N15" s="72"/>
      <c r="O15" s="89">
        <f>'XM.FILE GOC'!X85</f>
        <v>14.4</v>
      </c>
      <c r="P15" s="77"/>
      <c r="Q15" s="1109"/>
    </row>
    <row r="16" spans="1:17" ht="30.75" customHeight="1">
      <c r="A16" s="2288"/>
      <c r="B16" s="2305"/>
      <c r="C16" s="2306"/>
      <c r="D16" s="2309" t="s">
        <v>108</v>
      </c>
      <c r="E16" s="2310"/>
      <c r="F16" s="604" t="s">
        <v>4</v>
      </c>
      <c r="G16" s="1000" t="str">
        <f>'XM.GUI MAIL'!$E$86</f>
        <v>120~130</v>
      </c>
      <c r="H16" s="1000" t="str">
        <f>'XM.GUI MAIL'!$F$86</f>
        <v>(125 ± 5)</v>
      </c>
      <c r="I16" s="61">
        <f>'XM.FILE GOC'!I86</f>
        <v>0</v>
      </c>
      <c r="J16" s="904" t="s">
        <v>8</v>
      </c>
      <c r="K16" s="905">
        <f>'XM.FILE GOC'!L86</f>
        <v>1000</v>
      </c>
      <c r="L16" s="77" t="s">
        <v>1368</v>
      </c>
      <c r="M16" s="61">
        <f>'XM.FILE GOC'!U86</f>
        <v>0</v>
      </c>
      <c r="N16" s="72" t="s">
        <v>8</v>
      </c>
      <c r="O16" s="1558">
        <f>'XM.FILE GOC'!X86</f>
        <v>1000</v>
      </c>
      <c r="P16" s="77" t="s">
        <v>9</v>
      </c>
      <c r="Q16" s="1109" t="s">
        <v>44</v>
      </c>
    </row>
    <row r="17" spans="1:17" s="7" customFormat="1" ht="30.75" hidden="1" customHeight="1">
      <c r="A17" s="2280">
        <v>6</v>
      </c>
      <c r="B17" s="2307"/>
      <c r="C17" s="2308"/>
      <c r="D17" s="1501" t="s">
        <v>137</v>
      </c>
      <c r="E17" s="1502"/>
      <c r="F17" s="604" t="s">
        <v>4</v>
      </c>
      <c r="G17" s="1000" t="s">
        <v>138</v>
      </c>
      <c r="H17" s="1000" t="s">
        <v>138</v>
      </c>
      <c r="I17" s="67">
        <f>'XM.FILE GOC'!I87</f>
        <v>-4.45</v>
      </c>
      <c r="J17" s="904" t="s">
        <v>8</v>
      </c>
      <c r="K17" s="905">
        <f>'XM.FILE GOC'!L87</f>
        <v>1075.5999999999999</v>
      </c>
      <c r="L17" s="77" t="s">
        <v>10</v>
      </c>
      <c r="M17" s="67">
        <f>'XM.FILE GOC'!U87</f>
        <v>-4.45</v>
      </c>
      <c r="N17" s="72" t="s">
        <v>8</v>
      </c>
      <c r="O17" s="89">
        <f>'XM.FILE GOC'!X87</f>
        <v>1075.5999999999999</v>
      </c>
      <c r="P17" s="77" t="s">
        <v>10</v>
      </c>
      <c r="Q17" s="1109" t="s">
        <v>45</v>
      </c>
    </row>
    <row r="18" spans="1:17" ht="30.75" customHeight="1">
      <c r="A18" s="2288"/>
      <c r="B18" s="2229" t="s">
        <v>135</v>
      </c>
      <c r="C18" s="2230"/>
      <c r="D18" s="2309" t="s">
        <v>5</v>
      </c>
      <c r="E18" s="2310"/>
      <c r="F18" s="87" t="s">
        <v>5</v>
      </c>
      <c r="G18" s="1000" t="str">
        <f>'XM.GUI MAIL'!$E$88</f>
        <v>3.0-4.5</v>
      </c>
      <c r="H18" s="1000" t="str">
        <f>'XM.GUI MAIL'!$F$88</f>
        <v>(4.3±0.2)</v>
      </c>
      <c r="I18" s="67">
        <f>'XM.FILE GOC'!I88</f>
        <v>0</v>
      </c>
      <c r="J18" s="904" t="s">
        <v>8</v>
      </c>
      <c r="K18" s="905"/>
      <c r="L18" s="77"/>
      <c r="M18" s="67">
        <f>'XM.FILE GOC'!U88</f>
        <v>0</v>
      </c>
      <c r="N18" s="72" t="s">
        <v>8</v>
      </c>
      <c r="O18" s="89"/>
      <c r="P18" s="77"/>
      <c r="Q18" s="121"/>
    </row>
    <row r="19" spans="1:17" ht="36" customHeight="1">
      <c r="A19" s="1111">
        <v>7</v>
      </c>
      <c r="B19" s="2300" t="s">
        <v>1036</v>
      </c>
      <c r="C19" s="2301"/>
      <c r="D19" s="2301"/>
      <c r="E19" s="2302"/>
      <c r="F19" s="87" t="s">
        <v>6</v>
      </c>
      <c r="G19" s="1134" t="str">
        <f>'XM.GUI MAIL'!$E$76</f>
        <v>40~50</v>
      </c>
      <c r="H19" s="1134" t="str">
        <f>'XM.GUI MAIL'!$F$76</f>
        <v>(45±5)</v>
      </c>
      <c r="I19" s="68">
        <f>'XM.FILE GOC'!I76</f>
        <v>0.3969375</v>
      </c>
      <c r="J19" s="72" t="s">
        <v>8</v>
      </c>
      <c r="K19" s="73">
        <f>'XM.FILE GOC'!L76</f>
        <v>137.20737980769232</v>
      </c>
      <c r="L19" s="30" t="s">
        <v>10</v>
      </c>
      <c r="M19" s="68">
        <f>'XM.FILE GOC'!U76</f>
        <v>0</v>
      </c>
      <c r="N19" s="72" t="s">
        <v>8</v>
      </c>
      <c r="O19" s="73">
        <f>'XM.FILE GOC'!X76</f>
        <v>1163.5961538461538</v>
      </c>
      <c r="P19" s="30" t="s">
        <v>10</v>
      </c>
      <c r="Q19" s="1109" t="s">
        <v>46</v>
      </c>
    </row>
    <row r="20" spans="1:17" ht="36" customHeight="1">
      <c r="A20" s="1111">
        <v>8</v>
      </c>
      <c r="B20" s="2300" t="s">
        <v>1037</v>
      </c>
      <c r="C20" s="2301"/>
      <c r="D20" s="2301"/>
      <c r="E20" s="2302"/>
      <c r="F20" s="87" t="s">
        <v>6</v>
      </c>
      <c r="G20" s="1134" t="str">
        <f>'XM.GUI MAIL'!$E$77</f>
        <v>40~50</v>
      </c>
      <c r="H20" s="1134" t="str">
        <f>'XM.GUI MAIL'!$F$77</f>
        <v>(45±5)</v>
      </c>
      <c r="I20" s="68">
        <f>'XM.FILE GOC'!I77</f>
        <v>0</v>
      </c>
      <c r="J20" s="72" t="s">
        <v>8</v>
      </c>
      <c r="K20" s="73">
        <f>'XM.FILE GOC'!L77</f>
        <v>1818.8653846153845</v>
      </c>
      <c r="L20" s="30" t="s">
        <v>10</v>
      </c>
      <c r="M20" s="68">
        <f>'XM.FILE GOC'!U77</f>
        <v>0</v>
      </c>
      <c r="N20" s="72" t="s">
        <v>8</v>
      </c>
      <c r="O20" s="73">
        <f>'XM.FILE GOC'!X77</f>
        <v>1818.8653846153845</v>
      </c>
      <c r="P20" s="30" t="s">
        <v>10</v>
      </c>
      <c r="Q20" s="1135" t="s">
        <v>46</v>
      </c>
    </row>
    <row r="21" spans="1:17" ht="36" customHeight="1">
      <c r="A21" s="1111">
        <v>9</v>
      </c>
      <c r="B21" s="2293" t="s">
        <v>86</v>
      </c>
      <c r="C21" s="2294"/>
      <c r="D21" s="2294"/>
      <c r="E21" s="2295"/>
      <c r="F21" s="87" t="s">
        <v>6</v>
      </c>
      <c r="G21" s="1134" t="str">
        <f>'XM.GUI MAIL'!$E$78</f>
        <v>20~40</v>
      </c>
      <c r="H21" s="1134" t="str">
        <f>'XM.GUI MAIL'!$F$78</f>
        <v>(30±5)</v>
      </c>
      <c r="I21" s="68">
        <f>'XM.FILE GOC'!I78</f>
        <v>8.212499999999999E-2</v>
      </c>
      <c r="J21" s="72" t="s">
        <v>8</v>
      </c>
      <c r="K21" s="73">
        <f>'XM.FILE GOC'!L78</f>
        <v>242.96818965517238</v>
      </c>
      <c r="L21" s="30" t="s">
        <v>10</v>
      </c>
      <c r="M21" s="68">
        <f>'XM.FILE GOC'!U78</f>
        <v>0</v>
      </c>
      <c r="N21" s="72" t="s">
        <v>8</v>
      </c>
      <c r="O21" s="73">
        <f>'XM.FILE GOC'!X78</f>
        <v>334.55172413793105</v>
      </c>
      <c r="P21" s="30" t="s">
        <v>10</v>
      </c>
      <c r="Q21" s="1109" t="s">
        <v>47</v>
      </c>
    </row>
    <row r="22" spans="1:17" ht="36" customHeight="1">
      <c r="A22" s="1111">
        <v>10</v>
      </c>
      <c r="B22" s="2293" t="s">
        <v>1038</v>
      </c>
      <c r="C22" s="2294" t="s">
        <v>1038</v>
      </c>
      <c r="D22" s="2294" t="s">
        <v>1038</v>
      </c>
      <c r="E22" s="2295" t="s">
        <v>1038</v>
      </c>
      <c r="F22" s="87" t="s">
        <v>6</v>
      </c>
      <c r="G22" s="1134" t="str">
        <f>'XM.GUI MAIL'!$E$79</f>
        <v>0.5~1.5</v>
      </c>
      <c r="H22" s="1134" t="str">
        <f>'XM.GUI MAIL'!$F$79</f>
        <v>(1±0.4)</v>
      </c>
      <c r="I22" s="69">
        <f>'XM.FILE GOC'!I79</f>
        <v>0</v>
      </c>
      <c r="J22" s="72" t="s">
        <v>8</v>
      </c>
      <c r="K22" s="76">
        <f>'XM.FILE GOC'!L79</f>
        <v>28.080000000000002</v>
      </c>
      <c r="L22" s="78" t="s">
        <v>10</v>
      </c>
      <c r="M22" s="69">
        <f>'XM.FILE GOC'!U79</f>
        <v>0</v>
      </c>
      <c r="N22" s="72" t="s">
        <v>8</v>
      </c>
      <c r="O22" s="76">
        <f>'XM.FILE GOC'!X79</f>
        <v>28.080000000000002</v>
      </c>
      <c r="P22" s="78" t="s">
        <v>10</v>
      </c>
      <c r="Q22" s="1109" t="s">
        <v>47</v>
      </c>
    </row>
    <row r="23" spans="1:17" ht="33.75" customHeight="1">
      <c r="A23" s="1111"/>
      <c r="B23" s="2296" t="s">
        <v>2</v>
      </c>
      <c r="C23" s="2296"/>
      <c r="D23" s="2296"/>
      <c r="E23" s="2296"/>
      <c r="F23" s="2296"/>
      <c r="G23" s="2296"/>
      <c r="H23" s="2296"/>
      <c r="I23" s="2296"/>
      <c r="J23" s="2296"/>
      <c r="K23" s="2296"/>
      <c r="L23" s="2296"/>
      <c r="M23" s="2296"/>
      <c r="N23" s="2296"/>
      <c r="O23" s="2296"/>
      <c r="P23" s="2296"/>
      <c r="Q23" s="2296"/>
    </row>
    <row r="24" spans="1:17" ht="47.25" customHeight="1">
      <c r="A24" s="1111" t="s">
        <v>7</v>
      </c>
      <c r="B24" s="2297" t="s">
        <v>23</v>
      </c>
      <c r="C24" s="2298"/>
      <c r="D24" s="2298"/>
      <c r="E24" s="2299"/>
      <c r="F24" s="85" t="s">
        <v>24</v>
      </c>
      <c r="G24" s="1094" t="s">
        <v>1424</v>
      </c>
      <c r="H24" s="1618" t="s">
        <v>1412</v>
      </c>
      <c r="I24" s="2229" t="s">
        <v>26</v>
      </c>
      <c r="J24" s="2230"/>
      <c r="K24" s="2229" t="s">
        <v>27</v>
      </c>
      <c r="L24" s="2230"/>
      <c r="M24" s="2229" t="s">
        <v>26</v>
      </c>
      <c r="N24" s="2230"/>
      <c r="O24" s="2229" t="s">
        <v>27</v>
      </c>
      <c r="P24" s="2230"/>
      <c r="Q24" s="10"/>
    </row>
    <row r="25" spans="1:17" ht="42" customHeight="1">
      <c r="A25" s="1111">
        <v>1</v>
      </c>
      <c r="B25" s="2297" t="s">
        <v>36</v>
      </c>
      <c r="C25" s="2298"/>
      <c r="D25" s="2298"/>
      <c r="E25" s="2299"/>
      <c r="F25" s="11" t="s">
        <v>28</v>
      </c>
      <c r="G25" s="1136" t="str">
        <f>'XM.GUI MAIL'!$E$91</f>
        <v>65~75</v>
      </c>
      <c r="H25" s="1136" t="str">
        <f>'XM.GUI MAIL'!$F$91</f>
        <v>(70±3)</v>
      </c>
      <c r="I25" s="2088">
        <f>'3.XT-C kh'!I24</f>
        <v>0</v>
      </c>
      <c r="J25" s="2089"/>
      <c r="K25" s="2088">
        <f>'3.XT-C kh'!K24</f>
        <v>0</v>
      </c>
      <c r="L25" s="2089"/>
      <c r="M25" s="2088">
        <f>'3.XT-C kh'!Y24</f>
        <v>0</v>
      </c>
      <c r="N25" s="2089"/>
      <c r="O25" s="2088">
        <f>'3.XT-C kh'!AA24</f>
        <v>0</v>
      </c>
      <c r="P25" s="2089"/>
      <c r="Q25" s="1111"/>
    </row>
    <row r="26" spans="1:17" ht="42" customHeight="1">
      <c r="A26" s="1111">
        <v>2</v>
      </c>
      <c r="B26" s="2297" t="s">
        <v>37</v>
      </c>
      <c r="C26" s="2298"/>
      <c r="D26" s="2298"/>
      <c r="E26" s="2299"/>
      <c r="F26" s="11" t="s">
        <v>28</v>
      </c>
      <c r="G26" s="1136" t="str">
        <f>'XM.GUI MAIL'!$E$92</f>
        <v>65~75</v>
      </c>
      <c r="H26" s="1136" t="str">
        <f>'XM.GUI MAIL'!$F$92</f>
        <v>(70±3)</v>
      </c>
      <c r="I26" s="2088">
        <f>'3.XT-C kh'!I25</f>
        <v>0</v>
      </c>
      <c r="J26" s="2089"/>
      <c r="K26" s="2088">
        <f>'3.XT-C kh'!K25</f>
        <v>0</v>
      </c>
      <c r="L26" s="2089"/>
      <c r="M26" s="2088">
        <f>'3.XT-C kh'!Y25</f>
        <v>0</v>
      </c>
      <c r="N26" s="2089"/>
      <c r="O26" s="2088">
        <f>'3.XT-C kh'!AA25</f>
        <v>0</v>
      </c>
      <c r="P26" s="2089"/>
      <c r="Q26" s="1111"/>
    </row>
    <row r="27" spans="1:17" ht="42" customHeight="1">
      <c r="A27" s="1111">
        <v>3</v>
      </c>
      <c r="B27" s="2297" t="s">
        <v>29</v>
      </c>
      <c r="C27" s="2298"/>
      <c r="D27" s="2298"/>
      <c r="E27" s="2299"/>
      <c r="F27" s="11" t="s">
        <v>28</v>
      </c>
      <c r="G27" s="1136" t="str">
        <f>'XM.GUI MAIL'!$E$93</f>
        <v>60~70</v>
      </c>
      <c r="H27" s="1136" t="str">
        <f>'XM.GUI MAIL'!$F$93</f>
        <v>(65±3)</v>
      </c>
      <c r="I27" s="2088">
        <f>'3.XT-C kh'!I26</f>
        <v>0</v>
      </c>
      <c r="J27" s="2089"/>
      <c r="K27" s="2088">
        <f>'3.XT-C kh'!K26</f>
        <v>0</v>
      </c>
      <c r="L27" s="2089"/>
      <c r="M27" s="2088">
        <f>'3.XT-C kh'!Y26</f>
        <v>0</v>
      </c>
      <c r="N27" s="2089"/>
      <c r="O27" s="2088">
        <f>'3.XT-C kh'!AA26</f>
        <v>0</v>
      </c>
      <c r="P27" s="2089"/>
      <c r="Q27" s="1111"/>
    </row>
    <row r="28" spans="1:17" ht="42" customHeight="1">
      <c r="A28" s="87">
        <v>4</v>
      </c>
      <c r="B28" s="2229" t="s">
        <v>30</v>
      </c>
      <c r="C28" s="2311"/>
      <c r="D28" s="2311"/>
      <c r="E28" s="2230"/>
      <c r="F28" s="11" t="s">
        <v>28</v>
      </c>
      <c r="G28" s="1136" t="str">
        <f>'XM.GUI MAIL'!$E$94</f>
        <v>60~70</v>
      </c>
      <c r="H28" s="1136" t="str">
        <f>'XM.GUI MAIL'!$F$94</f>
        <v>(65±3)</v>
      </c>
      <c r="I28" s="2088">
        <f>'3.XT-C kh'!I27</f>
        <v>0</v>
      </c>
      <c r="J28" s="2089"/>
      <c r="K28" s="2088">
        <f>'3.XT-C kh'!K27</f>
        <v>0</v>
      </c>
      <c r="L28" s="2089"/>
      <c r="M28" s="2088">
        <f>'3.XT-C kh'!Y27</f>
        <v>0</v>
      </c>
      <c r="N28" s="2089"/>
      <c r="O28" s="2088">
        <f>'3.XT-C kh'!AA27</f>
        <v>0</v>
      </c>
      <c r="P28" s="2089"/>
      <c r="Q28" s="1111"/>
    </row>
    <row r="29" spans="1:17" ht="42" customHeight="1">
      <c r="A29" s="87">
        <v>5</v>
      </c>
      <c r="B29" s="2229" t="s">
        <v>127</v>
      </c>
      <c r="C29" s="2311"/>
      <c r="D29" s="2311"/>
      <c r="E29" s="2230"/>
      <c r="F29" s="11" t="s">
        <v>28</v>
      </c>
      <c r="G29" s="1136" t="str">
        <f>'XM.GUI MAIL'!$E$103</f>
        <v>24~28</v>
      </c>
      <c r="H29" s="1136" t="str">
        <f>'XM.GUI MAIL'!$F$103</f>
        <v>(26±2)</v>
      </c>
      <c r="I29" s="2091">
        <f>'XM.FILE GOC'!I103</f>
        <v>0</v>
      </c>
      <c r="J29" s="2092"/>
      <c r="K29" s="2091">
        <f>'XM.FILE GOC'!L103</f>
        <v>0</v>
      </c>
      <c r="L29" s="2092"/>
      <c r="M29" s="2091">
        <f>'XM.FILE GOC'!U103</f>
        <v>0</v>
      </c>
      <c r="N29" s="2092"/>
      <c r="O29" s="2091">
        <f>'XM.FILE GOC'!X103</f>
        <v>0</v>
      </c>
      <c r="P29" s="2092"/>
      <c r="Q29" s="1111"/>
    </row>
    <row r="30" spans="1:17" ht="42" customHeight="1">
      <c r="A30" s="87">
        <v>6</v>
      </c>
      <c r="B30" s="2220" t="s">
        <v>1397</v>
      </c>
      <c r="C30" s="2221"/>
      <c r="D30" s="2221"/>
      <c r="E30" s="2222"/>
      <c r="F30" s="11" t="s">
        <v>28</v>
      </c>
      <c r="G30" s="1136" t="str">
        <f>'XM.GUI MAIL'!$E$104</f>
        <v>40~60</v>
      </c>
      <c r="H30" s="1136" t="str">
        <f>'XM.GUI MAIL'!$F$104</f>
        <v>(50±10)</v>
      </c>
      <c r="I30" s="2091">
        <f>'XM.FILE GOC'!I104</f>
        <v>0</v>
      </c>
      <c r="J30" s="2092"/>
      <c r="K30" s="2091">
        <f>'XM.FILE GOC'!L104</f>
        <v>0</v>
      </c>
      <c r="L30" s="2092"/>
      <c r="M30" s="2091">
        <f>'XM.FILE GOC'!U104</f>
        <v>0</v>
      </c>
      <c r="N30" s="2092"/>
      <c r="O30" s="2091">
        <f>'XM.FILE GOC'!X104</f>
        <v>0</v>
      </c>
      <c r="P30" s="2092"/>
      <c r="Q30" s="1111"/>
    </row>
    <row r="31" spans="1:17" ht="42" customHeight="1">
      <c r="A31" s="87">
        <v>7</v>
      </c>
      <c r="B31" s="2229" t="s">
        <v>132</v>
      </c>
      <c r="C31" s="2311"/>
      <c r="D31" s="2311"/>
      <c r="E31" s="2230"/>
      <c r="F31" s="11" t="s">
        <v>28</v>
      </c>
      <c r="G31" s="1136" t="str">
        <f>'XM.GUI MAIL'!$E$105</f>
        <v>20~30</v>
      </c>
      <c r="H31" s="1136" t="str">
        <f>'XM.GUI MAIL'!$F$105</f>
        <v>(25±5)</v>
      </c>
      <c r="I31" s="2091">
        <f>'XM.FILE GOC'!I105</f>
        <v>0</v>
      </c>
      <c r="J31" s="2092"/>
      <c r="K31" s="2091">
        <f>'XM.FILE GOC'!L105</f>
        <v>0</v>
      </c>
      <c r="L31" s="2092"/>
      <c r="M31" s="2091">
        <f>'XM.FILE GOC'!U105</f>
        <v>0</v>
      </c>
      <c r="N31" s="2092"/>
      <c r="O31" s="2091">
        <f>'XM.FILE GOC'!X105</f>
        <v>0</v>
      </c>
      <c r="P31" s="2092"/>
      <c r="Q31" s="1111"/>
    </row>
    <row r="32" spans="1:17" ht="42" customHeight="1">
      <c r="A32" s="87">
        <v>8</v>
      </c>
      <c r="B32" s="2229" t="s">
        <v>33</v>
      </c>
      <c r="C32" s="2311"/>
      <c r="D32" s="2311"/>
      <c r="E32" s="2230"/>
      <c r="F32" s="11" t="s">
        <v>28</v>
      </c>
      <c r="G32" s="1136" t="str">
        <f>'XM.GUI MAIL'!$E$97</f>
        <v>55~65</v>
      </c>
      <c r="H32" s="1136" t="str">
        <f>'XM.GUI MAIL'!$F$97</f>
        <v>(60±3)</v>
      </c>
      <c r="I32" s="2088">
        <f>'3.XT-C kh'!I30</f>
        <v>0</v>
      </c>
      <c r="J32" s="2089"/>
      <c r="K32" s="2088">
        <f>'3.XT-C kh'!K30</f>
        <v>0</v>
      </c>
      <c r="L32" s="2089"/>
      <c r="M32" s="2088">
        <f>'3.XT-C kh'!Y30</f>
        <v>0</v>
      </c>
      <c r="N32" s="2089"/>
      <c r="O32" s="2088">
        <f>'3.XT-C kh'!AA30</f>
        <v>0</v>
      </c>
      <c r="P32" s="2089"/>
      <c r="Q32" s="1111"/>
    </row>
    <row r="33" spans="1:17" ht="42" customHeight="1">
      <c r="A33" s="1111">
        <v>9</v>
      </c>
      <c r="B33" s="2297" t="s">
        <v>34</v>
      </c>
      <c r="C33" s="2298"/>
      <c r="D33" s="2298"/>
      <c r="E33" s="2299"/>
      <c r="F33" s="11" t="s">
        <v>28</v>
      </c>
      <c r="G33" s="1136" t="str">
        <f>'XM.GUI MAIL'!$E$98</f>
        <v>65~75</v>
      </c>
      <c r="H33" s="1136" t="str">
        <f>'XM.GUI MAIL'!$F$98</f>
        <v>(70±3)</v>
      </c>
      <c r="I33" s="2229" t="s">
        <v>50</v>
      </c>
      <c r="J33" s="2230"/>
      <c r="K33" s="2088">
        <f>'3.XT-C kh'!K31</f>
        <v>0</v>
      </c>
      <c r="L33" s="2089"/>
      <c r="M33" s="2229" t="s">
        <v>50</v>
      </c>
      <c r="N33" s="2230"/>
      <c r="O33" s="2088">
        <f>'3.XT-C kh'!AA31</f>
        <v>0</v>
      </c>
      <c r="P33" s="2089"/>
      <c r="Q33" s="1111"/>
    </row>
    <row r="34" spans="1:17" ht="36" customHeight="1">
      <c r="A34" s="71"/>
      <c r="B34" s="902"/>
      <c r="C34" s="902"/>
      <c r="D34" s="902"/>
      <c r="E34" s="902"/>
      <c r="F34" s="903"/>
      <c r="G34" s="1140"/>
      <c r="H34" s="1140"/>
      <c r="I34" s="1140"/>
      <c r="J34" s="1140"/>
      <c r="K34" s="1140"/>
      <c r="L34" s="1140"/>
      <c r="M34" s="1140"/>
      <c r="N34" s="1140"/>
      <c r="O34" s="1140"/>
      <c r="P34" s="1140"/>
      <c r="Q34" s="1140"/>
    </row>
    <row r="35" spans="1:17" ht="24.75" customHeight="1">
      <c r="A35" s="71"/>
      <c r="B35" s="902"/>
      <c r="C35" s="902"/>
      <c r="D35" s="902"/>
      <c r="E35" s="902"/>
      <c r="F35" s="903"/>
      <c r="G35" s="1140"/>
      <c r="H35" s="1140"/>
      <c r="I35" s="1140"/>
      <c r="J35" s="1140"/>
      <c r="K35" s="1140"/>
      <c r="L35" s="1140"/>
      <c r="M35" s="1140"/>
      <c r="N35" s="1140"/>
      <c r="O35" s="1140"/>
      <c r="P35" s="1140"/>
      <c r="Q35" s="1140"/>
    </row>
    <row r="36" spans="1:17" ht="24.75" customHeight="1">
      <c r="A36" s="71"/>
      <c r="B36" s="902"/>
      <c r="C36" s="902"/>
      <c r="D36" s="902"/>
      <c r="E36" s="902"/>
      <c r="F36" s="903"/>
      <c r="G36" s="1140"/>
      <c r="H36" s="1140"/>
      <c r="I36" s="1140"/>
      <c r="J36" s="1140"/>
      <c r="K36" s="1140"/>
      <c r="L36" s="1140"/>
      <c r="M36" s="1140"/>
      <c r="N36" s="1140"/>
      <c r="O36" s="1140"/>
      <c r="P36" s="1140"/>
      <c r="Q36" s="1140"/>
    </row>
    <row r="37" spans="1:17" ht="28.5" customHeight="1">
      <c r="A37" s="2231" t="s">
        <v>151</v>
      </c>
      <c r="B37" s="2231"/>
      <c r="C37" s="2231"/>
      <c r="D37" s="2231"/>
      <c r="E37" s="2231"/>
      <c r="F37" s="2231"/>
      <c r="G37" s="2231"/>
      <c r="H37" s="2231"/>
      <c r="I37" s="2231"/>
      <c r="J37" s="2231"/>
      <c r="K37" s="2231"/>
      <c r="L37" s="2231"/>
      <c r="M37" s="2231"/>
      <c r="N37" s="2231"/>
      <c r="O37" s="1110"/>
      <c r="P37" s="1110"/>
      <c r="Q37" s="70"/>
    </row>
    <row r="38" spans="1:17" ht="43.5" customHeight="1">
      <c r="A38" s="2232" t="s">
        <v>1043</v>
      </c>
      <c r="B38" s="2232"/>
      <c r="C38" s="2232"/>
      <c r="D38" s="2232"/>
      <c r="E38" s="2232"/>
      <c r="F38" s="2232"/>
      <c r="G38" s="2232"/>
      <c r="H38" s="2232"/>
      <c r="I38" s="2232"/>
      <c r="J38" s="2232"/>
      <c r="K38" s="2232"/>
      <c r="L38" s="2232"/>
      <c r="M38" s="2232"/>
      <c r="N38" s="2267"/>
      <c r="O38" s="2268" t="s">
        <v>96</v>
      </c>
      <c r="P38" s="2130"/>
      <c r="Q38" s="85" t="s">
        <v>17</v>
      </c>
    </row>
    <row r="39" spans="1:17" ht="25.5" customHeight="1">
      <c r="A39" s="9"/>
      <c r="B39" s="1703" t="s">
        <v>143</v>
      </c>
      <c r="C39" s="1654"/>
      <c r="D39" s="1654"/>
      <c r="E39" s="1654"/>
      <c r="F39" s="1655"/>
      <c r="G39" s="1656" t="str">
        <f>'1. XL-1E kh'!$G$3</f>
        <v>2023/03/21</v>
      </c>
      <c r="H39" s="1646"/>
      <c r="I39" s="28"/>
      <c r="J39" s="28"/>
      <c r="K39" s="28"/>
      <c r="L39" s="29"/>
      <c r="M39" s="29"/>
      <c r="N39" s="29"/>
      <c r="O39" s="2269" t="str">
        <f>MENU!AD7</f>
        <v>L.Yen</v>
      </c>
      <c r="P39" s="2270"/>
      <c r="Q39" s="84" t="s">
        <v>11</v>
      </c>
    </row>
    <row r="40" spans="1:17" s="71" customFormat="1" ht="36" customHeight="1">
      <c r="A40" s="2271" t="s">
        <v>7</v>
      </c>
      <c r="B40" s="2272" t="s">
        <v>79</v>
      </c>
      <c r="C40" s="2273"/>
      <c r="D40" s="2273"/>
      <c r="E40" s="2274"/>
      <c r="F40" s="2278" t="s">
        <v>136</v>
      </c>
      <c r="G40" s="2125" t="s">
        <v>1424</v>
      </c>
      <c r="H40" s="2173" t="s">
        <v>1412</v>
      </c>
      <c r="I40" s="2128">
        <v>0.76041666666666663</v>
      </c>
      <c r="J40" s="2129"/>
      <c r="K40" s="2129"/>
      <c r="L40" s="2130"/>
      <c r="M40" s="2128">
        <v>9.375E-2</v>
      </c>
      <c r="N40" s="2129"/>
      <c r="O40" s="2129"/>
      <c r="P40" s="2130"/>
      <c r="Q40" s="2208" t="s">
        <v>41</v>
      </c>
    </row>
    <row r="41" spans="1:17" s="71" customFormat="1" ht="30" customHeight="1">
      <c r="A41" s="2271"/>
      <c r="B41" s="2275"/>
      <c r="C41" s="2276"/>
      <c r="D41" s="2276"/>
      <c r="E41" s="2277"/>
      <c r="F41" s="2279"/>
      <c r="G41" s="2126"/>
      <c r="H41" s="2174"/>
      <c r="I41" s="60" t="s">
        <v>145</v>
      </c>
      <c r="J41" s="2134" t="s">
        <v>1</v>
      </c>
      <c r="K41" s="2135"/>
      <c r="L41" s="2136"/>
      <c r="M41" s="60" t="s">
        <v>145</v>
      </c>
      <c r="N41" s="2134" t="s">
        <v>1</v>
      </c>
      <c r="O41" s="2135"/>
      <c r="P41" s="2136"/>
      <c r="Q41" s="2209"/>
    </row>
    <row r="42" spans="1:17" ht="34.5" customHeight="1">
      <c r="A42" s="2280">
        <v>1</v>
      </c>
      <c r="B42" s="2282" t="s">
        <v>154</v>
      </c>
      <c r="C42" s="2283"/>
      <c r="D42" s="2286" t="s">
        <v>258</v>
      </c>
      <c r="E42" s="2287"/>
      <c r="F42" s="1121" t="s">
        <v>4</v>
      </c>
      <c r="G42" s="1000" t="str">
        <f>'XM.GUI MAIL'!$E$68</f>
        <v>40~60</v>
      </c>
      <c r="H42" s="1000" t="str">
        <f>'XM.GUI MAIL'!$F$68</f>
        <v>(50±5)</v>
      </c>
      <c r="I42" s="61">
        <f>'XM.FILE GOC'!AA68</f>
        <v>0</v>
      </c>
      <c r="J42" s="72" t="s">
        <v>8</v>
      </c>
      <c r="K42" s="73">
        <f>'XM.FILE GOC'!AD68</f>
        <v>775.85</v>
      </c>
      <c r="L42" s="30" t="s">
        <v>9</v>
      </c>
      <c r="M42" s="61">
        <f>'XM.FILE GOC'!AM68</f>
        <v>0</v>
      </c>
      <c r="N42" s="72" t="s">
        <v>8</v>
      </c>
      <c r="O42" s="73">
        <f>'XM.FILE GOC'!AP68</f>
        <v>775.85</v>
      </c>
      <c r="P42" s="30" t="s">
        <v>9</v>
      </c>
      <c r="Q42" s="1109" t="s">
        <v>42</v>
      </c>
    </row>
    <row r="43" spans="1:17" ht="34.5" customHeight="1">
      <c r="A43" s="2281"/>
      <c r="B43" s="2284"/>
      <c r="C43" s="2285"/>
      <c r="D43" s="2286" t="s">
        <v>259</v>
      </c>
      <c r="E43" s="2287"/>
      <c r="F43" s="1138" t="s">
        <v>58</v>
      </c>
      <c r="G43" s="1000" t="s">
        <v>1189</v>
      </c>
      <c r="H43" s="1000"/>
      <c r="I43" s="61"/>
      <c r="J43" s="72" t="s">
        <v>8</v>
      </c>
      <c r="K43" s="74">
        <f>K42/25*840/1000</f>
        <v>26.068560000000002</v>
      </c>
      <c r="L43" s="75" t="s">
        <v>10</v>
      </c>
      <c r="M43" s="61"/>
      <c r="N43" s="72" t="s">
        <v>8</v>
      </c>
      <c r="O43" s="74">
        <f>O42/25*840/1000</f>
        <v>26.068560000000002</v>
      </c>
      <c r="P43" s="75" t="s">
        <v>10</v>
      </c>
      <c r="Q43" s="1109"/>
    </row>
    <row r="44" spans="1:17" ht="34.5" customHeight="1">
      <c r="A44" s="2280">
        <v>2</v>
      </c>
      <c r="B44" s="2282" t="s">
        <v>155</v>
      </c>
      <c r="C44" s="2283"/>
      <c r="D44" s="2286" t="s">
        <v>258</v>
      </c>
      <c r="E44" s="2287"/>
      <c r="F44" s="1166" t="s">
        <v>4</v>
      </c>
      <c r="G44" s="1000" t="str">
        <f>'XM.GUI MAIL'!$E$69</f>
        <v>40~60</v>
      </c>
      <c r="H44" s="1000" t="str">
        <f>'XM.GUI MAIL'!$F$69</f>
        <v>(50±5)</v>
      </c>
      <c r="I44" s="61">
        <f>'XM.FILE GOC'!AA69</f>
        <v>0</v>
      </c>
      <c r="J44" s="72" t="s">
        <v>8</v>
      </c>
      <c r="K44" s="73">
        <f>'XM.FILE GOC'!AD69</f>
        <v>573.75</v>
      </c>
      <c r="L44" s="30" t="s">
        <v>9</v>
      </c>
      <c r="M44" s="61">
        <f>'XM.FILE GOC'!AM69</f>
        <v>0</v>
      </c>
      <c r="N44" s="72" t="s">
        <v>8</v>
      </c>
      <c r="O44" s="73">
        <f>'XM.FILE GOC'!AP69</f>
        <v>573.75</v>
      </c>
      <c r="P44" s="30" t="s">
        <v>9</v>
      </c>
      <c r="Q44" s="1109" t="s">
        <v>42</v>
      </c>
    </row>
    <row r="45" spans="1:17" ht="34.5" customHeight="1">
      <c r="A45" s="2281"/>
      <c r="B45" s="2284"/>
      <c r="C45" s="2285"/>
      <c r="D45" s="2286" t="s">
        <v>259</v>
      </c>
      <c r="E45" s="2287"/>
      <c r="F45" s="1132" t="s">
        <v>58</v>
      </c>
      <c r="G45" s="1000" t="s">
        <v>1189</v>
      </c>
      <c r="H45" s="1000"/>
      <c r="I45" s="61"/>
      <c r="J45" s="72" t="s">
        <v>8</v>
      </c>
      <c r="K45" s="74">
        <f>K44/25*840/1000</f>
        <v>19.277999999999999</v>
      </c>
      <c r="L45" s="75" t="s">
        <v>10</v>
      </c>
      <c r="M45" s="61"/>
      <c r="N45" s="72" t="s">
        <v>8</v>
      </c>
      <c r="O45" s="74">
        <f>O44/25*840/1000</f>
        <v>19.277999999999999</v>
      </c>
      <c r="P45" s="75" t="s">
        <v>10</v>
      </c>
      <c r="Q45" s="1109"/>
    </row>
    <row r="46" spans="1:17" ht="34.5" customHeight="1">
      <c r="A46" s="2280">
        <v>3</v>
      </c>
      <c r="B46" s="2289" t="s">
        <v>156</v>
      </c>
      <c r="C46" s="2290"/>
      <c r="D46" s="2291" t="s">
        <v>260</v>
      </c>
      <c r="E46" s="2292" t="s">
        <v>260</v>
      </c>
      <c r="F46" s="1166" t="s">
        <v>4</v>
      </c>
      <c r="G46" s="1000" t="str">
        <f>'XM.GUI MAIL'!$E$70</f>
        <v>50~70</v>
      </c>
      <c r="H46" s="1000" t="str">
        <f>'XM.GUI MAIL'!$F$70</f>
        <v>(60±5)</v>
      </c>
      <c r="I46" s="61">
        <f>'XM.FILE GOC'!AA70</f>
        <v>0</v>
      </c>
      <c r="J46" s="72" t="s">
        <v>8</v>
      </c>
      <c r="K46" s="73">
        <f>'XM.FILE GOC'!AD70</f>
        <v>492</v>
      </c>
      <c r="L46" s="30" t="s">
        <v>9</v>
      </c>
      <c r="M46" s="61">
        <f>'XM.FILE GOC'!AM70</f>
        <v>0</v>
      </c>
      <c r="N46" s="72" t="s">
        <v>8</v>
      </c>
      <c r="O46" s="73">
        <f>'XM.FILE GOC'!AP70</f>
        <v>492</v>
      </c>
      <c r="P46" s="30" t="s">
        <v>9</v>
      </c>
      <c r="Q46" s="1109" t="s">
        <v>42</v>
      </c>
    </row>
    <row r="47" spans="1:17" ht="34.5" customHeight="1">
      <c r="A47" s="2288"/>
      <c r="B47" s="2290"/>
      <c r="C47" s="2290"/>
      <c r="D47" s="2291" t="s">
        <v>261</v>
      </c>
      <c r="E47" s="2292" t="s">
        <v>261</v>
      </c>
      <c r="F47" s="1132" t="s">
        <v>58</v>
      </c>
      <c r="G47" s="1000" t="s">
        <v>1035</v>
      </c>
      <c r="H47" s="1000"/>
      <c r="I47" s="61"/>
      <c r="J47" s="72" t="s">
        <v>8</v>
      </c>
      <c r="K47" s="89">
        <f>K46/25*7.5</f>
        <v>147.6</v>
      </c>
      <c r="L47" s="77" t="s">
        <v>10</v>
      </c>
      <c r="M47" s="61"/>
      <c r="N47" s="72" t="s">
        <v>8</v>
      </c>
      <c r="O47" s="89">
        <f>O46/25*7.5</f>
        <v>147.6</v>
      </c>
      <c r="P47" s="75" t="s">
        <v>10</v>
      </c>
      <c r="Q47" s="1109"/>
    </row>
    <row r="48" spans="1:17" ht="34.5" customHeight="1">
      <c r="A48" s="2280">
        <v>4</v>
      </c>
      <c r="B48" s="2289" t="s">
        <v>157</v>
      </c>
      <c r="C48" s="2290"/>
      <c r="D48" s="2291" t="s">
        <v>260</v>
      </c>
      <c r="E48" s="2292" t="s">
        <v>260</v>
      </c>
      <c r="F48" s="1166" t="s">
        <v>4</v>
      </c>
      <c r="G48" s="1000" t="str">
        <f>'XM.GUI MAIL'!$E$71</f>
        <v>50~70</v>
      </c>
      <c r="H48" s="1000" t="str">
        <f>'XM.GUI MAIL'!$F$71</f>
        <v>(60±5)</v>
      </c>
      <c r="I48" s="61">
        <f>'XM.FILE GOC'!AA71</f>
        <v>0</v>
      </c>
      <c r="J48" s="72" t="s">
        <v>8</v>
      </c>
      <c r="K48" s="73">
        <f>'XM.FILE GOC'!AD71</f>
        <v>520.08000000000004</v>
      </c>
      <c r="L48" s="30" t="s">
        <v>9</v>
      </c>
      <c r="M48" s="61">
        <f>'XM.FILE GOC'!AM71</f>
        <v>0</v>
      </c>
      <c r="N48" s="72" t="s">
        <v>8</v>
      </c>
      <c r="O48" s="73">
        <f>'XM.FILE GOC'!AP71</f>
        <v>520.08000000000004</v>
      </c>
      <c r="P48" s="30" t="s">
        <v>9</v>
      </c>
      <c r="Q48" s="1109" t="s">
        <v>42</v>
      </c>
    </row>
    <row r="49" spans="1:17" ht="34.5" customHeight="1">
      <c r="A49" s="2288"/>
      <c r="B49" s="2290"/>
      <c r="C49" s="2290"/>
      <c r="D49" s="2291" t="s">
        <v>261</v>
      </c>
      <c r="E49" s="2292" t="s">
        <v>261</v>
      </c>
      <c r="F49" s="1132" t="s">
        <v>58</v>
      </c>
      <c r="G49" s="1000" t="s">
        <v>1035</v>
      </c>
      <c r="H49" s="1000"/>
      <c r="I49" s="61"/>
      <c r="J49" s="72" t="s">
        <v>8</v>
      </c>
      <c r="K49" s="89">
        <f>K48/25*7.5</f>
        <v>156.024</v>
      </c>
      <c r="L49" s="77" t="s">
        <v>10</v>
      </c>
      <c r="M49" s="61"/>
      <c r="N49" s="72" t="s">
        <v>8</v>
      </c>
      <c r="O49" s="89">
        <f>O48/25*7.5</f>
        <v>156.024</v>
      </c>
      <c r="P49" s="75" t="s">
        <v>10</v>
      </c>
      <c r="Q49" s="1109"/>
    </row>
    <row r="50" spans="1:17" ht="32.25" customHeight="1">
      <c r="A50" s="2280">
        <v>5</v>
      </c>
      <c r="B50" s="2303" t="s">
        <v>133</v>
      </c>
      <c r="C50" s="2304"/>
      <c r="D50" s="2309" t="s">
        <v>124</v>
      </c>
      <c r="E50" s="2310"/>
      <c r="F50" s="604" t="s">
        <v>4</v>
      </c>
      <c r="G50" s="1000" t="str">
        <f>'XM.GUI MAIL'!$E$84</f>
        <v>5~6</v>
      </c>
      <c r="H50" s="1000" t="str">
        <f>'XM.GUI MAIL'!$F$84</f>
        <v>(5.5± 0.5L)</v>
      </c>
      <c r="I50" s="61">
        <f>'XM.FILE GOC'!AA84</f>
        <v>0</v>
      </c>
      <c r="J50" s="904" t="s">
        <v>8</v>
      </c>
      <c r="K50" s="905">
        <f>'XM.FILE GOC'!AD84</f>
        <v>44</v>
      </c>
      <c r="L50" s="77" t="s">
        <v>9</v>
      </c>
      <c r="M50" s="61">
        <f>'XM.FILE GOC'!AM84</f>
        <v>0</v>
      </c>
      <c r="N50" s="72" t="s">
        <v>8</v>
      </c>
      <c r="O50" s="73">
        <f>'XM.FILE GOC'!AP84</f>
        <v>44</v>
      </c>
      <c r="P50" s="30" t="s">
        <v>9</v>
      </c>
      <c r="Q50" s="1109" t="s">
        <v>43</v>
      </c>
    </row>
    <row r="51" spans="1:17" ht="32.25" hidden="1" customHeight="1">
      <c r="A51" s="2281"/>
      <c r="B51" s="2305"/>
      <c r="C51" s="2306"/>
      <c r="D51" s="2309" t="s">
        <v>134</v>
      </c>
      <c r="E51" s="2310"/>
      <c r="F51" s="604" t="s">
        <v>4</v>
      </c>
      <c r="G51" s="1000" t="s">
        <v>126</v>
      </c>
      <c r="H51" s="1000" t="s">
        <v>126</v>
      </c>
      <c r="I51" s="67">
        <f>'XM.FILE GOC'!AA85</f>
        <v>0</v>
      </c>
      <c r="J51" s="904"/>
      <c r="K51" s="905">
        <f>'XM.FILE GOC'!AD85</f>
        <v>14.4</v>
      </c>
      <c r="L51" s="77" t="s">
        <v>9</v>
      </c>
      <c r="M51" s="67">
        <f>'XM.FILE GOC'!AM85</f>
        <v>0</v>
      </c>
      <c r="N51" s="72"/>
      <c r="O51" s="73">
        <f>'XM.FILE GOC'!AP85</f>
        <v>14.4</v>
      </c>
      <c r="P51" s="30" t="s">
        <v>9</v>
      </c>
      <c r="Q51" s="1109"/>
    </row>
    <row r="52" spans="1:17" ht="33" customHeight="1">
      <c r="A52" s="2288"/>
      <c r="B52" s="2305"/>
      <c r="C52" s="2306"/>
      <c r="D52" s="2309" t="s">
        <v>108</v>
      </c>
      <c r="E52" s="2310"/>
      <c r="F52" s="604" t="s">
        <v>4</v>
      </c>
      <c r="G52" s="1000" t="str">
        <f>'XM.GUI MAIL'!$E$86</f>
        <v>120~130</v>
      </c>
      <c r="H52" s="1000" t="str">
        <f>'XM.GUI MAIL'!$F$86</f>
        <v>(125 ± 5)</v>
      </c>
      <c r="I52" s="61">
        <f>'XM.FILE GOC'!AA86</f>
        <v>0</v>
      </c>
      <c r="J52" s="904" t="s">
        <v>8</v>
      </c>
      <c r="K52" s="905">
        <f>'XM.FILE GOC'!AD86</f>
        <v>1000</v>
      </c>
      <c r="L52" s="77" t="s">
        <v>1368</v>
      </c>
      <c r="M52" s="61">
        <f>'XM.FILE GOC'!AM86</f>
        <v>0</v>
      </c>
      <c r="N52" s="72" t="s">
        <v>8</v>
      </c>
      <c r="O52" s="73">
        <f>'XM.FILE GOC'!AP86</f>
        <v>1000</v>
      </c>
      <c r="P52" s="30" t="s">
        <v>9</v>
      </c>
      <c r="Q52" s="1109" t="s">
        <v>44</v>
      </c>
    </row>
    <row r="53" spans="1:17" s="7" customFormat="1" ht="34.5" hidden="1" customHeight="1">
      <c r="A53" s="2280">
        <v>6</v>
      </c>
      <c r="B53" s="2307"/>
      <c r="C53" s="2308"/>
      <c r="D53" s="1501" t="s">
        <v>137</v>
      </c>
      <c r="E53" s="1502"/>
      <c r="F53" s="604" t="s">
        <v>4</v>
      </c>
      <c r="G53" s="1000" t="s">
        <v>138</v>
      </c>
      <c r="H53" s="1000" t="s">
        <v>138</v>
      </c>
      <c r="I53" s="67">
        <f>'XM.FILE GOC'!AA87</f>
        <v>-4.45</v>
      </c>
      <c r="J53" s="904" t="s">
        <v>8</v>
      </c>
      <c r="K53" s="905">
        <f>'XM.FILE GOC'!AD87</f>
        <v>1075.5999999999999</v>
      </c>
      <c r="L53" s="77" t="s">
        <v>10</v>
      </c>
      <c r="M53" s="67">
        <f>'XM.FILE GOC'!AM87</f>
        <v>-4.45</v>
      </c>
      <c r="N53" s="72" t="s">
        <v>8</v>
      </c>
      <c r="O53" s="73">
        <f>'XM.FILE GOC'!AP87</f>
        <v>1075.5999999999999</v>
      </c>
      <c r="P53" s="30" t="s">
        <v>10</v>
      </c>
      <c r="Q53" s="1109" t="s">
        <v>45</v>
      </c>
    </row>
    <row r="54" spans="1:17" ht="34.5" customHeight="1">
      <c r="A54" s="2288"/>
      <c r="B54" s="2229" t="s">
        <v>135</v>
      </c>
      <c r="C54" s="2230"/>
      <c r="D54" s="2309" t="s">
        <v>5</v>
      </c>
      <c r="E54" s="2310"/>
      <c r="F54" s="87" t="s">
        <v>5</v>
      </c>
      <c r="G54" s="1000" t="str">
        <f>'XM.GUI MAIL'!$E$88</f>
        <v>3.0-4.5</v>
      </c>
      <c r="H54" s="1000" t="str">
        <f>'XM.GUI MAIL'!$F$88</f>
        <v>(4.3±0.2)</v>
      </c>
      <c r="I54" s="67">
        <f>'XM.FILE GOC'!AA88</f>
        <v>0</v>
      </c>
      <c r="J54" s="904" t="s">
        <v>8</v>
      </c>
      <c r="K54" s="905"/>
      <c r="L54" s="77"/>
      <c r="M54" s="67">
        <f>'XM.FILE GOC'!AM88</f>
        <v>0</v>
      </c>
      <c r="N54" s="72" t="s">
        <v>8</v>
      </c>
      <c r="O54" s="73"/>
      <c r="P54" s="30"/>
      <c r="Q54" s="121"/>
    </row>
    <row r="55" spans="1:17" ht="34.5" customHeight="1">
      <c r="A55" s="1111">
        <v>7</v>
      </c>
      <c r="B55" s="2300" t="s">
        <v>1036</v>
      </c>
      <c r="C55" s="2301"/>
      <c r="D55" s="2301"/>
      <c r="E55" s="2302"/>
      <c r="F55" s="87" t="s">
        <v>6</v>
      </c>
      <c r="G55" s="1134" t="str">
        <f>'XM.GUI MAIL'!$E$76</f>
        <v>40~50</v>
      </c>
      <c r="H55" s="1134" t="str">
        <f>'XM.GUI MAIL'!$F$76</f>
        <v>(45±5)</v>
      </c>
      <c r="I55" s="68">
        <f>'XM.FILE GOC'!AA76</f>
        <v>0</v>
      </c>
      <c r="J55" s="72" t="s">
        <v>8</v>
      </c>
      <c r="K55" s="73">
        <f>'XM.FILE GOC'!AD76</f>
        <v>1163.5961538461538</v>
      </c>
      <c r="L55" s="30" t="s">
        <v>10</v>
      </c>
      <c r="M55" s="68">
        <f>'XM.FILE GOC'!AM76</f>
        <v>0</v>
      </c>
      <c r="N55" s="72" t="s">
        <v>8</v>
      </c>
      <c r="O55" s="73">
        <f>'XM.FILE GOC'!AP76</f>
        <v>1163.5961538461538</v>
      </c>
      <c r="P55" s="30" t="s">
        <v>10</v>
      </c>
      <c r="Q55" s="1109" t="s">
        <v>46</v>
      </c>
    </row>
    <row r="56" spans="1:17" ht="34.5" customHeight="1">
      <c r="A56" s="1111">
        <v>8</v>
      </c>
      <c r="B56" s="2300" t="s">
        <v>1037</v>
      </c>
      <c r="C56" s="2301"/>
      <c r="D56" s="2301"/>
      <c r="E56" s="2302"/>
      <c r="F56" s="87" t="s">
        <v>6</v>
      </c>
      <c r="G56" s="1134" t="str">
        <f>'XM.GUI MAIL'!$E$77</f>
        <v>40~50</v>
      </c>
      <c r="H56" s="1134" t="str">
        <f>'XM.GUI MAIL'!$F$77</f>
        <v>(45±5)</v>
      </c>
      <c r="I56" s="68">
        <f>'XM.FILE GOC'!AA77</f>
        <v>0</v>
      </c>
      <c r="J56" s="72" t="s">
        <v>8</v>
      </c>
      <c r="K56" s="73">
        <f>'XM.FILE GOC'!AD77</f>
        <v>1818.8653846153845</v>
      </c>
      <c r="L56" s="30" t="s">
        <v>10</v>
      </c>
      <c r="M56" s="68">
        <f>'XM.FILE GOC'!AM77</f>
        <v>0</v>
      </c>
      <c r="N56" s="72" t="s">
        <v>8</v>
      </c>
      <c r="O56" s="73">
        <f>'XM.FILE GOC'!AP77</f>
        <v>1818.8653846153845</v>
      </c>
      <c r="P56" s="30" t="s">
        <v>10</v>
      </c>
      <c r="Q56" s="1135" t="s">
        <v>46</v>
      </c>
    </row>
    <row r="57" spans="1:17" ht="34.5" customHeight="1">
      <c r="A57" s="1111">
        <v>9</v>
      </c>
      <c r="B57" s="2293" t="s">
        <v>86</v>
      </c>
      <c r="C57" s="2294"/>
      <c r="D57" s="2294"/>
      <c r="E57" s="2295"/>
      <c r="F57" s="87" t="s">
        <v>6</v>
      </c>
      <c r="G57" s="1134" t="str">
        <f>'XM.GUI MAIL'!$E$78</f>
        <v>20~40</v>
      </c>
      <c r="H57" s="1134" t="str">
        <f>'XM.GUI MAIL'!$F$78</f>
        <v>(30±5)</v>
      </c>
      <c r="I57" s="68">
        <f>'XM.FILE GOC'!AA78</f>
        <v>0</v>
      </c>
      <c r="J57" s="72" t="s">
        <v>8</v>
      </c>
      <c r="K57" s="73">
        <f>'XM.FILE GOC'!AD78</f>
        <v>334.55172413793105</v>
      </c>
      <c r="L57" s="30" t="s">
        <v>10</v>
      </c>
      <c r="M57" s="68">
        <f>'XM.FILE GOC'!AM78</f>
        <v>0</v>
      </c>
      <c r="N57" s="72" t="s">
        <v>8</v>
      </c>
      <c r="O57" s="73">
        <f>'XM.FILE GOC'!AP78</f>
        <v>334.55172413793105</v>
      </c>
      <c r="P57" s="30" t="s">
        <v>10</v>
      </c>
      <c r="Q57" s="1109" t="s">
        <v>47</v>
      </c>
    </row>
    <row r="58" spans="1:17" ht="34.5" customHeight="1">
      <c r="A58" s="1111">
        <v>10</v>
      </c>
      <c r="B58" s="2293" t="s">
        <v>1038</v>
      </c>
      <c r="C58" s="2294" t="s">
        <v>1038</v>
      </c>
      <c r="D58" s="2294" t="s">
        <v>1038</v>
      </c>
      <c r="E58" s="2295" t="s">
        <v>1038</v>
      </c>
      <c r="F58" s="87" t="s">
        <v>6</v>
      </c>
      <c r="G58" s="1134" t="str">
        <f>'XM.GUI MAIL'!$E$79</f>
        <v>0.5~1.5</v>
      </c>
      <c r="H58" s="1134" t="str">
        <f>'XM.GUI MAIL'!$F$79</f>
        <v>(1±0.4)</v>
      </c>
      <c r="I58" s="69">
        <f>'XM.FILE GOC'!AA79</f>
        <v>0</v>
      </c>
      <c r="J58" s="72" t="s">
        <v>8</v>
      </c>
      <c r="K58" s="76">
        <f>'XM.FILE GOC'!AD79</f>
        <v>28.080000000000002</v>
      </c>
      <c r="L58" s="78" t="s">
        <v>10</v>
      </c>
      <c r="M58" s="69">
        <f>'XM.FILE GOC'!AM79</f>
        <v>0</v>
      </c>
      <c r="N58" s="72" t="s">
        <v>8</v>
      </c>
      <c r="O58" s="76">
        <f>'XM.FILE GOC'!AP79</f>
        <v>15.600000000000001</v>
      </c>
      <c r="P58" s="78" t="s">
        <v>10</v>
      </c>
      <c r="Q58" s="1109" t="s">
        <v>47</v>
      </c>
    </row>
    <row r="59" spans="1:17" ht="33.75" customHeight="1">
      <c r="A59" s="1111"/>
      <c r="B59" s="2297" t="s">
        <v>153</v>
      </c>
      <c r="C59" s="2298"/>
      <c r="D59" s="2298"/>
      <c r="E59" s="2298"/>
      <c r="F59" s="2298"/>
      <c r="G59" s="2298"/>
      <c r="H59" s="2298"/>
      <c r="I59" s="2298"/>
      <c r="J59" s="2298"/>
      <c r="K59" s="2298"/>
      <c r="L59" s="2298"/>
      <c r="M59" s="2298"/>
      <c r="N59" s="2298"/>
      <c r="O59" s="2298"/>
      <c r="P59" s="2298"/>
      <c r="Q59" s="2299"/>
    </row>
    <row r="60" spans="1:17" ht="37.5" customHeight="1">
      <c r="A60" s="1111" t="s">
        <v>7</v>
      </c>
      <c r="B60" s="2297" t="s">
        <v>23</v>
      </c>
      <c r="C60" s="2298"/>
      <c r="D60" s="2298"/>
      <c r="E60" s="2299"/>
      <c r="F60" s="85" t="s">
        <v>24</v>
      </c>
      <c r="G60" s="1094" t="s">
        <v>1424</v>
      </c>
      <c r="H60" s="1618" t="s">
        <v>1412</v>
      </c>
      <c r="I60" s="2229" t="s">
        <v>26</v>
      </c>
      <c r="J60" s="2230"/>
      <c r="K60" s="2229" t="s">
        <v>27</v>
      </c>
      <c r="L60" s="2230"/>
      <c r="M60" s="2229" t="s">
        <v>26</v>
      </c>
      <c r="N60" s="2230"/>
      <c r="O60" s="2229" t="s">
        <v>27</v>
      </c>
      <c r="P60" s="2230"/>
      <c r="Q60" s="10"/>
    </row>
    <row r="61" spans="1:17" ht="42" customHeight="1">
      <c r="A61" s="1111">
        <v>1</v>
      </c>
      <c r="B61" s="2297" t="s">
        <v>36</v>
      </c>
      <c r="C61" s="2298"/>
      <c r="D61" s="2298"/>
      <c r="E61" s="2299"/>
      <c r="F61" s="11" t="s">
        <v>28</v>
      </c>
      <c r="G61" s="1136" t="str">
        <f>'XM.GUI MAIL'!$E$91</f>
        <v>65~75</v>
      </c>
      <c r="H61" s="1136" t="str">
        <f>'XM.GUI MAIL'!$F$91</f>
        <v>(70±3)</v>
      </c>
      <c r="I61" s="2088">
        <f>'3.XT-C kh'!I62</f>
        <v>0</v>
      </c>
      <c r="J61" s="2089"/>
      <c r="K61" s="2088">
        <f>'3.XT-C kh'!K62</f>
        <v>0</v>
      </c>
      <c r="L61" s="2089"/>
      <c r="M61" s="2088">
        <f>'3.XT-C kh'!Y62</f>
        <v>0</v>
      </c>
      <c r="N61" s="2089"/>
      <c r="O61" s="2088">
        <f>'3.XT-C kh'!AA62</f>
        <v>0</v>
      </c>
      <c r="P61" s="2089"/>
      <c r="Q61" s="1111"/>
    </row>
    <row r="62" spans="1:17" ht="42" customHeight="1">
      <c r="A62" s="1111">
        <v>2</v>
      </c>
      <c r="B62" s="2297" t="s">
        <v>37</v>
      </c>
      <c r="C62" s="2298"/>
      <c r="D62" s="2298"/>
      <c r="E62" s="2299"/>
      <c r="F62" s="11" t="s">
        <v>28</v>
      </c>
      <c r="G62" s="1136" t="str">
        <f>'XM.GUI MAIL'!$E$92</f>
        <v>65~75</v>
      </c>
      <c r="H62" s="1136" t="str">
        <f>'XM.GUI MAIL'!$F$92</f>
        <v>(70±3)</v>
      </c>
      <c r="I62" s="2088">
        <f>'3.XT-C kh'!I63</f>
        <v>0</v>
      </c>
      <c r="J62" s="2089"/>
      <c r="K62" s="2088">
        <f>'3.XT-C kh'!K63</f>
        <v>0</v>
      </c>
      <c r="L62" s="2089"/>
      <c r="M62" s="2088">
        <f>'3.XT-C kh'!Y63</f>
        <v>0</v>
      </c>
      <c r="N62" s="2089"/>
      <c r="O62" s="2088">
        <f>'3.XT-C kh'!AA63</f>
        <v>0</v>
      </c>
      <c r="P62" s="2089"/>
      <c r="Q62" s="1111"/>
    </row>
    <row r="63" spans="1:17" ht="42" customHeight="1">
      <c r="A63" s="87">
        <v>3</v>
      </c>
      <c r="B63" s="2229" t="s">
        <v>29</v>
      </c>
      <c r="C63" s="2311"/>
      <c r="D63" s="2311"/>
      <c r="E63" s="2230"/>
      <c r="F63" s="11" t="s">
        <v>28</v>
      </c>
      <c r="G63" s="1136" t="str">
        <f>'XM.GUI MAIL'!$E$93</f>
        <v>60~70</v>
      </c>
      <c r="H63" s="1136" t="str">
        <f>'XM.GUI MAIL'!$F$93</f>
        <v>(65±3)</v>
      </c>
      <c r="I63" s="2088">
        <f>'3.XT-C kh'!I64</f>
        <v>0</v>
      </c>
      <c r="J63" s="2089"/>
      <c r="K63" s="2088">
        <f>'3.XT-C kh'!K64</f>
        <v>0</v>
      </c>
      <c r="L63" s="2089"/>
      <c r="M63" s="2088">
        <f>'3.XT-C kh'!Y64</f>
        <v>0</v>
      </c>
      <c r="N63" s="2089"/>
      <c r="O63" s="2088">
        <f>'3.XT-C kh'!AA64</f>
        <v>0</v>
      </c>
      <c r="P63" s="2089"/>
      <c r="Q63" s="1111"/>
    </row>
    <row r="64" spans="1:17" ht="42" customHeight="1">
      <c r="A64" s="87">
        <v>4</v>
      </c>
      <c r="B64" s="2229" t="s">
        <v>30</v>
      </c>
      <c r="C64" s="2311"/>
      <c r="D64" s="2311"/>
      <c r="E64" s="2230"/>
      <c r="F64" s="11" t="s">
        <v>28</v>
      </c>
      <c r="G64" s="1136" t="str">
        <f>'XM.GUI MAIL'!$E$94</f>
        <v>60~70</v>
      </c>
      <c r="H64" s="1136" t="str">
        <f>'XM.GUI MAIL'!$F$94</f>
        <v>(65±3)</v>
      </c>
      <c r="I64" s="2088">
        <f>'3.XT-C kh'!I65</f>
        <v>0</v>
      </c>
      <c r="J64" s="2089"/>
      <c r="K64" s="2088">
        <f>'3.XT-C kh'!K65</f>
        <v>0</v>
      </c>
      <c r="L64" s="2089"/>
      <c r="M64" s="2088">
        <f>'3.XT-C kh'!Y65</f>
        <v>0</v>
      </c>
      <c r="N64" s="2089"/>
      <c r="O64" s="2088">
        <f>'3.XT-C kh'!AA65</f>
        <v>0</v>
      </c>
      <c r="P64" s="2089"/>
      <c r="Q64" s="1111"/>
    </row>
    <row r="65" spans="1:17" ht="42" customHeight="1">
      <c r="A65" s="87">
        <v>5</v>
      </c>
      <c r="B65" s="2229" t="s">
        <v>127</v>
      </c>
      <c r="C65" s="2311"/>
      <c r="D65" s="2311"/>
      <c r="E65" s="2230"/>
      <c r="F65" s="11" t="s">
        <v>28</v>
      </c>
      <c r="G65" s="1136" t="str">
        <f>'XM.GUI MAIL'!$E$103</f>
        <v>24~28</v>
      </c>
      <c r="H65" s="1136" t="str">
        <f>'XM.GUI MAIL'!$F$103</f>
        <v>(26±2)</v>
      </c>
      <c r="I65" s="2091">
        <f>'XM.FILE GOC'!AA103</f>
        <v>0</v>
      </c>
      <c r="J65" s="2092"/>
      <c r="K65" s="2091">
        <f>'XM.FILE GOC'!AD103</f>
        <v>0</v>
      </c>
      <c r="L65" s="2092"/>
      <c r="M65" s="2091">
        <f>'XM.FILE GOC'!AM103</f>
        <v>0</v>
      </c>
      <c r="N65" s="2092"/>
      <c r="O65" s="2091">
        <f>'XM.FILE GOC'!AP103</f>
        <v>0</v>
      </c>
      <c r="P65" s="2092"/>
      <c r="Q65" s="1111"/>
    </row>
    <row r="66" spans="1:17" ht="42" customHeight="1">
      <c r="A66" s="87">
        <v>6</v>
      </c>
      <c r="B66" s="2220" t="s">
        <v>1397</v>
      </c>
      <c r="C66" s="2221"/>
      <c r="D66" s="2221"/>
      <c r="E66" s="2222"/>
      <c r="F66" s="11" t="s">
        <v>28</v>
      </c>
      <c r="G66" s="1136" t="str">
        <f>'XM.GUI MAIL'!$E$104</f>
        <v>40~60</v>
      </c>
      <c r="H66" s="1136" t="str">
        <f>'XM.GUI MAIL'!$F$104</f>
        <v>(50±10)</v>
      </c>
      <c r="I66" s="2091">
        <f>'XM.FILE GOC'!AA104</f>
        <v>0</v>
      </c>
      <c r="J66" s="2092"/>
      <c r="K66" s="2091">
        <f>'XM.FILE GOC'!AD104</f>
        <v>0</v>
      </c>
      <c r="L66" s="2092"/>
      <c r="M66" s="2091">
        <f>'XM.FILE GOC'!AM104</f>
        <v>0</v>
      </c>
      <c r="N66" s="2092"/>
      <c r="O66" s="2091">
        <f>'XM.FILE GOC'!AP104</f>
        <v>0</v>
      </c>
      <c r="P66" s="2092"/>
      <c r="Q66" s="1111"/>
    </row>
    <row r="67" spans="1:17" ht="42" customHeight="1">
      <c r="A67" s="87">
        <v>7</v>
      </c>
      <c r="B67" s="2229" t="s">
        <v>132</v>
      </c>
      <c r="C67" s="2311"/>
      <c r="D67" s="2311"/>
      <c r="E67" s="2230"/>
      <c r="F67" s="11" t="s">
        <v>28</v>
      </c>
      <c r="G67" s="1136" t="str">
        <f>'XM.GUI MAIL'!$E$105</f>
        <v>20~30</v>
      </c>
      <c r="H67" s="1136" t="str">
        <f>'XM.GUI MAIL'!$F$105</f>
        <v>(25±5)</v>
      </c>
      <c r="I67" s="2091">
        <f>'XM.FILE GOC'!AA105</f>
        <v>0</v>
      </c>
      <c r="J67" s="2092"/>
      <c r="K67" s="2091">
        <f>'XM.FILE GOC'!AD105</f>
        <v>0</v>
      </c>
      <c r="L67" s="2092"/>
      <c r="M67" s="2091">
        <f>'XM.FILE GOC'!AM105</f>
        <v>0</v>
      </c>
      <c r="N67" s="2092"/>
      <c r="O67" s="2091">
        <f>'XM.FILE GOC'!AP105</f>
        <v>0</v>
      </c>
      <c r="P67" s="2092"/>
      <c r="Q67" s="1111"/>
    </row>
    <row r="68" spans="1:17" ht="42" customHeight="1">
      <c r="A68" s="87">
        <v>8</v>
      </c>
      <c r="B68" s="2229" t="s">
        <v>33</v>
      </c>
      <c r="C68" s="2311"/>
      <c r="D68" s="2311"/>
      <c r="E68" s="2230"/>
      <c r="F68" s="11" t="s">
        <v>28</v>
      </c>
      <c r="G68" s="1136" t="str">
        <f>'XM.GUI MAIL'!$E$97</f>
        <v>55~65</v>
      </c>
      <c r="H68" s="1136" t="str">
        <f>'XM.GUI MAIL'!$F$97</f>
        <v>(60±3)</v>
      </c>
      <c r="I68" s="2088">
        <f>'3.XT-C kh'!I68</f>
        <v>0</v>
      </c>
      <c r="J68" s="2089"/>
      <c r="K68" s="2088">
        <f>'3.XT-C kh'!K68</f>
        <v>0</v>
      </c>
      <c r="L68" s="2089"/>
      <c r="M68" s="2088">
        <f>'3.XT-C kh'!Y68</f>
        <v>0</v>
      </c>
      <c r="N68" s="2089"/>
      <c r="O68" s="2088">
        <f>'3.XT-C kh'!AA68</f>
        <v>0</v>
      </c>
      <c r="P68" s="2089"/>
      <c r="Q68" s="1111"/>
    </row>
    <row r="69" spans="1:17" ht="42" customHeight="1">
      <c r="A69" s="1111">
        <v>9</v>
      </c>
      <c r="B69" s="2297" t="s">
        <v>34</v>
      </c>
      <c r="C69" s="2298"/>
      <c r="D69" s="2298"/>
      <c r="E69" s="2299"/>
      <c r="F69" s="11" t="s">
        <v>28</v>
      </c>
      <c r="G69" s="1136" t="str">
        <f>'XM.GUI MAIL'!$E$98</f>
        <v>65~75</v>
      </c>
      <c r="H69" s="1136" t="str">
        <f>'XM.GUI MAIL'!$F$98</f>
        <v>(70±3)</v>
      </c>
      <c r="I69" s="2229" t="str">
        <f>'3.XT-C kh'!I69</f>
        <v>\</v>
      </c>
      <c r="J69" s="2230"/>
      <c r="K69" s="2088">
        <f>'3.XT-C kh'!K69</f>
        <v>0</v>
      </c>
      <c r="L69" s="2089"/>
      <c r="M69" s="2229" t="str">
        <f>'3.XT-C kh'!Y69</f>
        <v>\</v>
      </c>
      <c r="N69" s="2230"/>
      <c r="O69" s="2088">
        <f>'3.XT-C kh'!AA69</f>
        <v>0</v>
      </c>
      <c r="P69" s="2089"/>
      <c r="Q69" s="1111"/>
    </row>
  </sheetData>
  <sheetProtection selectLockedCells="1"/>
  <mergeCells count="186">
    <mergeCell ref="O29:P29"/>
    <mergeCell ref="B50:C53"/>
    <mergeCell ref="D50:E50"/>
    <mergeCell ref="D51:E51"/>
    <mergeCell ref="D52:E52"/>
    <mergeCell ref="B54:C54"/>
    <mergeCell ref="D54:E54"/>
    <mergeCell ref="B29:E29"/>
    <mergeCell ref="I29:J29"/>
    <mergeCell ref="K29:L29"/>
    <mergeCell ref="M29:N29"/>
    <mergeCell ref="A37:N37"/>
    <mergeCell ref="A38:N38"/>
    <mergeCell ref="O38:P38"/>
    <mergeCell ref="O32:P32"/>
    <mergeCell ref="B33:E33"/>
    <mergeCell ref="I33:J33"/>
    <mergeCell ref="K33:L33"/>
    <mergeCell ref="M33:N33"/>
    <mergeCell ref="O33:P33"/>
    <mergeCell ref="B32:E32"/>
    <mergeCell ref="I32:J32"/>
    <mergeCell ref="K32:L32"/>
    <mergeCell ref="M32:N32"/>
    <mergeCell ref="B69:E69"/>
    <mergeCell ref="I69:J69"/>
    <mergeCell ref="K69:L69"/>
    <mergeCell ref="M69:N69"/>
    <mergeCell ref="O69:P69"/>
    <mergeCell ref="B68:E68"/>
    <mergeCell ref="I68:J68"/>
    <mergeCell ref="O65:P65"/>
    <mergeCell ref="B65:E65"/>
    <mergeCell ref="I65:J65"/>
    <mergeCell ref="K65:L65"/>
    <mergeCell ref="M65:N65"/>
    <mergeCell ref="K68:L68"/>
    <mergeCell ref="M68:N68"/>
    <mergeCell ref="O66:P66"/>
    <mergeCell ref="B67:E67"/>
    <mergeCell ref="I67:J67"/>
    <mergeCell ref="K67:L67"/>
    <mergeCell ref="M67:N67"/>
    <mergeCell ref="O67:P67"/>
    <mergeCell ref="B66:E66"/>
    <mergeCell ref="I66:J66"/>
    <mergeCell ref="K66:L66"/>
    <mergeCell ref="M66:N66"/>
    <mergeCell ref="O68:P68"/>
    <mergeCell ref="K63:L63"/>
    <mergeCell ref="M63:N63"/>
    <mergeCell ref="O61:P61"/>
    <mergeCell ref="B62:E62"/>
    <mergeCell ref="I62:J62"/>
    <mergeCell ref="K62:L62"/>
    <mergeCell ref="M62:N62"/>
    <mergeCell ref="O62:P62"/>
    <mergeCell ref="B61:E61"/>
    <mergeCell ref="I61:J61"/>
    <mergeCell ref="K61:L61"/>
    <mergeCell ref="M61:N61"/>
    <mergeCell ref="O63:P63"/>
    <mergeCell ref="B64:E64"/>
    <mergeCell ref="I64:J64"/>
    <mergeCell ref="K64:L64"/>
    <mergeCell ref="M64:N64"/>
    <mergeCell ref="O64:P64"/>
    <mergeCell ref="B63:E63"/>
    <mergeCell ref="I63:J63"/>
    <mergeCell ref="O60:P60"/>
    <mergeCell ref="A53:A54"/>
    <mergeCell ref="B55:E55"/>
    <mergeCell ref="B56:E56"/>
    <mergeCell ref="B57:E57"/>
    <mergeCell ref="A48:A49"/>
    <mergeCell ref="B48:C49"/>
    <mergeCell ref="D48:E48"/>
    <mergeCell ref="D49:E49"/>
    <mergeCell ref="A50:A52"/>
    <mergeCell ref="B58:E58"/>
    <mergeCell ref="B59:Q59"/>
    <mergeCell ref="B60:E60"/>
    <mergeCell ref="I60:J60"/>
    <mergeCell ref="K60:L60"/>
    <mergeCell ref="M60:N60"/>
    <mergeCell ref="A44:A45"/>
    <mergeCell ref="B44:C45"/>
    <mergeCell ref="D44:E44"/>
    <mergeCell ref="D45:E45"/>
    <mergeCell ref="D47:E47"/>
    <mergeCell ref="A46:A47"/>
    <mergeCell ref="B46:C47"/>
    <mergeCell ref="D46:E46"/>
    <mergeCell ref="Q40:Q41"/>
    <mergeCell ref="J41:L41"/>
    <mergeCell ref="N41:P41"/>
    <mergeCell ref="A42:A43"/>
    <mergeCell ref="B42:C43"/>
    <mergeCell ref="D42:E42"/>
    <mergeCell ref="D43:E43"/>
    <mergeCell ref="H40:H41"/>
    <mergeCell ref="O39:P39"/>
    <mergeCell ref="A40:A41"/>
    <mergeCell ref="B40:E41"/>
    <mergeCell ref="F40:F41"/>
    <mergeCell ref="G40:G41"/>
    <mergeCell ref="I40:L40"/>
    <mergeCell ref="M40:P40"/>
    <mergeCell ref="O30:P30"/>
    <mergeCell ref="B31:E31"/>
    <mergeCell ref="I31:J31"/>
    <mergeCell ref="K31:L31"/>
    <mergeCell ref="M31:N31"/>
    <mergeCell ref="O31:P31"/>
    <mergeCell ref="B30:E30"/>
    <mergeCell ref="I30:J30"/>
    <mergeCell ref="K30:L30"/>
    <mergeCell ref="M30:N30"/>
    <mergeCell ref="O27:P27"/>
    <mergeCell ref="B28:E28"/>
    <mergeCell ref="I28:J28"/>
    <mergeCell ref="K28:L28"/>
    <mergeCell ref="M28:N28"/>
    <mergeCell ref="O28:P28"/>
    <mergeCell ref="B27:E27"/>
    <mergeCell ref="I27:J27"/>
    <mergeCell ref="K27:L27"/>
    <mergeCell ref="M27:N27"/>
    <mergeCell ref="O25:P25"/>
    <mergeCell ref="B26:E26"/>
    <mergeCell ref="I26:J26"/>
    <mergeCell ref="K26:L26"/>
    <mergeCell ref="M26:N26"/>
    <mergeCell ref="O26:P26"/>
    <mergeCell ref="B25:E25"/>
    <mergeCell ref="I25:J25"/>
    <mergeCell ref="K25:L25"/>
    <mergeCell ref="M25:N25"/>
    <mergeCell ref="B22:E22"/>
    <mergeCell ref="B23:Q23"/>
    <mergeCell ref="B24:E24"/>
    <mergeCell ref="I24:J24"/>
    <mergeCell ref="K24:L24"/>
    <mergeCell ref="M24:N24"/>
    <mergeCell ref="O24:P24"/>
    <mergeCell ref="A17:A18"/>
    <mergeCell ref="B19:E19"/>
    <mergeCell ref="B20:E20"/>
    <mergeCell ref="B21:E21"/>
    <mergeCell ref="B14:C17"/>
    <mergeCell ref="D14:E14"/>
    <mergeCell ref="D15:E15"/>
    <mergeCell ref="D16:E16"/>
    <mergeCell ref="B18:C18"/>
    <mergeCell ref="D18:E18"/>
    <mergeCell ref="A14:A16"/>
    <mergeCell ref="Q4:Q5"/>
    <mergeCell ref="J5:L5"/>
    <mergeCell ref="N5:P5"/>
    <mergeCell ref="A6:A7"/>
    <mergeCell ref="B6:C7"/>
    <mergeCell ref="D6:E6"/>
    <mergeCell ref="D7:E7"/>
    <mergeCell ref="D8:E8"/>
    <mergeCell ref="A12:A13"/>
    <mergeCell ref="B12:C13"/>
    <mergeCell ref="D12:E12"/>
    <mergeCell ref="D13:E13"/>
    <mergeCell ref="A8:A9"/>
    <mergeCell ref="B8:C9"/>
    <mergeCell ref="D9:E9"/>
    <mergeCell ref="D10:E10"/>
    <mergeCell ref="A10:A11"/>
    <mergeCell ref="B10:C11"/>
    <mergeCell ref="D11:E11"/>
    <mergeCell ref="H4:H5"/>
    <mergeCell ref="A1:N1"/>
    <mergeCell ref="A2:N2"/>
    <mergeCell ref="O2:P2"/>
    <mergeCell ref="O3:P3"/>
    <mergeCell ref="A4:A5"/>
    <mergeCell ref="B4:E5"/>
    <mergeCell ref="F4:F5"/>
    <mergeCell ref="G4:G5"/>
    <mergeCell ref="I4:L4"/>
    <mergeCell ref="M4:P4"/>
  </mergeCells>
  <phoneticPr fontId="6" type="noConversion"/>
  <conditionalFormatting sqref="M55:M56 M19:M20 I19:I20 I55:I56">
    <cfRule type="expression" dxfId="3673" priority="659">
      <formula>I19&lt;30%</formula>
    </cfRule>
    <cfRule type="expression" dxfId="3672" priority="660">
      <formula>I19&gt;60%</formula>
    </cfRule>
  </conditionalFormatting>
  <conditionalFormatting sqref="I58 M58 I22 M22">
    <cfRule type="expression" dxfId="3671" priority="657">
      <formula>I22&lt;0.5%</formula>
    </cfRule>
    <cfRule type="expression" dxfId="3670" priority="658">
      <formula>I22&gt;1.5%</formula>
    </cfRule>
  </conditionalFormatting>
  <conditionalFormatting sqref="I44 M44 I42 M42 I8 M8 I6 M6">
    <cfRule type="expression" dxfId="3669" priority="487" stopIfTrue="1">
      <formula>I6&gt;60</formula>
    </cfRule>
    <cfRule type="expression" dxfId="3668" priority="488" stopIfTrue="1">
      <formula>I6&lt;45</formula>
    </cfRule>
  </conditionalFormatting>
  <conditionalFormatting sqref="I46 I48 M46 M48 I10 I12 M10 M12">
    <cfRule type="expression" dxfId="3667" priority="483" stopIfTrue="1">
      <formula>I10&gt;80</formula>
    </cfRule>
    <cfRule type="expression" dxfId="3666" priority="484" stopIfTrue="1">
      <formula>I10&lt;60</formula>
    </cfRule>
  </conditionalFormatting>
  <conditionalFormatting sqref="I57">
    <cfRule type="expression" dxfId="3665" priority="359">
      <formula>I57&lt;20%</formula>
    </cfRule>
    <cfRule type="expression" dxfId="3664" priority="360">
      <formula>I57&gt;40%</formula>
    </cfRule>
  </conditionalFormatting>
  <conditionalFormatting sqref="M57">
    <cfRule type="expression" dxfId="3663" priority="357">
      <formula>M57&lt;20%</formula>
    </cfRule>
    <cfRule type="expression" dxfId="3662" priority="358">
      <formula>M57&gt;40%</formula>
    </cfRule>
  </conditionalFormatting>
  <conditionalFormatting sqref="I21">
    <cfRule type="expression" dxfId="3661" priority="355">
      <formula>I21&lt;20%</formula>
    </cfRule>
    <cfRule type="expression" dxfId="3660" priority="356">
      <formula>I21&gt;40%</formula>
    </cfRule>
  </conditionalFormatting>
  <conditionalFormatting sqref="M21">
    <cfRule type="expression" dxfId="3659" priority="353">
      <formula>M21&lt;20%</formula>
    </cfRule>
    <cfRule type="expression" dxfId="3658" priority="354">
      <formula>M21&gt;40%</formula>
    </cfRule>
  </conditionalFormatting>
  <conditionalFormatting sqref="I50">
    <cfRule type="expression" dxfId="3657" priority="351" stopIfTrue="1">
      <formula>I50&gt;6</formula>
    </cfRule>
    <cfRule type="expression" dxfId="3656" priority="352" stopIfTrue="1">
      <formula>I50&lt;5</formula>
    </cfRule>
  </conditionalFormatting>
  <conditionalFormatting sqref="I51">
    <cfRule type="expression" dxfId="3655" priority="349" stopIfTrue="1">
      <formula>I51&gt;1.9</formula>
    </cfRule>
    <cfRule type="expression" dxfId="3654" priority="350" stopIfTrue="1">
      <formula>I51&lt;1.7</formula>
    </cfRule>
  </conditionalFormatting>
  <conditionalFormatting sqref="I52">
    <cfRule type="expression" dxfId="3653" priority="347" stopIfTrue="1">
      <formula>I52&gt;130</formula>
    </cfRule>
    <cfRule type="expression" dxfId="3652" priority="348" stopIfTrue="1">
      <formula>I52&lt;120</formula>
    </cfRule>
  </conditionalFormatting>
  <conditionalFormatting sqref="I53">
    <cfRule type="expression" dxfId="3651" priority="345" stopIfTrue="1">
      <formula>I53&gt;135</formula>
    </cfRule>
    <cfRule type="expression" dxfId="3650" priority="346" stopIfTrue="1">
      <formula>I53&lt;125</formula>
    </cfRule>
  </conditionalFormatting>
  <conditionalFormatting sqref="I54">
    <cfRule type="expression" dxfId="3649" priority="343" stopIfTrue="1">
      <formula>I54&gt;4.5</formula>
    </cfRule>
    <cfRule type="expression" dxfId="3648" priority="344" stopIfTrue="1">
      <formula>I54&lt;3</formula>
    </cfRule>
  </conditionalFormatting>
  <conditionalFormatting sqref="M50">
    <cfRule type="expression" dxfId="3647" priority="341" stopIfTrue="1">
      <formula>M50&gt;6</formula>
    </cfRule>
    <cfRule type="expression" dxfId="3646" priority="342" stopIfTrue="1">
      <formula>M50&lt;5</formula>
    </cfRule>
  </conditionalFormatting>
  <conditionalFormatting sqref="M51">
    <cfRule type="expression" dxfId="3645" priority="339" stopIfTrue="1">
      <formula>M51&gt;1.9</formula>
    </cfRule>
    <cfRule type="expression" dxfId="3644" priority="340" stopIfTrue="1">
      <formula>M51&lt;1.7</formula>
    </cfRule>
  </conditionalFormatting>
  <conditionalFormatting sqref="M52">
    <cfRule type="expression" dxfId="3643" priority="337" stopIfTrue="1">
      <formula>M52&gt;130</formula>
    </cfRule>
    <cfRule type="expression" dxfId="3642" priority="338" stopIfTrue="1">
      <formula>M52&lt;120</formula>
    </cfRule>
  </conditionalFormatting>
  <conditionalFormatting sqref="M53">
    <cfRule type="expression" dxfId="3641" priority="335" stopIfTrue="1">
      <formula>M53&gt;135</formula>
    </cfRule>
    <cfRule type="expression" dxfId="3640" priority="336" stopIfTrue="1">
      <formula>M53&lt;125</formula>
    </cfRule>
  </conditionalFormatting>
  <conditionalFormatting sqref="M54">
    <cfRule type="expression" dxfId="3639" priority="333" stopIfTrue="1">
      <formula>M54&gt;4.5</formula>
    </cfRule>
    <cfRule type="expression" dxfId="3638" priority="334" stopIfTrue="1">
      <formula>M54&lt;3</formula>
    </cfRule>
  </conditionalFormatting>
  <conditionalFormatting sqref="I14">
    <cfRule type="expression" dxfId="3637" priority="331" stopIfTrue="1">
      <formula>I14&gt;6</formula>
    </cfRule>
    <cfRule type="expression" dxfId="3636" priority="332" stopIfTrue="1">
      <formula>I14&lt;5</formula>
    </cfRule>
  </conditionalFormatting>
  <conditionalFormatting sqref="I15">
    <cfRule type="expression" dxfId="3635" priority="329" stopIfTrue="1">
      <formula>I15&gt;1.9</formula>
    </cfRule>
    <cfRule type="expression" dxfId="3634" priority="330" stopIfTrue="1">
      <formula>I15&lt;1.7</formula>
    </cfRule>
  </conditionalFormatting>
  <conditionalFormatting sqref="I16">
    <cfRule type="expression" dxfId="3633" priority="327" stopIfTrue="1">
      <formula>I16&gt;130</formula>
    </cfRule>
    <cfRule type="expression" dxfId="3632" priority="328" stopIfTrue="1">
      <formula>I16&lt;120</formula>
    </cfRule>
  </conditionalFormatting>
  <conditionalFormatting sqref="I17">
    <cfRule type="expression" dxfId="3631" priority="325" stopIfTrue="1">
      <formula>I17&gt;135</formula>
    </cfRule>
    <cfRule type="expression" dxfId="3630" priority="326" stopIfTrue="1">
      <formula>I17&lt;125</formula>
    </cfRule>
  </conditionalFormatting>
  <conditionalFormatting sqref="I18">
    <cfRule type="expression" dxfId="3629" priority="323" stopIfTrue="1">
      <formula>I18&gt;4.5</formula>
    </cfRule>
    <cfRule type="expression" dxfId="3628" priority="324" stopIfTrue="1">
      <formula>I18&lt;3</formula>
    </cfRule>
  </conditionalFormatting>
  <conditionalFormatting sqref="M14">
    <cfRule type="expression" dxfId="3627" priority="321" stopIfTrue="1">
      <formula>M14&gt;6</formula>
    </cfRule>
    <cfRule type="expression" dxfId="3626" priority="322" stopIfTrue="1">
      <formula>M14&lt;5</formula>
    </cfRule>
  </conditionalFormatting>
  <conditionalFormatting sqref="M15">
    <cfRule type="expression" dxfId="3625" priority="319" stopIfTrue="1">
      <formula>M15&gt;1.9</formula>
    </cfRule>
    <cfRule type="expression" dxfId="3624" priority="320" stopIfTrue="1">
      <formula>M15&lt;1.7</formula>
    </cfRule>
  </conditionalFormatting>
  <conditionalFormatting sqref="M16">
    <cfRule type="expression" dxfId="3623" priority="317" stopIfTrue="1">
      <formula>M16&gt;130</formula>
    </cfRule>
    <cfRule type="expression" dxfId="3622" priority="318" stopIfTrue="1">
      <formula>M16&lt;120</formula>
    </cfRule>
  </conditionalFormatting>
  <conditionalFormatting sqref="M17">
    <cfRule type="expression" dxfId="3621" priority="315" stopIfTrue="1">
      <formula>M17&gt;135</formula>
    </cfRule>
    <cfRule type="expression" dxfId="3620" priority="316" stopIfTrue="1">
      <formula>M17&lt;125</formula>
    </cfRule>
  </conditionalFormatting>
  <conditionalFormatting sqref="M18">
    <cfRule type="expression" dxfId="3619" priority="313" stopIfTrue="1">
      <formula>M18&gt;4.5</formula>
    </cfRule>
    <cfRule type="expression" dxfId="3618" priority="314" stopIfTrue="1">
      <formula>M18&lt;3</formula>
    </cfRule>
  </conditionalFormatting>
  <conditionalFormatting sqref="I25">
    <cfRule type="cellIs" dxfId="3617" priority="261" operator="between">
      <formula>65</formula>
      <formula>66.9</formula>
    </cfRule>
    <cfRule type="cellIs" dxfId="3616" priority="262" operator="between">
      <formula>73.1</formula>
      <formula>75</formula>
    </cfRule>
    <cfRule type="expression" dxfId="3615" priority="263">
      <formula>I25&lt;65</formula>
    </cfRule>
    <cfRule type="expression" dxfId="3614" priority="264">
      <formula>I25&gt;75</formula>
    </cfRule>
  </conditionalFormatting>
  <conditionalFormatting sqref="I26">
    <cfRule type="cellIs" dxfId="3613" priority="257" operator="between">
      <formula>65</formula>
      <formula>66.9</formula>
    </cfRule>
    <cfRule type="cellIs" dxfId="3612" priority="258" operator="between">
      <formula>73.1</formula>
      <formula>75</formula>
    </cfRule>
    <cfRule type="expression" dxfId="3611" priority="259">
      <formula>I26&lt;65</formula>
    </cfRule>
    <cfRule type="expression" dxfId="3610" priority="260">
      <formula>I26&gt;75</formula>
    </cfRule>
  </conditionalFormatting>
  <conditionalFormatting sqref="I27">
    <cfRule type="cellIs" dxfId="3609" priority="253" operator="between">
      <formula>60</formula>
      <formula>56.9</formula>
    </cfRule>
    <cfRule type="cellIs" dxfId="3608" priority="254" operator="between">
      <formula>68.1</formula>
      <formula>70</formula>
    </cfRule>
    <cfRule type="expression" dxfId="3607" priority="255">
      <formula>I27&lt;60</formula>
    </cfRule>
    <cfRule type="expression" dxfId="3606" priority="256">
      <formula>I27&gt;70</formula>
    </cfRule>
  </conditionalFormatting>
  <conditionalFormatting sqref="I28">
    <cfRule type="cellIs" dxfId="3605" priority="249" operator="between">
      <formula>60</formula>
      <formula>56.9</formula>
    </cfRule>
    <cfRule type="cellIs" dxfId="3604" priority="250" operator="between">
      <formula>68.1</formula>
      <formula>70</formula>
    </cfRule>
    <cfRule type="expression" dxfId="3603" priority="251">
      <formula>I28&lt;60</formula>
    </cfRule>
    <cfRule type="expression" dxfId="3602" priority="252">
      <formula>I28&gt;70</formula>
    </cfRule>
  </conditionalFormatting>
  <conditionalFormatting sqref="K25">
    <cfRule type="cellIs" dxfId="3601" priority="245" operator="between">
      <formula>65</formula>
      <formula>66.9</formula>
    </cfRule>
    <cfRule type="cellIs" dxfId="3600" priority="246" operator="between">
      <formula>73.1</formula>
      <formula>75</formula>
    </cfRule>
    <cfRule type="expression" dxfId="3599" priority="247">
      <formula>K25&lt;65</formula>
    </cfRule>
    <cfRule type="expression" dxfId="3598" priority="248">
      <formula>K25&gt;75</formula>
    </cfRule>
  </conditionalFormatting>
  <conditionalFormatting sqref="K26">
    <cfRule type="cellIs" dxfId="3597" priority="241" operator="between">
      <formula>65</formula>
      <formula>66.9</formula>
    </cfRule>
    <cfRule type="cellIs" dxfId="3596" priority="242" operator="between">
      <formula>73.1</formula>
      <formula>75</formula>
    </cfRule>
    <cfRule type="expression" dxfId="3595" priority="243">
      <formula>K26&lt;65</formula>
    </cfRule>
    <cfRule type="expression" dxfId="3594" priority="244">
      <formula>K26&gt;75</formula>
    </cfRule>
  </conditionalFormatting>
  <conditionalFormatting sqref="K27">
    <cfRule type="cellIs" dxfId="3593" priority="237" operator="between">
      <formula>60</formula>
      <formula>56.9</formula>
    </cfRule>
    <cfRule type="cellIs" dxfId="3592" priority="238" operator="between">
      <formula>68.1</formula>
      <formula>70</formula>
    </cfRule>
    <cfRule type="expression" dxfId="3591" priority="239">
      <formula>K27&lt;60</formula>
    </cfRule>
    <cfRule type="expression" dxfId="3590" priority="240">
      <formula>K27&gt;70</formula>
    </cfRule>
  </conditionalFormatting>
  <conditionalFormatting sqref="K28">
    <cfRule type="cellIs" dxfId="3589" priority="233" operator="between">
      <formula>60</formula>
      <formula>56.9</formula>
    </cfRule>
    <cfRule type="cellIs" dxfId="3588" priority="234" operator="between">
      <formula>68.1</formula>
      <formula>70</formula>
    </cfRule>
    <cfRule type="expression" dxfId="3587" priority="235">
      <formula>K28&lt;60</formula>
    </cfRule>
    <cfRule type="expression" dxfId="3586" priority="236">
      <formula>K28&gt;70</formula>
    </cfRule>
  </conditionalFormatting>
  <conditionalFormatting sqref="M25">
    <cfRule type="cellIs" dxfId="3585" priority="229" operator="between">
      <formula>65</formula>
      <formula>66.9</formula>
    </cfRule>
    <cfRule type="cellIs" dxfId="3584" priority="230" operator="between">
      <formula>73.1</formula>
      <formula>75</formula>
    </cfRule>
    <cfRule type="expression" dxfId="3583" priority="231">
      <formula>M25&lt;65</formula>
    </cfRule>
    <cfRule type="expression" dxfId="3582" priority="232">
      <formula>M25&gt;75</formula>
    </cfRule>
  </conditionalFormatting>
  <conditionalFormatting sqref="M26">
    <cfRule type="cellIs" dxfId="3581" priority="225" operator="between">
      <formula>65</formula>
      <formula>66.9</formula>
    </cfRule>
    <cfRule type="cellIs" dxfId="3580" priority="226" operator="between">
      <formula>73.1</formula>
      <formula>75</formula>
    </cfRule>
    <cfRule type="expression" dxfId="3579" priority="227">
      <formula>M26&lt;65</formula>
    </cfRule>
    <cfRule type="expression" dxfId="3578" priority="228">
      <formula>M26&gt;75</formula>
    </cfRule>
  </conditionalFormatting>
  <conditionalFormatting sqref="M27">
    <cfRule type="cellIs" dxfId="3577" priority="221" operator="between">
      <formula>60</formula>
      <formula>56.9</formula>
    </cfRule>
    <cfRule type="cellIs" dxfId="3576" priority="222" operator="between">
      <formula>68.1</formula>
      <formula>70</formula>
    </cfRule>
    <cfRule type="expression" dxfId="3575" priority="223">
      <formula>M27&lt;60</formula>
    </cfRule>
    <cfRule type="expression" dxfId="3574" priority="224">
      <formula>M27&gt;70</formula>
    </cfRule>
  </conditionalFormatting>
  <conditionalFormatting sqref="M28">
    <cfRule type="cellIs" dxfId="3573" priority="217" operator="between">
      <formula>60</formula>
      <formula>56.9</formula>
    </cfRule>
    <cfRule type="cellIs" dxfId="3572" priority="218" operator="between">
      <formula>68.1</formula>
      <formula>70</formula>
    </cfRule>
    <cfRule type="expression" dxfId="3571" priority="219">
      <formula>M28&lt;60</formula>
    </cfRule>
    <cfRule type="expression" dxfId="3570" priority="220">
      <formula>M28&gt;70</formula>
    </cfRule>
  </conditionalFormatting>
  <conditionalFormatting sqref="O25">
    <cfRule type="cellIs" dxfId="3569" priority="213" operator="between">
      <formula>65</formula>
      <formula>66.9</formula>
    </cfRule>
    <cfRule type="cellIs" dxfId="3568" priority="214" operator="between">
      <formula>73.1</formula>
      <formula>75</formula>
    </cfRule>
    <cfRule type="expression" dxfId="3567" priority="215">
      <formula>O25&lt;65</formula>
    </cfRule>
    <cfRule type="expression" dxfId="3566" priority="216">
      <formula>O25&gt;75</formula>
    </cfRule>
  </conditionalFormatting>
  <conditionalFormatting sqref="O26">
    <cfRule type="cellIs" dxfId="3565" priority="209" operator="between">
      <formula>65</formula>
      <formula>66.9</formula>
    </cfRule>
    <cfRule type="cellIs" dxfId="3564" priority="210" operator="between">
      <formula>73.1</formula>
      <formula>75</formula>
    </cfRule>
    <cfRule type="expression" dxfId="3563" priority="211">
      <formula>O26&lt;65</formula>
    </cfRule>
    <cfRule type="expression" dxfId="3562" priority="212">
      <formula>O26&gt;75</formula>
    </cfRule>
  </conditionalFormatting>
  <conditionalFormatting sqref="O27">
    <cfRule type="cellIs" dxfId="3561" priority="205" operator="between">
      <formula>60</formula>
      <formula>56.9</formula>
    </cfRule>
    <cfRule type="cellIs" dxfId="3560" priority="206" operator="between">
      <formula>68.1</formula>
      <formula>70</formula>
    </cfRule>
    <cfRule type="expression" dxfId="3559" priority="207">
      <formula>O27&lt;60</formula>
    </cfRule>
    <cfRule type="expression" dxfId="3558" priority="208">
      <formula>O27&gt;70</formula>
    </cfRule>
  </conditionalFormatting>
  <conditionalFormatting sqref="O28">
    <cfRule type="cellIs" dxfId="3557" priority="201" operator="between">
      <formula>60</formula>
      <formula>56.9</formula>
    </cfRule>
    <cfRule type="cellIs" dxfId="3556" priority="202" operator="between">
      <formula>68.1</formula>
      <formula>70</formula>
    </cfRule>
    <cfRule type="expression" dxfId="3555" priority="203">
      <formula>O28&lt;60</formula>
    </cfRule>
    <cfRule type="expression" dxfId="3554" priority="204">
      <formula>O28&gt;70</formula>
    </cfRule>
  </conditionalFormatting>
  <conditionalFormatting sqref="I61">
    <cfRule type="cellIs" dxfId="3553" priority="133" operator="between">
      <formula>65</formula>
      <formula>66.9</formula>
    </cfRule>
    <cfRule type="cellIs" dxfId="3552" priority="134" operator="between">
      <formula>73.1</formula>
      <formula>75</formula>
    </cfRule>
    <cfRule type="expression" dxfId="3551" priority="135">
      <formula>I61&lt;65</formula>
    </cfRule>
    <cfRule type="expression" dxfId="3550" priority="136">
      <formula>I61&gt;75</formula>
    </cfRule>
  </conditionalFormatting>
  <conditionalFormatting sqref="I62">
    <cfRule type="cellIs" dxfId="3549" priority="129" operator="between">
      <formula>65</formula>
      <formula>66.9</formula>
    </cfRule>
    <cfRule type="cellIs" dxfId="3548" priority="130" operator="between">
      <formula>73.1</formula>
      <formula>75</formula>
    </cfRule>
    <cfRule type="expression" dxfId="3547" priority="131">
      <formula>I62&lt;65</formula>
    </cfRule>
    <cfRule type="expression" dxfId="3546" priority="132">
      <formula>I62&gt;75</formula>
    </cfRule>
  </conditionalFormatting>
  <conditionalFormatting sqref="I63">
    <cfRule type="cellIs" dxfId="3545" priority="125" operator="between">
      <formula>60</formula>
      <formula>56.9</formula>
    </cfRule>
    <cfRule type="cellIs" dxfId="3544" priority="126" operator="between">
      <formula>68.1</formula>
      <formula>70</formula>
    </cfRule>
    <cfRule type="expression" dxfId="3543" priority="127">
      <formula>I63&lt;60</formula>
    </cfRule>
    <cfRule type="expression" dxfId="3542" priority="128">
      <formula>I63&gt;70</formula>
    </cfRule>
  </conditionalFormatting>
  <conditionalFormatting sqref="I64">
    <cfRule type="cellIs" dxfId="3541" priority="121" operator="between">
      <formula>60</formula>
      <formula>56.9</formula>
    </cfRule>
    <cfRule type="cellIs" dxfId="3540" priority="122" operator="between">
      <formula>68.1</formula>
      <formula>70</formula>
    </cfRule>
    <cfRule type="expression" dxfId="3539" priority="123">
      <formula>I64&lt;60</formula>
    </cfRule>
    <cfRule type="expression" dxfId="3538" priority="124">
      <formula>I64&gt;70</formula>
    </cfRule>
  </conditionalFormatting>
  <conditionalFormatting sqref="K61">
    <cfRule type="cellIs" dxfId="3537" priority="117" operator="between">
      <formula>65</formula>
      <formula>66.9</formula>
    </cfRule>
    <cfRule type="cellIs" dxfId="3536" priority="118" operator="between">
      <formula>73.1</formula>
      <formula>75</formula>
    </cfRule>
    <cfRule type="expression" dxfId="3535" priority="119">
      <formula>K61&lt;65</formula>
    </cfRule>
    <cfRule type="expression" dxfId="3534" priority="120">
      <formula>K61&gt;75</formula>
    </cfRule>
  </conditionalFormatting>
  <conditionalFormatting sqref="K62">
    <cfRule type="cellIs" dxfId="3533" priority="113" operator="between">
      <formula>65</formula>
      <formula>66.9</formula>
    </cfRule>
    <cfRule type="cellIs" dxfId="3532" priority="114" operator="between">
      <formula>73.1</formula>
      <formula>75</formula>
    </cfRule>
    <cfRule type="expression" dxfId="3531" priority="115">
      <formula>K62&lt;65</formula>
    </cfRule>
    <cfRule type="expression" dxfId="3530" priority="116">
      <formula>K62&gt;75</formula>
    </cfRule>
  </conditionalFormatting>
  <conditionalFormatting sqref="K63">
    <cfRule type="cellIs" dxfId="3529" priority="109" operator="between">
      <formula>60</formula>
      <formula>56.9</formula>
    </cfRule>
    <cfRule type="cellIs" dxfId="3528" priority="110" operator="between">
      <formula>68.1</formula>
      <formula>70</formula>
    </cfRule>
    <cfRule type="expression" dxfId="3527" priority="111">
      <formula>K63&lt;60</formula>
    </cfRule>
    <cfRule type="expression" dxfId="3526" priority="112">
      <formula>K63&gt;70</formula>
    </cfRule>
  </conditionalFormatting>
  <conditionalFormatting sqref="K64">
    <cfRule type="cellIs" dxfId="3525" priority="105" operator="between">
      <formula>60</formula>
      <formula>56.9</formula>
    </cfRule>
    <cfRule type="cellIs" dxfId="3524" priority="106" operator="between">
      <formula>68.1</formula>
      <formula>70</formula>
    </cfRule>
    <cfRule type="expression" dxfId="3523" priority="107">
      <formula>K64&lt;60</formula>
    </cfRule>
    <cfRule type="expression" dxfId="3522" priority="108">
      <formula>K64&gt;70</formula>
    </cfRule>
  </conditionalFormatting>
  <conditionalFormatting sqref="M61">
    <cfRule type="cellIs" dxfId="3521" priority="101" operator="between">
      <formula>65</formula>
      <formula>66.9</formula>
    </cfRule>
    <cfRule type="cellIs" dxfId="3520" priority="102" operator="between">
      <formula>73.1</formula>
      <formula>75</formula>
    </cfRule>
    <cfRule type="expression" dxfId="3519" priority="103">
      <formula>M61&lt;65</formula>
    </cfRule>
    <cfRule type="expression" dxfId="3518" priority="104">
      <formula>M61&gt;75</formula>
    </cfRule>
  </conditionalFormatting>
  <conditionalFormatting sqref="M62">
    <cfRule type="cellIs" dxfId="3517" priority="97" operator="between">
      <formula>65</formula>
      <formula>66.9</formula>
    </cfRule>
    <cfRule type="cellIs" dxfId="3516" priority="98" operator="between">
      <formula>73.1</formula>
      <formula>75</formula>
    </cfRule>
    <cfRule type="expression" dxfId="3515" priority="99">
      <formula>M62&lt;65</formula>
    </cfRule>
    <cfRule type="expression" dxfId="3514" priority="100">
      <formula>M62&gt;75</formula>
    </cfRule>
  </conditionalFormatting>
  <conditionalFormatting sqref="M63">
    <cfRule type="cellIs" dxfId="3513" priority="93" operator="between">
      <formula>60</formula>
      <formula>56.9</formula>
    </cfRule>
    <cfRule type="cellIs" dxfId="3512" priority="94" operator="between">
      <formula>68.1</formula>
      <formula>70</formula>
    </cfRule>
    <cfRule type="expression" dxfId="3511" priority="95">
      <formula>M63&lt;60</formula>
    </cfRule>
    <cfRule type="expression" dxfId="3510" priority="96">
      <formula>M63&gt;70</formula>
    </cfRule>
  </conditionalFormatting>
  <conditionalFormatting sqref="M64">
    <cfRule type="cellIs" dxfId="3509" priority="89" operator="between">
      <formula>60</formula>
      <formula>56.9</formula>
    </cfRule>
    <cfRule type="cellIs" dxfId="3508" priority="90" operator="between">
      <formula>68.1</formula>
      <formula>70</formula>
    </cfRule>
    <cfRule type="expression" dxfId="3507" priority="91">
      <formula>M64&lt;60</formula>
    </cfRule>
    <cfRule type="expression" dxfId="3506" priority="92">
      <formula>M64&gt;70</formula>
    </cfRule>
  </conditionalFormatting>
  <conditionalFormatting sqref="O61">
    <cfRule type="cellIs" dxfId="3505" priority="85" operator="between">
      <formula>65</formula>
      <formula>66.9</formula>
    </cfRule>
    <cfRule type="cellIs" dxfId="3504" priority="86" operator="between">
      <formula>73.1</formula>
      <formula>75</formula>
    </cfRule>
    <cfRule type="expression" dxfId="3503" priority="87">
      <formula>O61&lt;65</formula>
    </cfRule>
    <cfRule type="expression" dxfId="3502" priority="88">
      <formula>O61&gt;75</formula>
    </cfRule>
  </conditionalFormatting>
  <conditionalFormatting sqref="O62">
    <cfRule type="cellIs" dxfId="3501" priority="81" operator="between">
      <formula>65</formula>
      <formula>66.9</formula>
    </cfRule>
    <cfRule type="cellIs" dxfId="3500" priority="82" operator="between">
      <formula>73.1</formula>
      <formula>75</formula>
    </cfRule>
    <cfRule type="expression" dxfId="3499" priority="83">
      <formula>O62&lt;65</formula>
    </cfRule>
    <cfRule type="expression" dxfId="3498" priority="84">
      <formula>O62&gt;75</formula>
    </cfRule>
  </conditionalFormatting>
  <conditionalFormatting sqref="O63">
    <cfRule type="cellIs" dxfId="3497" priority="77" operator="between">
      <formula>60</formula>
      <formula>56.9</formula>
    </cfRule>
    <cfRule type="cellIs" dxfId="3496" priority="78" operator="between">
      <formula>68.1</formula>
      <formula>70</formula>
    </cfRule>
    <cfRule type="expression" dxfId="3495" priority="79">
      <formula>O63&lt;60</formula>
    </cfRule>
    <cfRule type="expression" dxfId="3494" priority="80">
      <formula>O63&gt;70</formula>
    </cfRule>
  </conditionalFormatting>
  <conditionalFormatting sqref="O64">
    <cfRule type="cellIs" dxfId="3493" priority="73" operator="between">
      <formula>60</formula>
      <formula>56.9</formula>
    </cfRule>
    <cfRule type="cellIs" dxfId="3492" priority="74" operator="between">
      <formula>68.1</formula>
      <formula>70</formula>
    </cfRule>
    <cfRule type="expression" dxfId="3491" priority="75">
      <formula>O64&lt;60</formula>
    </cfRule>
    <cfRule type="expression" dxfId="3490" priority="76">
      <formula>O64&gt;70</formula>
    </cfRule>
  </conditionalFormatting>
  <conditionalFormatting sqref="K69">
    <cfRule type="cellIs" dxfId="3489" priority="69" operator="between">
      <formula>65</formula>
      <formula>66.9</formula>
    </cfRule>
    <cfRule type="cellIs" dxfId="3488" priority="70" operator="between">
      <formula>73.1</formula>
      <formula>75</formula>
    </cfRule>
    <cfRule type="expression" dxfId="3487" priority="71">
      <formula>K69&lt;65</formula>
    </cfRule>
    <cfRule type="expression" dxfId="3486" priority="72">
      <formula>K69&gt;75</formula>
    </cfRule>
  </conditionalFormatting>
  <conditionalFormatting sqref="K68">
    <cfRule type="cellIs" dxfId="3485" priority="65" operator="between">
      <formula>55</formula>
      <formula>56.9</formula>
    </cfRule>
    <cfRule type="cellIs" dxfId="3484" priority="66" operator="between">
      <formula>63.1</formula>
      <formula>65</formula>
    </cfRule>
    <cfRule type="expression" dxfId="3483" priority="67">
      <formula>K68&lt;55</formula>
    </cfRule>
    <cfRule type="expression" dxfId="3482" priority="68">
      <formula>K68&gt;65</formula>
    </cfRule>
  </conditionalFormatting>
  <conditionalFormatting sqref="I68">
    <cfRule type="cellIs" dxfId="3481" priority="61" operator="between">
      <formula>55</formula>
      <formula>56.9</formula>
    </cfRule>
    <cfRule type="cellIs" dxfId="3480" priority="62" operator="between">
      <formula>63.1</formula>
      <formula>65</formula>
    </cfRule>
    <cfRule type="expression" dxfId="3479" priority="63">
      <formula>I68&lt;55</formula>
    </cfRule>
    <cfRule type="expression" dxfId="3478" priority="64">
      <formula>I68&gt;65</formula>
    </cfRule>
  </conditionalFormatting>
  <conditionalFormatting sqref="O69">
    <cfRule type="cellIs" dxfId="3477" priority="57" operator="between">
      <formula>65</formula>
      <formula>66.9</formula>
    </cfRule>
    <cfRule type="cellIs" dxfId="3476" priority="58" operator="between">
      <formula>73.1</formula>
      <formula>75</formula>
    </cfRule>
    <cfRule type="expression" dxfId="3475" priority="59">
      <formula>O69&lt;65</formula>
    </cfRule>
    <cfRule type="expression" dxfId="3474" priority="60">
      <formula>O69&gt;75</formula>
    </cfRule>
  </conditionalFormatting>
  <conditionalFormatting sqref="O68">
    <cfRule type="cellIs" dxfId="3473" priority="53" operator="between">
      <formula>55</formula>
      <formula>56.9</formula>
    </cfRule>
    <cfRule type="cellIs" dxfId="3472" priority="54" operator="between">
      <formula>63.1</formula>
      <formula>65</formula>
    </cfRule>
    <cfRule type="expression" dxfId="3471" priority="55">
      <formula>O68&lt;55</formula>
    </cfRule>
    <cfRule type="expression" dxfId="3470" priority="56">
      <formula>O68&gt;65</formula>
    </cfRule>
  </conditionalFormatting>
  <conditionalFormatting sqref="M68">
    <cfRule type="cellIs" dxfId="3469" priority="49" operator="between">
      <formula>55</formula>
      <formula>56.9</formula>
    </cfRule>
    <cfRule type="cellIs" dxfId="3468" priority="50" operator="between">
      <formula>63.1</formula>
      <formula>65</formula>
    </cfRule>
    <cfRule type="expression" dxfId="3467" priority="51">
      <formula>M68&lt;55</formula>
    </cfRule>
    <cfRule type="expression" dxfId="3466" priority="52">
      <formula>M68&gt;65</formula>
    </cfRule>
  </conditionalFormatting>
  <conditionalFormatting sqref="K33">
    <cfRule type="cellIs" dxfId="3465" priority="45" operator="between">
      <formula>65</formula>
      <formula>66.9</formula>
    </cfRule>
    <cfRule type="cellIs" dxfId="3464" priority="46" operator="between">
      <formula>73.1</formula>
      <formula>75</formula>
    </cfRule>
    <cfRule type="expression" dxfId="3463" priority="47">
      <formula>K33&lt;65</formula>
    </cfRule>
    <cfRule type="expression" dxfId="3462" priority="48">
      <formula>K33&gt;75</formula>
    </cfRule>
  </conditionalFormatting>
  <conditionalFormatting sqref="K32">
    <cfRule type="cellIs" dxfId="3461" priority="41" operator="between">
      <formula>55</formula>
      <formula>56.9</formula>
    </cfRule>
    <cfRule type="cellIs" dxfId="3460" priority="42" operator="between">
      <formula>63.1</formula>
      <formula>65</formula>
    </cfRule>
    <cfRule type="expression" dxfId="3459" priority="43">
      <formula>K32&lt;55</formula>
    </cfRule>
    <cfRule type="expression" dxfId="3458" priority="44">
      <formula>K32&gt;65</formula>
    </cfRule>
  </conditionalFormatting>
  <conditionalFormatting sqref="I32">
    <cfRule type="cellIs" dxfId="3457" priority="37" operator="between">
      <formula>55</formula>
      <formula>56.9</formula>
    </cfRule>
    <cfRule type="cellIs" dxfId="3456" priority="38" operator="between">
      <formula>63.1</formula>
      <formula>65</formula>
    </cfRule>
    <cfRule type="expression" dxfId="3455" priority="39">
      <formula>I32&lt;55</formula>
    </cfRule>
    <cfRule type="expression" dxfId="3454" priority="40">
      <formula>I32&gt;65</formula>
    </cfRule>
  </conditionalFormatting>
  <conditionalFormatting sqref="O33">
    <cfRule type="cellIs" dxfId="3453" priority="33" operator="between">
      <formula>65</formula>
      <formula>66.9</formula>
    </cfRule>
    <cfRule type="cellIs" dxfId="3452" priority="34" operator="between">
      <formula>73.1</formula>
      <formula>75</formula>
    </cfRule>
    <cfRule type="expression" dxfId="3451" priority="35">
      <formula>O33&lt;65</formula>
    </cfRule>
    <cfRule type="expression" dxfId="3450" priority="36">
      <formula>O33&gt;75</formula>
    </cfRule>
  </conditionalFormatting>
  <conditionalFormatting sqref="O32">
    <cfRule type="cellIs" dxfId="3449" priority="29" operator="between">
      <formula>55</formula>
      <formula>56.9</formula>
    </cfRule>
    <cfRule type="cellIs" dxfId="3448" priority="30" operator="between">
      <formula>63.1</formula>
      <formula>65</formula>
    </cfRule>
    <cfRule type="expression" dxfId="3447" priority="31">
      <formula>O32&lt;55</formula>
    </cfRule>
    <cfRule type="expression" dxfId="3446" priority="32">
      <formula>O32&gt;65</formula>
    </cfRule>
  </conditionalFormatting>
  <conditionalFormatting sqref="M32">
    <cfRule type="cellIs" dxfId="3445" priority="25" operator="between">
      <formula>55</formula>
      <formula>56.9</formula>
    </cfRule>
    <cfRule type="cellIs" dxfId="3444" priority="26" operator="between">
      <formula>63.1</formula>
      <formula>65</formula>
    </cfRule>
    <cfRule type="expression" dxfId="3443" priority="27">
      <formula>M32&lt;55</formula>
    </cfRule>
    <cfRule type="expression" dxfId="3442" priority="28">
      <formula>M32&gt;65</formula>
    </cfRule>
  </conditionalFormatting>
  <conditionalFormatting sqref="I31">
    <cfRule type="expression" dxfId="3441" priority="23">
      <formula>I31&lt;20</formula>
    </cfRule>
    <cfRule type="expression" dxfId="3440" priority="24">
      <formula>I31&gt;30</formula>
    </cfRule>
  </conditionalFormatting>
  <conditionalFormatting sqref="I29">
    <cfRule type="expression" dxfId="3439" priority="21">
      <formula>I29&lt;24</formula>
    </cfRule>
    <cfRule type="expression" dxfId="3438" priority="22">
      <formula>I29&gt;28</formula>
    </cfRule>
  </conditionalFormatting>
  <conditionalFormatting sqref="I30">
    <cfRule type="expression" dxfId="3437" priority="19">
      <formula>I30&lt;40</formula>
    </cfRule>
    <cfRule type="expression" dxfId="3436" priority="20">
      <formula>I30&gt;60</formula>
    </cfRule>
  </conditionalFormatting>
  <conditionalFormatting sqref="K31 M31 O31">
    <cfRule type="expression" dxfId="3435" priority="17">
      <formula>K31&lt;20</formula>
    </cfRule>
    <cfRule type="expression" dxfId="3434" priority="18">
      <formula>K31&gt;30</formula>
    </cfRule>
  </conditionalFormatting>
  <conditionalFormatting sqref="K29 M29 O29">
    <cfRule type="expression" dxfId="3433" priority="15">
      <formula>K29&lt;24</formula>
    </cfRule>
    <cfRule type="expression" dxfId="3432" priority="16">
      <formula>K29&gt;28</formula>
    </cfRule>
  </conditionalFormatting>
  <conditionalFormatting sqref="K30 M30 O30">
    <cfRule type="expression" dxfId="3431" priority="13">
      <formula>K30&lt;40</formula>
    </cfRule>
    <cfRule type="expression" dxfId="3430" priority="14">
      <formula>K30&gt;60</formula>
    </cfRule>
  </conditionalFormatting>
  <conditionalFormatting sqref="I67">
    <cfRule type="expression" dxfId="3429" priority="11">
      <formula>I67&lt;20</formula>
    </cfRule>
    <cfRule type="expression" dxfId="3428" priority="12">
      <formula>I67&gt;30</formula>
    </cfRule>
  </conditionalFormatting>
  <conditionalFormatting sqref="I65">
    <cfRule type="expression" dxfId="3427" priority="9">
      <formula>I65&lt;24</formula>
    </cfRule>
    <cfRule type="expression" dxfId="3426" priority="10">
      <formula>I65&gt;28</formula>
    </cfRule>
  </conditionalFormatting>
  <conditionalFormatting sqref="I66">
    <cfRule type="expression" dxfId="3425" priority="7">
      <formula>I66&lt;40</formula>
    </cfRule>
    <cfRule type="expression" dxfId="3424" priority="8">
      <formula>I66&gt;60</formula>
    </cfRule>
  </conditionalFormatting>
  <conditionalFormatting sqref="K67 M67 O67">
    <cfRule type="expression" dxfId="3423" priority="5">
      <formula>K67&lt;20</formula>
    </cfRule>
    <cfRule type="expression" dxfId="3422" priority="6">
      <formula>K67&gt;30</formula>
    </cfRule>
  </conditionalFormatting>
  <conditionalFormatting sqref="K65 M65 O65">
    <cfRule type="expression" dxfId="3421" priority="3">
      <formula>K65&lt;24</formula>
    </cfRule>
    <cfRule type="expression" dxfId="3420" priority="4">
      <formula>K65&gt;28</formula>
    </cfRule>
  </conditionalFormatting>
  <conditionalFormatting sqref="K66 M66 O66">
    <cfRule type="expression" dxfId="3419" priority="1">
      <formula>K66&lt;40</formula>
    </cfRule>
    <cfRule type="expression" dxfId="3418" priority="2">
      <formula>K66&gt;60</formula>
    </cfRule>
  </conditionalFormatting>
  <pageMargins left="0.39" right="0" top="0" bottom="0" header="0" footer="0"/>
  <pageSetup paperSize="9" scale="70"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codeName="Sheet8">
    <tabColor rgb="FFFF0000"/>
  </sheetPr>
  <dimension ref="A1:AG40"/>
  <sheetViews>
    <sheetView zoomScale="55" zoomScaleNormal="55" zoomScaleSheetLayoutView="70" workbookViewId="0">
      <selection activeCell="AC12" sqref="AC12"/>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6.25" style="15" customWidth="1"/>
    <col min="24" max="24" width="9" style="15"/>
    <col min="25" max="25" width="3.75" style="15" customWidth="1"/>
    <col min="26" max="26" width="9" style="15"/>
    <col min="27" max="27" width="9.875" style="15" customWidth="1"/>
    <col min="28" max="33" width="18.25" style="15" customWidth="1"/>
    <col min="34" max="16384" width="9" style="15"/>
  </cols>
  <sheetData>
    <row r="1" spans="1:33" ht="28.5" customHeight="1">
      <c r="A1" s="2327" t="s">
        <v>604</v>
      </c>
      <c r="B1" s="2327"/>
      <c r="C1" s="2327"/>
      <c r="D1" s="2327"/>
      <c r="E1" s="2327"/>
      <c r="F1" s="2327"/>
      <c r="G1" s="2327"/>
      <c r="H1" s="2327"/>
      <c r="I1" s="2327"/>
      <c r="J1" s="2327"/>
      <c r="K1" s="2327"/>
      <c r="L1" s="2327"/>
      <c r="M1" s="2327"/>
      <c r="N1" s="2327"/>
      <c r="O1" s="2327"/>
      <c r="P1" s="2327"/>
      <c r="Q1" s="2327"/>
      <c r="R1" s="2327"/>
      <c r="S1" s="1139"/>
      <c r="T1" s="1139"/>
      <c r="U1" s="1803" t="s">
        <v>1527</v>
      </c>
      <c r="W1" s="1799"/>
      <c r="X1" s="1799"/>
      <c r="Y1" s="1799"/>
      <c r="Z1" s="1799"/>
      <c r="AA1" s="1799"/>
      <c r="AB1" s="1799"/>
      <c r="AC1" s="1799"/>
      <c r="AD1" s="1799"/>
      <c r="AE1" s="1799"/>
      <c r="AF1" s="1799"/>
      <c r="AG1" s="1804" t="s">
        <v>1528</v>
      </c>
    </row>
    <row r="2" spans="1:33" ht="47.25" customHeight="1">
      <c r="A2" s="2186" t="s">
        <v>238</v>
      </c>
      <c r="B2" s="2186"/>
      <c r="C2" s="2186"/>
      <c r="D2" s="2186"/>
      <c r="E2" s="2186"/>
      <c r="F2" s="2186"/>
      <c r="G2" s="2186"/>
      <c r="H2" s="2186"/>
      <c r="I2" s="2186"/>
      <c r="J2" s="2186"/>
      <c r="K2" s="2186"/>
      <c r="L2" s="2186"/>
      <c r="M2" s="2186"/>
      <c r="N2" s="2186"/>
      <c r="O2" s="2186"/>
      <c r="P2" s="2186"/>
      <c r="Q2" s="2186"/>
      <c r="R2" s="2187"/>
      <c r="S2" s="2162" t="s">
        <v>96</v>
      </c>
      <c r="T2" s="2165"/>
      <c r="U2" s="1787" t="s">
        <v>1522</v>
      </c>
      <c r="W2" s="1798"/>
      <c r="X2" s="1798"/>
      <c r="Y2" s="1798"/>
      <c r="Z2" s="1798"/>
      <c r="AA2" s="1798"/>
      <c r="AB2" s="1871"/>
      <c r="AC2" s="1871"/>
      <c r="AD2" s="1798"/>
      <c r="AE2" s="1798"/>
      <c r="AF2" s="1798"/>
      <c r="AG2" s="1798"/>
    </row>
    <row r="3" spans="1:33" ht="32.25" customHeight="1">
      <c r="B3" s="1704" t="s">
        <v>234</v>
      </c>
      <c r="C3" s="1705"/>
      <c r="D3" s="1648"/>
      <c r="E3" s="1647"/>
      <c r="F3" s="1649" t="str">
        <f>MENU!$AC$9</f>
        <v>2023/03/21</v>
      </c>
      <c r="G3" s="1647"/>
      <c r="H3" s="1646"/>
      <c r="I3" s="2328"/>
      <c r="J3" s="2329"/>
      <c r="K3" s="2329"/>
      <c r="L3" s="2329"/>
      <c r="M3" s="1147"/>
      <c r="N3" s="1147"/>
      <c r="O3" s="1147"/>
      <c r="P3" s="1147"/>
      <c r="Q3" s="1147"/>
      <c r="R3" s="1147"/>
      <c r="S3" s="2330" t="str">
        <f>'1. XL-1E kh'!AD3:AD3</f>
        <v>Trang</v>
      </c>
      <c r="T3" s="2331"/>
      <c r="U3" s="1149"/>
      <c r="X3" s="1704" t="s">
        <v>234</v>
      </c>
      <c r="Y3" s="1705"/>
      <c r="Z3" s="1648"/>
      <c r="AA3" s="1647"/>
      <c r="AB3" s="1801" t="str">
        <f>$F$3</f>
        <v>2023/03/21</v>
      </c>
      <c r="AC3" s="1801"/>
      <c r="AD3" s="1801"/>
      <c r="AE3" s="1801"/>
      <c r="AF3" s="1801"/>
      <c r="AG3" s="1647"/>
    </row>
    <row r="4" spans="1:33" s="16" customFormat="1" ht="35.25" customHeight="1">
      <c r="A4" s="2317" t="s">
        <v>7</v>
      </c>
      <c r="B4" s="2272" t="s">
        <v>79</v>
      </c>
      <c r="C4" s="2273"/>
      <c r="D4" s="2273"/>
      <c r="E4" s="2274"/>
      <c r="F4" s="2278" t="s">
        <v>136</v>
      </c>
      <c r="G4" s="2125" t="s">
        <v>1424</v>
      </c>
      <c r="H4" s="2173" t="s">
        <v>1412</v>
      </c>
      <c r="I4" s="2128">
        <v>0.26041666666666669</v>
      </c>
      <c r="J4" s="2129"/>
      <c r="K4" s="2129"/>
      <c r="L4" s="2130"/>
      <c r="M4" s="2128">
        <v>0.42708333333333331</v>
      </c>
      <c r="N4" s="2129"/>
      <c r="O4" s="2129"/>
      <c r="P4" s="2130"/>
      <c r="Q4" s="2128">
        <v>0.59375</v>
      </c>
      <c r="R4" s="2129"/>
      <c r="S4" s="2129"/>
      <c r="T4" s="2130"/>
      <c r="U4" s="1150" t="s">
        <v>98</v>
      </c>
      <c r="W4" s="2317" t="s">
        <v>7</v>
      </c>
      <c r="X4" s="2272" t="s">
        <v>79</v>
      </c>
      <c r="Y4" s="2273"/>
      <c r="Z4" s="2273"/>
      <c r="AA4" s="2274"/>
      <c r="AB4" s="2128">
        <v>0.26041666666666669</v>
      </c>
      <c r="AC4" s="2332"/>
      <c r="AD4" s="2128">
        <v>0.42708333333333331</v>
      </c>
      <c r="AE4" s="2332"/>
      <c r="AF4" s="2128">
        <v>0.59375</v>
      </c>
      <c r="AG4" s="2332"/>
    </row>
    <row r="5" spans="1:33" s="16" customFormat="1" ht="34.5" customHeight="1">
      <c r="A5" s="2318"/>
      <c r="B5" s="2275"/>
      <c r="C5" s="2276"/>
      <c r="D5" s="2276"/>
      <c r="E5" s="2277"/>
      <c r="F5" s="2279"/>
      <c r="G5" s="2126"/>
      <c r="H5" s="2174"/>
      <c r="I5" s="60" t="s">
        <v>145</v>
      </c>
      <c r="J5" s="2134" t="s">
        <v>1</v>
      </c>
      <c r="K5" s="2135"/>
      <c r="L5" s="2136"/>
      <c r="M5" s="60" t="s">
        <v>145</v>
      </c>
      <c r="N5" s="2134" t="s">
        <v>1</v>
      </c>
      <c r="O5" s="2135"/>
      <c r="P5" s="2136"/>
      <c r="Q5" s="60" t="s">
        <v>145</v>
      </c>
      <c r="R5" s="2134" t="s">
        <v>1</v>
      </c>
      <c r="S5" s="2135"/>
      <c r="T5" s="2136"/>
      <c r="U5" s="4" t="s">
        <v>99</v>
      </c>
      <c r="W5" s="2318"/>
      <c r="X5" s="2275"/>
      <c r="Y5" s="2276"/>
      <c r="Z5" s="2276"/>
      <c r="AA5" s="2277"/>
      <c r="AB5" s="1881" t="s">
        <v>1537</v>
      </c>
      <c r="AC5" s="1873" t="s">
        <v>1538</v>
      </c>
      <c r="AD5" s="1881" t="s">
        <v>1537</v>
      </c>
      <c r="AE5" s="1873" t="s">
        <v>1538</v>
      </c>
      <c r="AF5" s="1881" t="s">
        <v>1537</v>
      </c>
      <c r="AG5" s="1873" t="s">
        <v>1538</v>
      </c>
    </row>
    <row r="6" spans="1:33" ht="33.75" customHeight="1">
      <c r="A6" s="2317">
        <v>1</v>
      </c>
      <c r="B6" s="2272" t="s">
        <v>147</v>
      </c>
      <c r="C6" s="2322"/>
      <c r="D6" s="2286" t="s">
        <v>108</v>
      </c>
      <c r="E6" s="2287"/>
      <c r="F6" s="1165" t="s">
        <v>4</v>
      </c>
      <c r="G6" s="1000" t="str">
        <f>'XM.GUI MAIL'!$E$6</f>
        <v>25~35</v>
      </c>
      <c r="H6" s="1619" t="str">
        <f>'XM.GUI MAIL'!$F$6</f>
        <v>(30±2)</v>
      </c>
      <c r="I6" s="1733">
        <f>'XM.GUI MAIL'!I6</f>
        <v>0</v>
      </c>
      <c r="J6" s="1674" t="s">
        <v>8</v>
      </c>
      <c r="K6" s="1675">
        <f>'XM.GUI MAIL'!L6</f>
        <v>0</v>
      </c>
      <c r="L6" s="1676" t="s">
        <v>9</v>
      </c>
      <c r="M6" s="1733">
        <f>'XM.GUI MAIL'!O6</f>
        <v>0</v>
      </c>
      <c r="N6" s="1674" t="s">
        <v>8</v>
      </c>
      <c r="O6" s="1675">
        <f>'XM.GUI MAIL'!R6</f>
        <v>0</v>
      </c>
      <c r="P6" s="1676" t="s">
        <v>9</v>
      </c>
      <c r="Q6" s="1733">
        <f>'XM.GUI MAIL'!U6</f>
        <v>0</v>
      </c>
      <c r="R6" s="1674" t="s">
        <v>8</v>
      </c>
      <c r="S6" s="1675">
        <f>'XM.GUI MAIL'!X6</f>
        <v>0</v>
      </c>
      <c r="T6" s="18" t="s">
        <v>9</v>
      </c>
      <c r="U6" s="121" t="s">
        <v>42</v>
      </c>
      <c r="W6" s="2317">
        <v>1</v>
      </c>
      <c r="X6" s="2272" t="s">
        <v>147</v>
      </c>
      <c r="Y6" s="2322"/>
      <c r="Z6" s="2286" t="s">
        <v>108</v>
      </c>
      <c r="AA6" s="2287"/>
      <c r="AB6" s="1872"/>
      <c r="AC6" s="1873"/>
      <c r="AD6" s="1872"/>
      <c r="AE6" s="1873"/>
      <c r="AF6" s="1872"/>
      <c r="AG6" s="1873"/>
    </row>
    <row r="7" spans="1:33" ht="33.75" customHeight="1">
      <c r="A7" s="2321"/>
      <c r="B7" s="2323"/>
      <c r="C7" s="2324"/>
      <c r="D7" s="2291" t="s">
        <v>109</v>
      </c>
      <c r="E7" s="2292"/>
      <c r="F7" s="1165" t="s">
        <v>58</v>
      </c>
      <c r="G7" s="1000" t="s">
        <v>110</v>
      </c>
      <c r="H7" s="1619"/>
      <c r="I7" s="60"/>
      <c r="J7" s="1199" t="s">
        <v>8</v>
      </c>
      <c r="K7" s="65">
        <f>K6/25*840/1000</f>
        <v>0</v>
      </c>
      <c r="L7" s="64" t="s">
        <v>10</v>
      </c>
      <c r="M7" s="60"/>
      <c r="N7" s="1199" t="s">
        <v>8</v>
      </c>
      <c r="O7" s="65">
        <f>O6/25*840/1000</f>
        <v>0</v>
      </c>
      <c r="P7" s="64" t="s">
        <v>10</v>
      </c>
      <c r="Q7" s="60"/>
      <c r="R7" s="1199" t="s">
        <v>8</v>
      </c>
      <c r="S7" s="65">
        <f>S6/25*840/1000</f>
        <v>0</v>
      </c>
      <c r="T7" s="64" t="s">
        <v>10</v>
      </c>
      <c r="U7" s="121"/>
      <c r="W7" s="2321"/>
      <c r="X7" s="2323"/>
      <c r="Y7" s="2324"/>
      <c r="Z7" s="2291" t="s">
        <v>109</v>
      </c>
      <c r="AA7" s="2292"/>
      <c r="AB7" s="1872"/>
      <c r="AC7" s="1873"/>
      <c r="AD7" s="1872"/>
      <c r="AE7" s="1873"/>
      <c r="AF7" s="1872"/>
      <c r="AG7" s="1873"/>
    </row>
    <row r="8" spans="1:33" ht="33.75" customHeight="1">
      <c r="A8" s="2318"/>
      <c r="B8" s="2325"/>
      <c r="C8" s="2326"/>
      <c r="D8" s="2291" t="s">
        <v>111</v>
      </c>
      <c r="E8" s="2292"/>
      <c r="F8" s="1165" t="s">
        <v>58</v>
      </c>
      <c r="G8" s="1000" t="s">
        <v>110</v>
      </c>
      <c r="H8" s="1619"/>
      <c r="I8" s="60"/>
      <c r="J8" s="1199" t="s">
        <v>8</v>
      </c>
      <c r="K8" s="65">
        <f>K7*10</f>
        <v>0</v>
      </c>
      <c r="L8" s="64" t="s">
        <v>10</v>
      </c>
      <c r="M8" s="60"/>
      <c r="N8" s="1199" t="s">
        <v>8</v>
      </c>
      <c r="O8" s="65">
        <f>O7*10</f>
        <v>0</v>
      </c>
      <c r="P8" s="64" t="s">
        <v>10</v>
      </c>
      <c r="Q8" s="60"/>
      <c r="R8" s="1199" t="s">
        <v>8</v>
      </c>
      <c r="S8" s="65">
        <f>S7*10</f>
        <v>0</v>
      </c>
      <c r="T8" s="64" t="s">
        <v>10</v>
      </c>
      <c r="U8" s="121"/>
      <c r="W8" s="2318"/>
      <c r="X8" s="2325"/>
      <c r="Y8" s="2326"/>
      <c r="Z8" s="2291" t="s">
        <v>111</v>
      </c>
      <c r="AA8" s="2292"/>
      <c r="AB8" s="1872"/>
      <c r="AC8" s="1873"/>
      <c r="AD8" s="1872"/>
      <c r="AE8" s="1873"/>
      <c r="AF8" s="1872"/>
      <c r="AG8" s="1873"/>
    </row>
    <row r="9" spans="1:33" ht="33.75" customHeight="1">
      <c r="A9" s="2317">
        <v>2</v>
      </c>
      <c r="B9" s="2272" t="s">
        <v>148</v>
      </c>
      <c r="C9" s="2322"/>
      <c r="D9" s="2286" t="s">
        <v>108</v>
      </c>
      <c r="E9" s="2287"/>
      <c r="F9" s="1165" t="s">
        <v>4</v>
      </c>
      <c r="G9" s="1000" t="str">
        <f>'XM.GUI MAIL'!$E$7</f>
        <v>25~35</v>
      </c>
      <c r="H9" s="1619" t="str">
        <f>'XM.GUI MAIL'!$F$7</f>
        <v>(30±2)</v>
      </c>
      <c r="I9" s="1733">
        <f>'XM.GUI MAIL'!I7</f>
        <v>0</v>
      </c>
      <c r="J9" s="1674" t="s">
        <v>8</v>
      </c>
      <c r="K9" s="1675">
        <f>'XM.GUI MAIL'!L7</f>
        <v>0</v>
      </c>
      <c r="L9" s="1676" t="s">
        <v>9</v>
      </c>
      <c r="M9" s="1733">
        <f>'XM.GUI MAIL'!O7</f>
        <v>0</v>
      </c>
      <c r="N9" s="1674" t="s">
        <v>8</v>
      </c>
      <c r="O9" s="1675">
        <f>'XM.GUI MAIL'!R7</f>
        <v>0</v>
      </c>
      <c r="P9" s="1676" t="s">
        <v>9</v>
      </c>
      <c r="Q9" s="1733">
        <f>'XM.GUI MAIL'!U7</f>
        <v>0</v>
      </c>
      <c r="R9" s="1674" t="s">
        <v>8</v>
      </c>
      <c r="S9" s="1675">
        <f>'XM.GUI MAIL'!X7</f>
        <v>0</v>
      </c>
      <c r="T9" s="18" t="s">
        <v>9</v>
      </c>
      <c r="U9" s="121" t="s">
        <v>42</v>
      </c>
      <c r="W9" s="2317">
        <v>2</v>
      </c>
      <c r="X9" s="2272" t="s">
        <v>148</v>
      </c>
      <c r="Y9" s="2322"/>
      <c r="Z9" s="2286" t="s">
        <v>108</v>
      </c>
      <c r="AA9" s="2287"/>
      <c r="AB9" s="1872"/>
      <c r="AC9" s="1873"/>
      <c r="AD9" s="1872"/>
      <c r="AE9" s="1873"/>
      <c r="AF9" s="1872"/>
      <c r="AG9" s="1873"/>
    </row>
    <row r="10" spans="1:33" ht="33.75" customHeight="1">
      <c r="A10" s="2321"/>
      <c r="B10" s="2323"/>
      <c r="C10" s="2324"/>
      <c r="D10" s="2291" t="s">
        <v>109</v>
      </c>
      <c r="E10" s="2292"/>
      <c r="F10" s="1165" t="s">
        <v>58</v>
      </c>
      <c r="G10" s="1000" t="s">
        <v>110</v>
      </c>
      <c r="H10" s="1619"/>
      <c r="I10" s="60"/>
      <c r="J10" s="1199" t="s">
        <v>8</v>
      </c>
      <c r="K10" s="65">
        <f>K9/25*840/1000</f>
        <v>0</v>
      </c>
      <c r="L10" s="64" t="s">
        <v>10</v>
      </c>
      <c r="M10" s="60"/>
      <c r="N10" s="1199" t="s">
        <v>8</v>
      </c>
      <c r="O10" s="65">
        <f>O9/25*840/1000</f>
        <v>0</v>
      </c>
      <c r="P10" s="64" t="s">
        <v>10</v>
      </c>
      <c r="Q10" s="60"/>
      <c r="R10" s="1199" t="s">
        <v>8</v>
      </c>
      <c r="S10" s="65">
        <f>S9/25*840/1000</f>
        <v>0</v>
      </c>
      <c r="T10" s="64" t="s">
        <v>10</v>
      </c>
      <c r="U10" s="121"/>
      <c r="W10" s="2321"/>
      <c r="X10" s="2323"/>
      <c r="Y10" s="2324"/>
      <c r="Z10" s="2291" t="s">
        <v>109</v>
      </c>
      <c r="AA10" s="2292"/>
      <c r="AB10" s="1872"/>
      <c r="AC10" s="1873"/>
      <c r="AD10" s="1872"/>
      <c r="AE10" s="1873"/>
      <c r="AF10" s="1872"/>
      <c r="AG10" s="1873"/>
    </row>
    <row r="11" spans="1:33" ht="33.75" customHeight="1">
      <c r="A11" s="2318"/>
      <c r="B11" s="2325"/>
      <c r="C11" s="2326"/>
      <c r="D11" s="2291" t="s">
        <v>111</v>
      </c>
      <c r="E11" s="2292"/>
      <c r="F11" s="1165" t="s">
        <v>58</v>
      </c>
      <c r="G11" s="1000" t="s">
        <v>110</v>
      </c>
      <c r="H11" s="1619"/>
      <c r="I11" s="60"/>
      <c r="J11" s="1199" t="s">
        <v>8</v>
      </c>
      <c r="K11" s="65">
        <f>K10*10</f>
        <v>0</v>
      </c>
      <c r="L11" s="64" t="s">
        <v>10</v>
      </c>
      <c r="M11" s="60"/>
      <c r="N11" s="1199" t="s">
        <v>8</v>
      </c>
      <c r="O11" s="65">
        <f>O10*10</f>
        <v>0</v>
      </c>
      <c r="P11" s="64" t="s">
        <v>10</v>
      </c>
      <c r="Q11" s="60"/>
      <c r="R11" s="1199" t="s">
        <v>8</v>
      </c>
      <c r="S11" s="65">
        <f>S10*10</f>
        <v>0</v>
      </c>
      <c r="T11" s="64" t="s">
        <v>10</v>
      </c>
      <c r="U11" s="121"/>
      <c r="W11" s="2318"/>
      <c r="X11" s="2325"/>
      <c r="Y11" s="2326"/>
      <c r="Z11" s="2291" t="s">
        <v>111</v>
      </c>
      <c r="AA11" s="2292"/>
      <c r="AB11" s="1872"/>
      <c r="AC11" s="1873"/>
      <c r="AD11" s="1872"/>
      <c r="AE11" s="1873"/>
      <c r="AF11" s="1872"/>
      <c r="AG11" s="1873"/>
    </row>
    <row r="12" spans="1:33" ht="33.75" customHeight="1">
      <c r="A12" s="2317">
        <v>3</v>
      </c>
      <c r="B12" s="2289" t="s">
        <v>149</v>
      </c>
      <c r="C12" s="2290"/>
      <c r="D12" s="2286" t="s">
        <v>108</v>
      </c>
      <c r="E12" s="2287"/>
      <c r="F12" s="1165" t="s">
        <v>4</v>
      </c>
      <c r="G12" s="1000" t="str">
        <f>'XM.GUI MAIL'!$E$8</f>
        <v>60~80</v>
      </c>
      <c r="H12" s="1619" t="str">
        <f>'XM.GUI MAIL'!$F$8</f>
        <v>(70±10)</v>
      </c>
      <c r="I12" s="1669">
        <f>'XM.GUI MAIL'!I8</f>
        <v>0</v>
      </c>
      <c r="J12" s="1674" t="s">
        <v>8</v>
      </c>
      <c r="K12" s="1675">
        <f>'XM.GUI MAIL'!L8</f>
        <v>0</v>
      </c>
      <c r="L12" s="1676" t="s">
        <v>9</v>
      </c>
      <c r="M12" s="1669">
        <f>'XM.GUI MAIL'!O8</f>
        <v>0</v>
      </c>
      <c r="N12" s="1674" t="s">
        <v>8</v>
      </c>
      <c r="O12" s="1675">
        <f>'XM.GUI MAIL'!R8</f>
        <v>0</v>
      </c>
      <c r="P12" s="1676" t="s">
        <v>9</v>
      </c>
      <c r="Q12" s="1669">
        <f>'XM.GUI MAIL'!U8</f>
        <v>0</v>
      </c>
      <c r="R12" s="1674" t="s">
        <v>8</v>
      </c>
      <c r="S12" s="1675">
        <f>'XM.GUI MAIL'!X8</f>
        <v>0</v>
      </c>
      <c r="T12" s="18" t="s">
        <v>9</v>
      </c>
      <c r="U12" s="121" t="s">
        <v>42</v>
      </c>
      <c r="W12" s="2317">
        <v>3</v>
      </c>
      <c r="X12" s="2289" t="s">
        <v>149</v>
      </c>
      <c r="Y12" s="2290"/>
      <c r="Z12" s="2286" t="s">
        <v>108</v>
      </c>
      <c r="AA12" s="2287"/>
      <c r="AB12" s="1872"/>
      <c r="AC12" s="1873"/>
      <c r="AD12" s="1872"/>
      <c r="AE12" s="1873"/>
      <c r="AF12" s="1872"/>
      <c r="AG12" s="1873"/>
    </row>
    <row r="13" spans="1:33" ht="33.75" customHeight="1">
      <c r="A13" s="2318"/>
      <c r="B13" s="2290"/>
      <c r="C13" s="2290"/>
      <c r="D13" s="2291" t="s">
        <v>112</v>
      </c>
      <c r="E13" s="2292"/>
      <c r="F13" s="1165" t="s">
        <v>58</v>
      </c>
      <c r="G13" s="1000" t="s">
        <v>110</v>
      </c>
      <c r="H13" s="1619"/>
      <c r="I13" s="1760"/>
      <c r="J13" s="1199" t="s">
        <v>8</v>
      </c>
      <c r="K13" s="65">
        <f>K12/25*7.5</f>
        <v>0</v>
      </c>
      <c r="L13" s="64" t="s">
        <v>10</v>
      </c>
      <c r="M13" s="1760"/>
      <c r="N13" s="1199" t="s">
        <v>8</v>
      </c>
      <c r="O13" s="65">
        <f>O12/25*7.5</f>
        <v>0</v>
      </c>
      <c r="P13" s="64" t="s">
        <v>10</v>
      </c>
      <c r="Q13" s="1760"/>
      <c r="R13" s="1199" t="s">
        <v>8</v>
      </c>
      <c r="S13" s="65">
        <f>S12/25*7.5</f>
        <v>0</v>
      </c>
      <c r="T13" s="64" t="s">
        <v>10</v>
      </c>
      <c r="U13" s="121"/>
      <c r="W13" s="2318"/>
      <c r="X13" s="2290"/>
      <c r="Y13" s="2290"/>
      <c r="Z13" s="2291" t="s">
        <v>112</v>
      </c>
      <c r="AA13" s="2292"/>
      <c r="AB13" s="1872"/>
      <c r="AC13" s="1873"/>
      <c r="AD13" s="1872"/>
      <c r="AE13" s="1873"/>
      <c r="AF13" s="1872"/>
      <c r="AG13" s="1873"/>
    </row>
    <row r="14" spans="1:33" ht="33.75" customHeight="1">
      <c r="A14" s="2317">
        <v>4</v>
      </c>
      <c r="B14" s="2289" t="s">
        <v>150</v>
      </c>
      <c r="C14" s="2290"/>
      <c r="D14" s="2286" t="s">
        <v>108</v>
      </c>
      <c r="E14" s="2287"/>
      <c r="F14" s="1165" t="s">
        <v>4</v>
      </c>
      <c r="G14" s="1000" t="str">
        <f>'XM.GUI MAIL'!$E$9</f>
        <v>60~80</v>
      </c>
      <c r="H14" s="1619" t="str">
        <f>'XM.GUI MAIL'!$F$9</f>
        <v>(70±10)</v>
      </c>
      <c r="I14" s="1669">
        <f>'XM.GUI MAIL'!I9</f>
        <v>0</v>
      </c>
      <c r="J14" s="1674" t="s">
        <v>8</v>
      </c>
      <c r="K14" s="1675">
        <f>'XM.GUI MAIL'!L9</f>
        <v>0</v>
      </c>
      <c r="L14" s="1676" t="s">
        <v>9</v>
      </c>
      <c r="M14" s="1669">
        <f>'XM.GUI MAIL'!O9</f>
        <v>0</v>
      </c>
      <c r="N14" s="1674" t="s">
        <v>8</v>
      </c>
      <c r="O14" s="1675">
        <f>'XM.GUI MAIL'!R9</f>
        <v>0</v>
      </c>
      <c r="P14" s="1676" t="s">
        <v>9</v>
      </c>
      <c r="Q14" s="1669">
        <f>'XM.GUI MAIL'!U9</f>
        <v>0</v>
      </c>
      <c r="R14" s="1674" t="s">
        <v>8</v>
      </c>
      <c r="S14" s="1675">
        <f>'XM.GUI MAIL'!X9</f>
        <v>0</v>
      </c>
      <c r="T14" s="18" t="s">
        <v>9</v>
      </c>
      <c r="U14" s="121" t="s">
        <v>42</v>
      </c>
      <c r="W14" s="2317">
        <v>4</v>
      </c>
      <c r="X14" s="2289" t="s">
        <v>150</v>
      </c>
      <c r="Y14" s="2290"/>
      <c r="Z14" s="2286" t="s">
        <v>108</v>
      </c>
      <c r="AA14" s="2287"/>
      <c r="AB14" s="1872"/>
      <c r="AC14" s="1873"/>
      <c r="AD14" s="1872"/>
      <c r="AE14" s="1873"/>
      <c r="AF14" s="1872"/>
      <c r="AG14" s="1873"/>
    </row>
    <row r="15" spans="1:33" ht="33.75" customHeight="1">
      <c r="A15" s="2318"/>
      <c r="B15" s="2290"/>
      <c r="C15" s="2290"/>
      <c r="D15" s="2291" t="s">
        <v>112</v>
      </c>
      <c r="E15" s="2292"/>
      <c r="F15" s="1165" t="s">
        <v>58</v>
      </c>
      <c r="G15" s="1000" t="s">
        <v>110</v>
      </c>
      <c r="H15" s="1619"/>
      <c r="I15" s="60"/>
      <c r="J15" s="1199" t="s">
        <v>8</v>
      </c>
      <c r="K15" s="65">
        <f>K14/25*7.5</f>
        <v>0</v>
      </c>
      <c r="L15" s="64" t="s">
        <v>10</v>
      </c>
      <c r="M15" s="60"/>
      <c r="N15" s="1199" t="s">
        <v>8</v>
      </c>
      <c r="O15" s="65">
        <f>O14/25*7.5</f>
        <v>0</v>
      </c>
      <c r="P15" s="64" t="s">
        <v>10</v>
      </c>
      <c r="Q15" s="60"/>
      <c r="R15" s="1199" t="s">
        <v>8</v>
      </c>
      <c r="S15" s="65">
        <f>S14/25*7.5</f>
        <v>0</v>
      </c>
      <c r="T15" s="64" t="s">
        <v>10</v>
      </c>
      <c r="U15" s="121"/>
      <c r="W15" s="2318"/>
      <c r="X15" s="2290"/>
      <c r="Y15" s="2290"/>
      <c r="Z15" s="2291" t="s">
        <v>112</v>
      </c>
      <c r="AA15" s="2292"/>
      <c r="AB15" s="1872"/>
      <c r="AC15" s="1873"/>
      <c r="AD15" s="1872"/>
      <c r="AE15" s="1873"/>
      <c r="AF15" s="1872"/>
      <c r="AG15" s="1873"/>
    </row>
    <row r="16" spans="1:33" ht="33.75" customHeight="1">
      <c r="A16" s="2317">
        <v>5</v>
      </c>
      <c r="B16" s="2291" t="s">
        <v>82</v>
      </c>
      <c r="C16" s="2312"/>
      <c r="D16" s="2312"/>
      <c r="E16" s="2292"/>
      <c r="F16" s="1165" t="s">
        <v>4</v>
      </c>
      <c r="G16" s="1133" t="str">
        <f>'XM.GUI MAIL'!$E$10</f>
        <v>130 - 150</v>
      </c>
      <c r="H16" s="1672" t="str">
        <f>'XM.GUI MAIL'!$F$10</f>
        <v>(140±5L)</v>
      </c>
      <c r="I16" s="1733">
        <f>'XM.GUI MAIL'!I10</f>
        <v>0</v>
      </c>
      <c r="J16" s="1674" t="s">
        <v>8</v>
      </c>
      <c r="K16" s="1867">
        <f>'XM.GUI MAIL'!L10</f>
        <v>0</v>
      </c>
      <c r="L16" s="1201" t="s">
        <v>9</v>
      </c>
      <c r="M16" s="1733">
        <f>'XM.GUI MAIL'!O10</f>
        <v>0</v>
      </c>
      <c r="N16" s="1674" t="s">
        <v>8</v>
      </c>
      <c r="O16" s="1867">
        <f>'XM.GUI MAIL'!R10</f>
        <v>0</v>
      </c>
      <c r="P16" s="1201" t="s">
        <v>9</v>
      </c>
      <c r="Q16" s="1733">
        <f>'XM.GUI MAIL'!U10</f>
        <v>0</v>
      </c>
      <c r="R16" s="1674" t="s">
        <v>8</v>
      </c>
      <c r="S16" s="1867">
        <f>'XM.GUI MAIL'!X10</f>
        <v>0</v>
      </c>
      <c r="T16" s="122" t="s">
        <v>9</v>
      </c>
      <c r="U16" s="121" t="s">
        <v>43</v>
      </c>
      <c r="W16" s="2317">
        <v>5</v>
      </c>
      <c r="X16" s="2291" t="s">
        <v>82</v>
      </c>
      <c r="Y16" s="2312"/>
      <c r="Z16" s="2312"/>
      <c r="AA16" s="2292"/>
      <c r="AB16" s="1872"/>
      <c r="AC16" s="1873"/>
      <c r="AD16" s="1872"/>
      <c r="AE16" s="1873"/>
      <c r="AF16" s="1872"/>
      <c r="AG16" s="1873"/>
    </row>
    <row r="17" spans="1:33" ht="33.75" customHeight="1">
      <c r="A17" s="2318"/>
      <c r="B17" s="2291" t="s">
        <v>60</v>
      </c>
      <c r="C17" s="2312"/>
      <c r="D17" s="2312"/>
      <c r="E17" s="2292"/>
      <c r="F17" s="1165" t="s">
        <v>4</v>
      </c>
      <c r="G17" s="1133" t="str">
        <f>'XM.GUI MAIL'!$E$11</f>
        <v>7~12</v>
      </c>
      <c r="H17" s="1672" t="str">
        <f>'XM.GUI MAIL'!$F$11</f>
        <v>(9g±1)</v>
      </c>
      <c r="I17" s="1738">
        <f>'XM.GUI MAIL'!I11</f>
        <v>0</v>
      </c>
      <c r="J17" s="1674" t="s">
        <v>8</v>
      </c>
      <c r="K17" s="1675">
        <f>'XM.GUI MAIL'!L11</f>
        <v>0</v>
      </c>
      <c r="L17" s="1201" t="s">
        <v>9</v>
      </c>
      <c r="M17" s="1738">
        <f>'XM.GUI MAIL'!O11</f>
        <v>0</v>
      </c>
      <c r="N17" s="1674" t="s">
        <v>8</v>
      </c>
      <c r="O17" s="1675">
        <f>'XM.GUI MAIL'!R11</f>
        <v>0</v>
      </c>
      <c r="P17" s="1201" t="s">
        <v>9</v>
      </c>
      <c r="Q17" s="1738">
        <f>'XM.GUI MAIL'!U11</f>
        <v>0</v>
      </c>
      <c r="R17" s="1674" t="s">
        <v>8</v>
      </c>
      <c r="S17" s="1675">
        <f>'XM.GUI MAIL'!X11</f>
        <v>0</v>
      </c>
      <c r="T17" s="122" t="s">
        <v>9</v>
      </c>
      <c r="U17" s="121" t="s">
        <v>44</v>
      </c>
      <c r="W17" s="2318"/>
      <c r="X17" s="2291" t="s">
        <v>60</v>
      </c>
      <c r="Y17" s="2312"/>
      <c r="Z17" s="2312"/>
      <c r="AA17" s="2292"/>
      <c r="AB17" s="1872"/>
      <c r="AC17" s="1873"/>
      <c r="AD17" s="1872"/>
      <c r="AE17" s="1873"/>
      <c r="AF17" s="1872"/>
      <c r="AG17" s="1873"/>
    </row>
    <row r="18" spans="1:33" ht="33.75" customHeight="1">
      <c r="A18" s="2317">
        <v>6</v>
      </c>
      <c r="B18" s="2272" t="s">
        <v>1041</v>
      </c>
      <c r="C18" s="2273"/>
      <c r="D18" s="2273"/>
      <c r="E18" s="2274"/>
      <c r="F18" s="1165" t="s">
        <v>3</v>
      </c>
      <c r="G18" s="1133" t="str">
        <f>'XM.GUI MAIL'!$E$12</f>
        <v xml:space="preserve">12~18 </v>
      </c>
      <c r="H18" s="1672" t="str">
        <f>'XM.GUI MAIL'!$F$12</f>
        <v>(14±2)</v>
      </c>
      <c r="I18" s="1738">
        <f>'XM.GUI MAIL'!I12</f>
        <v>0</v>
      </c>
      <c r="J18" s="1199" t="s">
        <v>8</v>
      </c>
      <c r="K18" s="63">
        <f>'XM.GUI MAIL'!L12</f>
        <v>0</v>
      </c>
      <c r="L18" s="64" t="s">
        <v>10</v>
      </c>
      <c r="M18" s="1738">
        <f>'XM.GUI MAIL'!O12</f>
        <v>0</v>
      </c>
      <c r="N18" s="1199" t="s">
        <v>8</v>
      </c>
      <c r="O18" s="63">
        <f>'XM.GUI MAIL'!R12</f>
        <v>0</v>
      </c>
      <c r="P18" s="64" t="s">
        <v>10</v>
      </c>
      <c r="Q18" s="1738">
        <f>'XM.GUI MAIL'!U12</f>
        <v>0</v>
      </c>
      <c r="R18" s="1199" t="s">
        <v>8</v>
      </c>
      <c r="S18" s="63">
        <f>'XM.GUI MAIL'!X12</f>
        <v>0</v>
      </c>
      <c r="T18" s="64" t="s">
        <v>10</v>
      </c>
      <c r="U18" s="121" t="s">
        <v>45</v>
      </c>
      <c r="W18" s="2317">
        <v>6</v>
      </c>
      <c r="X18" s="2272" t="s">
        <v>1041</v>
      </c>
      <c r="Y18" s="2273"/>
      <c r="Z18" s="2273"/>
      <c r="AA18" s="2274"/>
      <c r="AB18" s="1872"/>
      <c r="AC18" s="1873"/>
      <c r="AD18" s="1872"/>
      <c r="AE18" s="1873"/>
      <c r="AF18" s="1872"/>
      <c r="AG18" s="1873"/>
    </row>
    <row r="19" spans="1:33" ht="33.75" customHeight="1">
      <c r="A19" s="2318"/>
      <c r="B19" s="2275"/>
      <c r="C19" s="2276"/>
      <c r="D19" s="2276"/>
      <c r="E19" s="2277"/>
      <c r="F19" s="1165" t="s">
        <v>5</v>
      </c>
      <c r="G19" s="1133" t="str">
        <f>'XM.GUI MAIL'!$E$13</f>
        <v>1.6~2.2</v>
      </c>
      <c r="H19" s="1672" t="str">
        <f>'XM.GUI MAIL'!$F$13</f>
        <v>(1.8±0.1 )</v>
      </c>
      <c r="I19" s="1738">
        <f>'XM.GUI MAIL'!I13</f>
        <v>0</v>
      </c>
      <c r="J19" s="1678"/>
      <c r="K19" s="1675">
        <f>'XM.GUI MAIL'!L13</f>
        <v>0</v>
      </c>
      <c r="L19" s="1679"/>
      <c r="M19" s="1738">
        <f>'XM.GUI MAIL'!O13</f>
        <v>0</v>
      </c>
      <c r="N19" s="1678"/>
      <c r="O19" s="1675">
        <f>'XM.GUI MAIL'!R13</f>
        <v>0</v>
      </c>
      <c r="P19" s="1679"/>
      <c r="Q19" s="1738">
        <f>'XM.GUI MAIL'!U13</f>
        <v>0</v>
      </c>
      <c r="R19" s="1678"/>
      <c r="S19" s="1675">
        <f>'XM.GUI MAIL'!X13</f>
        <v>0</v>
      </c>
      <c r="T19" s="6"/>
      <c r="U19" s="121"/>
      <c r="W19" s="2318"/>
      <c r="X19" s="2275"/>
      <c r="Y19" s="2276"/>
      <c r="Z19" s="2276"/>
      <c r="AA19" s="2277"/>
      <c r="AB19" s="1872"/>
      <c r="AC19" s="1873"/>
      <c r="AD19" s="1872"/>
      <c r="AE19" s="1873"/>
      <c r="AF19" s="1872"/>
      <c r="AG19" s="1873"/>
    </row>
    <row r="20" spans="1:33" ht="33.75" customHeight="1">
      <c r="A20" s="121">
        <v>7</v>
      </c>
      <c r="B20" s="2291" t="s">
        <v>61</v>
      </c>
      <c r="C20" s="2312"/>
      <c r="D20" s="2312"/>
      <c r="E20" s="2292"/>
      <c r="F20" s="1155" t="s">
        <v>6</v>
      </c>
      <c r="G20" s="1133" t="str">
        <f>'XM.GUI MAIL'!$E$14</f>
        <v>30~60</v>
      </c>
      <c r="H20" s="1672" t="str">
        <f>'XM.GUI MAIL'!$F$14</f>
        <v>(45±5)</v>
      </c>
      <c r="I20" s="1745">
        <f>'XM.GUI MAIL'!I14</f>
        <v>0</v>
      </c>
      <c r="J20" s="1674" t="s">
        <v>8</v>
      </c>
      <c r="K20" s="1675">
        <f>'XM.GUI MAIL'!L14</f>
        <v>0</v>
      </c>
      <c r="L20" s="1676" t="s">
        <v>10</v>
      </c>
      <c r="M20" s="1745">
        <f>'XM.GUI MAIL'!O14</f>
        <v>0</v>
      </c>
      <c r="N20" s="1674" t="s">
        <v>8</v>
      </c>
      <c r="O20" s="1675">
        <f>'XM.GUI MAIL'!R14</f>
        <v>0</v>
      </c>
      <c r="P20" s="1676" t="s">
        <v>10</v>
      </c>
      <c r="Q20" s="1745">
        <f>'XM.GUI MAIL'!U14</f>
        <v>0</v>
      </c>
      <c r="R20" s="1674" t="s">
        <v>8</v>
      </c>
      <c r="S20" s="1675">
        <f>'XM.GUI MAIL'!X14</f>
        <v>0</v>
      </c>
      <c r="T20" s="18" t="s">
        <v>10</v>
      </c>
      <c r="U20" s="121" t="s">
        <v>46</v>
      </c>
      <c r="W20" s="121">
        <v>7</v>
      </c>
      <c r="X20" s="2291" t="s">
        <v>61</v>
      </c>
      <c r="Y20" s="2312"/>
      <c r="Z20" s="2312"/>
      <c r="AA20" s="2292"/>
      <c r="AB20" s="1872"/>
      <c r="AC20" s="1873"/>
      <c r="AD20" s="1872"/>
      <c r="AE20" s="1873"/>
      <c r="AF20" s="1872"/>
      <c r="AG20" s="1873"/>
    </row>
    <row r="21" spans="1:33" ht="33.75" customHeight="1">
      <c r="A21" s="121">
        <v>8</v>
      </c>
      <c r="B21" s="2291" t="s">
        <v>62</v>
      </c>
      <c r="C21" s="2312"/>
      <c r="D21" s="2312"/>
      <c r="E21" s="2292"/>
      <c r="F21" s="1155" t="s">
        <v>6</v>
      </c>
      <c r="G21" s="1133" t="str">
        <f>'XM.GUI MAIL'!$E$15</f>
        <v>15~30</v>
      </c>
      <c r="H21" s="1672" t="str">
        <f>'XM.GUI MAIL'!$F$15</f>
        <v>(22±5)</v>
      </c>
      <c r="I21" s="1745">
        <f>'XM.GUI MAIL'!I15</f>
        <v>0</v>
      </c>
      <c r="J21" s="1199" t="s">
        <v>8</v>
      </c>
      <c r="K21" s="63">
        <f>'XM.GUI MAIL'!L15</f>
        <v>0</v>
      </c>
      <c r="L21" s="64" t="s">
        <v>10</v>
      </c>
      <c r="M21" s="1745">
        <f>'XM.GUI MAIL'!O15</f>
        <v>0</v>
      </c>
      <c r="N21" s="1199" t="s">
        <v>8</v>
      </c>
      <c r="O21" s="63">
        <f>'XM.GUI MAIL'!R15</f>
        <v>0</v>
      </c>
      <c r="P21" s="64" t="s">
        <v>10</v>
      </c>
      <c r="Q21" s="1745">
        <f>'XM.GUI MAIL'!U15</f>
        <v>0</v>
      </c>
      <c r="R21" s="1199" t="s">
        <v>8</v>
      </c>
      <c r="S21" s="63">
        <f>'XM.GUI MAIL'!X15</f>
        <v>0</v>
      </c>
      <c r="T21" s="18" t="s">
        <v>10</v>
      </c>
      <c r="U21" s="121" t="s">
        <v>46</v>
      </c>
      <c r="W21" s="121">
        <v>8</v>
      </c>
      <c r="X21" s="2291" t="s">
        <v>62</v>
      </c>
      <c r="Y21" s="2312"/>
      <c r="Z21" s="2312"/>
      <c r="AA21" s="2292"/>
      <c r="AB21" s="1872"/>
      <c r="AC21" s="1873"/>
      <c r="AD21" s="1872"/>
      <c r="AE21" s="1873"/>
      <c r="AF21" s="1872"/>
      <c r="AG21" s="1873"/>
    </row>
    <row r="22" spans="1:33" ht="33.75" customHeight="1">
      <c r="A22" s="121">
        <v>9</v>
      </c>
      <c r="B22" s="2291" t="s">
        <v>116</v>
      </c>
      <c r="C22" s="2312"/>
      <c r="D22" s="2312"/>
      <c r="E22" s="2292"/>
      <c r="F22" s="1155" t="s">
        <v>6</v>
      </c>
      <c r="G22" s="1133" t="str">
        <f>'XM.GUI MAIL'!$E$16</f>
        <v>5~15</v>
      </c>
      <c r="H22" s="1672" t="str">
        <f>'XM.GUI MAIL'!$F$16</f>
        <v>(10±3)</v>
      </c>
      <c r="I22" s="1745">
        <f>'XM.GUI MAIL'!I16</f>
        <v>0</v>
      </c>
      <c r="J22" s="1674" t="s">
        <v>8</v>
      </c>
      <c r="K22" s="1675">
        <f>'XM.GUI MAIL'!L16</f>
        <v>0</v>
      </c>
      <c r="L22" s="1676" t="s">
        <v>10</v>
      </c>
      <c r="M22" s="1745">
        <f>'XM.GUI MAIL'!O16</f>
        <v>0</v>
      </c>
      <c r="N22" s="1674" t="s">
        <v>8</v>
      </c>
      <c r="O22" s="1675">
        <f>'XM.GUI MAIL'!R16</f>
        <v>0</v>
      </c>
      <c r="P22" s="1676" t="s">
        <v>10</v>
      </c>
      <c r="Q22" s="1745">
        <f>'XM.GUI MAIL'!U16</f>
        <v>0</v>
      </c>
      <c r="R22" s="1674" t="s">
        <v>8</v>
      </c>
      <c r="S22" s="1675">
        <f>'XM.GUI MAIL'!X16</f>
        <v>0</v>
      </c>
      <c r="T22" s="18" t="s">
        <v>10</v>
      </c>
      <c r="U22" s="121" t="s">
        <v>47</v>
      </c>
      <c r="W22" s="121">
        <v>9</v>
      </c>
      <c r="X22" s="2291" t="s">
        <v>116</v>
      </c>
      <c r="Y22" s="2312"/>
      <c r="Z22" s="2312"/>
      <c r="AA22" s="2292"/>
      <c r="AB22" s="1872"/>
      <c r="AC22" s="1873"/>
      <c r="AD22" s="1872"/>
      <c r="AE22" s="1873"/>
      <c r="AF22" s="1872"/>
      <c r="AG22" s="1873"/>
    </row>
    <row r="23" spans="1:33" ht="33.75" customHeight="1">
      <c r="A23" s="121">
        <v>10</v>
      </c>
      <c r="B23" s="2291" t="s">
        <v>115</v>
      </c>
      <c r="C23" s="2312"/>
      <c r="D23" s="2312"/>
      <c r="E23" s="2292"/>
      <c r="F23" s="1155" t="s">
        <v>3</v>
      </c>
      <c r="G23" s="1133" t="str">
        <f>'XM.GUI MAIL'!$E$17</f>
        <v>0.5~1.5</v>
      </c>
      <c r="H23" s="1672" t="str">
        <f>'XM.GUI MAIL'!$F$17</f>
        <v>(1±0.4)</v>
      </c>
      <c r="I23" s="1749">
        <f>'XM.GUI MAIL'!I17</f>
        <v>0</v>
      </c>
      <c r="J23" s="1674" t="s">
        <v>8</v>
      </c>
      <c r="K23" s="1680">
        <f>'XM.GUI MAIL'!L17</f>
        <v>0</v>
      </c>
      <c r="L23" s="1676" t="s">
        <v>10</v>
      </c>
      <c r="M23" s="1749">
        <f>'XM.GUI MAIL'!O17</f>
        <v>0</v>
      </c>
      <c r="N23" s="1674" t="s">
        <v>8</v>
      </c>
      <c r="O23" s="1680">
        <f>'XM.GUI MAIL'!R17</f>
        <v>0</v>
      </c>
      <c r="P23" s="1676" t="s">
        <v>10</v>
      </c>
      <c r="Q23" s="1749">
        <f>'XM.GUI MAIL'!U17</f>
        <v>0</v>
      </c>
      <c r="R23" s="1674" t="s">
        <v>8</v>
      </c>
      <c r="S23" s="1680">
        <f>'XM.GUI MAIL'!X17</f>
        <v>0</v>
      </c>
      <c r="T23" s="18" t="s">
        <v>10</v>
      </c>
      <c r="U23" s="121" t="s">
        <v>47</v>
      </c>
      <c r="W23" s="121">
        <v>10</v>
      </c>
      <c r="X23" s="2291" t="s">
        <v>115</v>
      </c>
      <c r="Y23" s="2312"/>
      <c r="Z23" s="2312"/>
      <c r="AA23" s="2292"/>
      <c r="AB23" s="1872"/>
      <c r="AC23" s="1873"/>
      <c r="AD23" s="1872"/>
      <c r="AE23" s="1873"/>
      <c r="AF23" s="1872"/>
      <c r="AG23" s="1873"/>
    </row>
    <row r="24" spans="1:33" ht="30.75" customHeight="1">
      <c r="A24" s="2319">
        <v>13</v>
      </c>
      <c r="B24" s="2272" t="s">
        <v>77</v>
      </c>
      <c r="C24" s="2273"/>
      <c r="D24" s="2273"/>
      <c r="E24" s="2274"/>
      <c r="F24" s="1165" t="s">
        <v>3</v>
      </c>
      <c r="G24" s="1133" t="str">
        <f>'XM.GUI MAIL'!$E$18</f>
        <v>5~10</v>
      </c>
      <c r="H24" s="1672" t="str">
        <f>'XM.GUI MAIL'!$F$18</f>
        <v>(7.5±1)</v>
      </c>
      <c r="I24" s="88" t="str">
        <f>'XM.GUI MAIL'!I18</f>
        <v/>
      </c>
      <c r="J24" s="1199" t="s">
        <v>8</v>
      </c>
      <c r="K24" s="63" t="str">
        <f>'XM.GUI MAIL'!L18</f>
        <v/>
      </c>
      <c r="L24" s="64" t="s">
        <v>10</v>
      </c>
      <c r="M24" s="88" t="str">
        <f>'XM.GUI MAIL'!O18</f>
        <v/>
      </c>
      <c r="N24" s="1199" t="s">
        <v>8</v>
      </c>
      <c r="O24" s="63" t="str">
        <f>'XM.GUI MAIL'!R18</f>
        <v/>
      </c>
      <c r="P24" s="64" t="s">
        <v>10</v>
      </c>
      <c r="Q24" s="88" t="str">
        <f>'XM.GUI MAIL'!U18</f>
        <v/>
      </c>
      <c r="R24" s="1199" t="s">
        <v>8</v>
      </c>
      <c r="S24" s="63" t="str">
        <f>'XM.GUI MAIL'!X18</f>
        <v/>
      </c>
      <c r="T24" s="64" t="s">
        <v>10</v>
      </c>
      <c r="U24" s="121"/>
      <c r="W24" s="2319">
        <v>13</v>
      </c>
      <c r="X24" s="2272" t="s">
        <v>77</v>
      </c>
      <c r="Y24" s="2273"/>
      <c r="Z24" s="2273"/>
      <c r="AA24" s="2274"/>
      <c r="AB24" s="1872"/>
      <c r="AC24" s="1873"/>
      <c r="AD24" s="1872"/>
      <c r="AE24" s="1873"/>
      <c r="AF24" s="1872"/>
      <c r="AG24" s="1873"/>
    </row>
    <row r="25" spans="1:33" ht="30.75" customHeight="1">
      <c r="A25" s="2320"/>
      <c r="B25" s="2275"/>
      <c r="C25" s="2276"/>
      <c r="D25" s="2276"/>
      <c r="E25" s="2277"/>
      <c r="F25" s="1165" t="s">
        <v>5</v>
      </c>
      <c r="G25" s="1133" t="str">
        <f>'XM.GUI MAIL'!$E$19</f>
        <v>1.6~2.0</v>
      </c>
      <c r="H25" s="1672" t="str">
        <f>'XM.GUI MAIL'!$F$19</f>
        <v>(1.8±0.1)</v>
      </c>
      <c r="I25" s="120">
        <f>'XM.GUI MAIL'!I19</f>
        <v>0</v>
      </c>
      <c r="J25" s="1199"/>
      <c r="K25" s="63">
        <f>'XM.GUI MAIL'!L19</f>
        <v>0</v>
      </c>
      <c r="L25" s="64"/>
      <c r="M25" s="120">
        <f>'XM.GUI MAIL'!O19</f>
        <v>0</v>
      </c>
      <c r="N25" s="1199"/>
      <c r="O25" s="63">
        <f>'XM.GUI MAIL'!R19</f>
        <v>0</v>
      </c>
      <c r="P25" s="64"/>
      <c r="Q25" s="120">
        <f>'XM.GUI MAIL'!U19</f>
        <v>0</v>
      </c>
      <c r="R25" s="1199"/>
      <c r="S25" s="63">
        <f>'XM.GUI MAIL'!X19</f>
        <v>0</v>
      </c>
      <c r="T25" s="64"/>
      <c r="U25" s="121"/>
      <c r="W25" s="2320"/>
      <c r="X25" s="2275"/>
      <c r="Y25" s="2276"/>
      <c r="Z25" s="2276"/>
      <c r="AA25" s="2277"/>
      <c r="AB25" s="1872"/>
      <c r="AC25" s="1874"/>
      <c r="AD25" s="1872"/>
      <c r="AE25" s="1874"/>
      <c r="AF25" s="1872"/>
      <c r="AG25" s="1874"/>
    </row>
    <row r="26" spans="1:33" ht="33.75" customHeight="1">
      <c r="A26" s="286"/>
      <c r="B26" s="287"/>
      <c r="C26" s="287"/>
      <c r="D26" s="287"/>
      <c r="E26" s="287"/>
      <c r="F26" s="287"/>
      <c r="G26" s="285" t="s">
        <v>117</v>
      </c>
      <c r="H26" s="285"/>
      <c r="I26" s="287"/>
      <c r="J26" s="287"/>
      <c r="K26" s="287"/>
      <c r="L26" s="287"/>
      <c r="M26" s="287"/>
      <c r="N26" s="287"/>
      <c r="O26" s="287"/>
      <c r="P26" s="287"/>
      <c r="Q26" s="287"/>
      <c r="R26" s="287"/>
      <c r="S26" s="287"/>
      <c r="T26" s="287"/>
      <c r="U26" s="288"/>
      <c r="W26" s="1882"/>
      <c r="X26" s="287"/>
      <c r="Y26" s="287"/>
      <c r="Z26" s="287"/>
      <c r="AA26" s="287"/>
      <c r="AB26" s="287"/>
      <c r="AC26" s="287"/>
      <c r="AD26" s="287"/>
      <c r="AE26" s="287"/>
      <c r="AF26" s="287"/>
      <c r="AG26" s="287"/>
    </row>
    <row r="27" spans="1:33" ht="33.75" customHeight="1">
      <c r="A27" s="121" t="s">
        <v>7</v>
      </c>
      <c r="B27" s="2291" t="s">
        <v>64</v>
      </c>
      <c r="C27" s="2312"/>
      <c r="D27" s="2312"/>
      <c r="E27" s="2292"/>
      <c r="F27" s="1158" t="s">
        <v>66</v>
      </c>
      <c r="G27" s="1094" t="s">
        <v>1424</v>
      </c>
      <c r="H27" s="1618" t="s">
        <v>1412</v>
      </c>
      <c r="I27" s="2171" t="s">
        <v>48</v>
      </c>
      <c r="J27" s="2171"/>
      <c r="K27" s="2171" t="s">
        <v>65</v>
      </c>
      <c r="L27" s="2171"/>
      <c r="M27" s="2171" t="s">
        <v>48</v>
      </c>
      <c r="N27" s="2171"/>
      <c r="O27" s="2171" t="s">
        <v>65</v>
      </c>
      <c r="P27" s="2171"/>
      <c r="Q27" s="2171" t="s">
        <v>48</v>
      </c>
      <c r="R27" s="2171"/>
      <c r="S27" s="2171" t="s">
        <v>65</v>
      </c>
      <c r="T27" s="2171"/>
      <c r="U27" s="1148"/>
      <c r="W27" s="121" t="s">
        <v>7</v>
      </c>
      <c r="X27" s="2291" t="s">
        <v>64</v>
      </c>
      <c r="Y27" s="2312"/>
      <c r="Z27" s="2312"/>
      <c r="AA27" s="2292"/>
      <c r="AB27" s="2268" t="s">
        <v>1526</v>
      </c>
      <c r="AC27" s="2130"/>
      <c r="AD27" s="2268" t="s">
        <v>1526</v>
      </c>
      <c r="AE27" s="2130"/>
      <c r="AF27" s="2268" t="s">
        <v>1526</v>
      </c>
      <c r="AG27" s="2130"/>
    </row>
    <row r="28" spans="1:33" ht="31.5" customHeight="1">
      <c r="A28" s="121">
        <v>1</v>
      </c>
      <c r="B28" s="2291" t="s">
        <v>68</v>
      </c>
      <c r="C28" s="2312"/>
      <c r="D28" s="2312"/>
      <c r="E28" s="2292"/>
      <c r="F28" s="21" t="s">
        <v>113</v>
      </c>
      <c r="G28" s="1134" t="str">
        <f>'XM.GUI MAIL'!$E$22</f>
        <v>65~75</v>
      </c>
      <c r="H28" s="1134" t="str">
        <f>'XM.GUI MAIL'!$F$22</f>
        <v>(70±3)</v>
      </c>
      <c r="I28" s="2088">
        <f>'XM.FILE GOC'!I22</f>
        <v>0</v>
      </c>
      <c r="J28" s="2089"/>
      <c r="K28" s="2088">
        <f>'XM.GUI MAIL'!L22</f>
        <v>0</v>
      </c>
      <c r="L28" s="2089"/>
      <c r="M28" s="2088">
        <f>'XM.FILE GOC'!O22</f>
        <v>0</v>
      </c>
      <c r="N28" s="2089"/>
      <c r="O28" s="2088">
        <f>'XM.GUI MAIL'!R22</f>
        <v>0</v>
      </c>
      <c r="P28" s="2089"/>
      <c r="Q28" s="2088">
        <f>'XM.FILE GOC'!U22</f>
        <v>0</v>
      </c>
      <c r="R28" s="2089"/>
      <c r="S28" s="2088">
        <f>'XM.GUI MAIL'!X22</f>
        <v>0</v>
      </c>
      <c r="T28" s="2089"/>
      <c r="U28" s="121"/>
      <c r="W28" s="121">
        <v>1</v>
      </c>
      <c r="X28" s="2291" t="s">
        <v>68</v>
      </c>
      <c r="Y28" s="2312"/>
      <c r="Z28" s="2312"/>
      <c r="AA28" s="2292"/>
      <c r="AB28" s="1872"/>
      <c r="AC28" s="1873"/>
      <c r="AD28" s="1872"/>
      <c r="AE28" s="1873"/>
      <c r="AF28" s="1872"/>
      <c r="AG28" s="1873"/>
    </row>
    <row r="29" spans="1:33" ht="31.5" customHeight="1">
      <c r="A29" s="121">
        <v>2</v>
      </c>
      <c r="B29" s="2291" t="s">
        <v>69</v>
      </c>
      <c r="C29" s="2312" t="s">
        <v>69</v>
      </c>
      <c r="D29" s="2312" t="s">
        <v>69</v>
      </c>
      <c r="E29" s="2292" t="s">
        <v>69</v>
      </c>
      <c r="F29" s="21" t="s">
        <v>113</v>
      </c>
      <c r="G29" s="1134" t="str">
        <f>'XM.GUI MAIL'!$E$23</f>
        <v>65~75</v>
      </c>
      <c r="H29" s="1134" t="str">
        <f>'XM.GUI MAIL'!$F$23</f>
        <v>(70±3)</v>
      </c>
      <c r="I29" s="2088">
        <f>'XM.FILE GOC'!I23</f>
        <v>0</v>
      </c>
      <c r="J29" s="2089"/>
      <c r="K29" s="2088">
        <f>'XM.GUI MAIL'!L23</f>
        <v>0</v>
      </c>
      <c r="L29" s="2089"/>
      <c r="M29" s="2088">
        <f>'XM.FILE GOC'!O23</f>
        <v>0</v>
      </c>
      <c r="N29" s="2089"/>
      <c r="O29" s="2088">
        <f>'XM.GUI MAIL'!R23</f>
        <v>0</v>
      </c>
      <c r="P29" s="2089"/>
      <c r="Q29" s="2088">
        <f>'XM.FILE GOC'!U23</f>
        <v>0</v>
      </c>
      <c r="R29" s="2089"/>
      <c r="S29" s="2088">
        <f>'XM.GUI MAIL'!X23</f>
        <v>0</v>
      </c>
      <c r="T29" s="2089"/>
      <c r="U29" s="121"/>
      <c r="W29" s="121">
        <v>2</v>
      </c>
      <c r="X29" s="2291" t="s">
        <v>69</v>
      </c>
      <c r="Y29" s="2312" t="s">
        <v>69</v>
      </c>
      <c r="Z29" s="2312" t="s">
        <v>69</v>
      </c>
      <c r="AA29" s="2292" t="s">
        <v>69</v>
      </c>
      <c r="AB29" s="1872"/>
      <c r="AC29" s="1873"/>
      <c r="AD29" s="1872"/>
      <c r="AE29" s="1873"/>
      <c r="AF29" s="1872"/>
      <c r="AG29" s="1873"/>
    </row>
    <row r="30" spans="1:33" ht="31.5" customHeight="1">
      <c r="A30" s="121">
        <v>3</v>
      </c>
      <c r="B30" s="2291" t="s">
        <v>71</v>
      </c>
      <c r="C30" s="2312" t="s">
        <v>71</v>
      </c>
      <c r="D30" s="2312" t="s">
        <v>71</v>
      </c>
      <c r="E30" s="2292" t="s">
        <v>71</v>
      </c>
      <c r="F30" s="21" t="s">
        <v>113</v>
      </c>
      <c r="G30" s="1134" t="str">
        <f>'XM.GUI MAIL'!$E$24</f>
        <v>50~60</v>
      </c>
      <c r="H30" s="1134" t="str">
        <f>'XM.GUI MAIL'!$F$24</f>
        <v>(55±3)</v>
      </c>
      <c r="I30" s="2088">
        <f>'XM.FILE GOC'!I24</f>
        <v>0</v>
      </c>
      <c r="J30" s="2089"/>
      <c r="K30" s="2088">
        <f>'XM.GUI MAIL'!L24</f>
        <v>0</v>
      </c>
      <c r="L30" s="2089"/>
      <c r="M30" s="2088">
        <f>'XM.FILE GOC'!O24</f>
        <v>0</v>
      </c>
      <c r="N30" s="2089"/>
      <c r="O30" s="2088">
        <f>'XM.GUI MAIL'!R24</f>
        <v>0</v>
      </c>
      <c r="P30" s="2089"/>
      <c r="Q30" s="2088">
        <f>'XM.FILE GOC'!U24</f>
        <v>0</v>
      </c>
      <c r="R30" s="2089"/>
      <c r="S30" s="2088">
        <f>'XM.GUI MAIL'!X24</f>
        <v>0</v>
      </c>
      <c r="T30" s="2089"/>
      <c r="U30" s="121"/>
      <c r="W30" s="121">
        <v>3</v>
      </c>
      <c r="X30" s="2291" t="s">
        <v>71</v>
      </c>
      <c r="Y30" s="2312" t="s">
        <v>71</v>
      </c>
      <c r="Z30" s="2312" t="s">
        <v>71</v>
      </c>
      <c r="AA30" s="2292" t="s">
        <v>71</v>
      </c>
      <c r="AB30" s="1872"/>
      <c r="AC30" s="1873"/>
      <c r="AD30" s="1872"/>
      <c r="AE30" s="1873"/>
      <c r="AF30" s="1872"/>
      <c r="AG30" s="1873"/>
    </row>
    <row r="31" spans="1:33" ht="31.5" customHeight="1">
      <c r="A31" s="121">
        <v>4</v>
      </c>
      <c r="B31" s="2291" t="s">
        <v>70</v>
      </c>
      <c r="C31" s="2312" t="s">
        <v>70</v>
      </c>
      <c r="D31" s="2312" t="s">
        <v>70</v>
      </c>
      <c r="E31" s="2292" t="s">
        <v>70</v>
      </c>
      <c r="F31" s="21" t="s">
        <v>113</v>
      </c>
      <c r="G31" s="1134" t="str">
        <f>'XM.GUI MAIL'!$E$25</f>
        <v>50~60</v>
      </c>
      <c r="H31" s="1134" t="str">
        <f>'XM.GUI MAIL'!$F$25</f>
        <v>(55±3)</v>
      </c>
      <c r="I31" s="2088">
        <f>'XM.FILE GOC'!I25</f>
        <v>0</v>
      </c>
      <c r="J31" s="2089"/>
      <c r="K31" s="2088">
        <f>'XM.GUI MAIL'!L25</f>
        <v>0</v>
      </c>
      <c r="L31" s="2089"/>
      <c r="M31" s="2088">
        <f>'XM.FILE GOC'!O25</f>
        <v>0</v>
      </c>
      <c r="N31" s="2089"/>
      <c r="O31" s="2088">
        <f>'XM.GUI MAIL'!R25</f>
        <v>0</v>
      </c>
      <c r="P31" s="2089"/>
      <c r="Q31" s="2088">
        <f>'XM.FILE GOC'!U25</f>
        <v>0</v>
      </c>
      <c r="R31" s="2089"/>
      <c r="S31" s="2088">
        <f>'XM.GUI MAIL'!X25</f>
        <v>0</v>
      </c>
      <c r="T31" s="2089"/>
      <c r="U31" s="121"/>
      <c r="W31" s="121">
        <v>4</v>
      </c>
      <c r="X31" s="2291" t="s">
        <v>70</v>
      </c>
      <c r="Y31" s="2312" t="s">
        <v>70</v>
      </c>
      <c r="Z31" s="2312" t="s">
        <v>70</v>
      </c>
      <c r="AA31" s="2292" t="s">
        <v>70</v>
      </c>
      <c r="AB31" s="1872"/>
      <c r="AC31" s="1873"/>
      <c r="AD31" s="1872"/>
      <c r="AE31" s="1873"/>
      <c r="AF31" s="1872"/>
      <c r="AG31" s="1873"/>
    </row>
    <row r="32" spans="1:33" ht="31.5" customHeight="1">
      <c r="A32" s="121">
        <v>5</v>
      </c>
      <c r="B32" s="2291" t="s">
        <v>72</v>
      </c>
      <c r="C32" s="2312" t="s">
        <v>72</v>
      </c>
      <c r="D32" s="2312" t="s">
        <v>72</v>
      </c>
      <c r="E32" s="2292" t="s">
        <v>72</v>
      </c>
      <c r="F32" s="21" t="s">
        <v>113</v>
      </c>
      <c r="G32" s="1134" t="str">
        <f>'XM.GUI MAIL'!$E$26</f>
        <v>20~30</v>
      </c>
      <c r="H32" s="1134" t="str">
        <f>'XM.GUI MAIL'!$F$26</f>
        <v>(25±3)</v>
      </c>
      <c r="I32" s="2088">
        <f>'XM.FILE GOC'!I26</f>
        <v>0</v>
      </c>
      <c r="J32" s="2089"/>
      <c r="K32" s="2088">
        <f>'XM.GUI MAIL'!L26</f>
        <v>0</v>
      </c>
      <c r="L32" s="2089"/>
      <c r="M32" s="2088">
        <f>'XM.FILE GOC'!O26</f>
        <v>0</v>
      </c>
      <c r="N32" s="2089"/>
      <c r="O32" s="2088">
        <f>'XM.GUI MAIL'!R26</f>
        <v>0</v>
      </c>
      <c r="P32" s="2089"/>
      <c r="Q32" s="2088">
        <f>'XM.FILE GOC'!U26</f>
        <v>0</v>
      </c>
      <c r="R32" s="2089"/>
      <c r="S32" s="2088">
        <f>'XM.GUI MAIL'!X26</f>
        <v>0</v>
      </c>
      <c r="T32" s="2089"/>
      <c r="U32" s="121"/>
      <c r="W32" s="121">
        <v>5</v>
      </c>
      <c r="X32" s="2291" t="s">
        <v>72</v>
      </c>
      <c r="Y32" s="2312" t="s">
        <v>72</v>
      </c>
      <c r="Z32" s="2312" t="s">
        <v>72</v>
      </c>
      <c r="AA32" s="2292" t="s">
        <v>72</v>
      </c>
      <c r="AB32" s="1872"/>
      <c r="AC32" s="1873"/>
      <c r="AD32" s="1872"/>
      <c r="AE32" s="1873"/>
      <c r="AF32" s="1872"/>
      <c r="AG32" s="1873"/>
    </row>
    <row r="33" spans="1:33" ht="31.5" customHeight="1">
      <c r="A33" s="121">
        <v>6</v>
      </c>
      <c r="B33" s="2291" t="s">
        <v>1040</v>
      </c>
      <c r="C33" s="2312" t="s">
        <v>1040</v>
      </c>
      <c r="D33" s="2312" t="s">
        <v>1040</v>
      </c>
      <c r="E33" s="2292" t="s">
        <v>1040</v>
      </c>
      <c r="F33" s="21" t="s">
        <v>113</v>
      </c>
      <c r="G33" s="1134" t="str">
        <f>'XM.GUI MAIL'!$E$27</f>
        <v>35-45</v>
      </c>
      <c r="H33" s="1134" t="str">
        <f>'XM.GUI MAIL'!$F$27</f>
        <v>(40±3)</v>
      </c>
      <c r="I33" s="2088">
        <f>'XM.FILE GOC'!I27</f>
        <v>0</v>
      </c>
      <c r="J33" s="2089"/>
      <c r="K33" s="2088">
        <f>'XM.GUI MAIL'!L27</f>
        <v>0</v>
      </c>
      <c r="L33" s="2089"/>
      <c r="M33" s="2088">
        <f>'XM.FILE GOC'!O27</f>
        <v>0</v>
      </c>
      <c r="N33" s="2089"/>
      <c r="O33" s="2088">
        <f>'XM.GUI MAIL'!R27</f>
        <v>0</v>
      </c>
      <c r="P33" s="2089"/>
      <c r="Q33" s="2088">
        <f>'XM.FILE GOC'!U27</f>
        <v>0</v>
      </c>
      <c r="R33" s="2089"/>
      <c r="S33" s="2088">
        <f>'XM.GUI MAIL'!X27</f>
        <v>0</v>
      </c>
      <c r="T33" s="2089"/>
      <c r="U33" s="121"/>
      <c r="W33" s="121">
        <v>6</v>
      </c>
      <c r="X33" s="2291" t="s">
        <v>1040</v>
      </c>
      <c r="Y33" s="2312" t="s">
        <v>1040</v>
      </c>
      <c r="Z33" s="2312" t="s">
        <v>1040</v>
      </c>
      <c r="AA33" s="2292" t="s">
        <v>1040</v>
      </c>
      <c r="AB33" s="1872"/>
      <c r="AC33" s="1873"/>
      <c r="AD33" s="1872"/>
      <c r="AE33" s="1873"/>
      <c r="AF33" s="1872"/>
      <c r="AG33" s="1873"/>
    </row>
    <row r="34" spans="1:33" ht="31.5" customHeight="1">
      <c r="A34" s="121">
        <v>7</v>
      </c>
      <c r="B34" s="2291" t="s">
        <v>73</v>
      </c>
      <c r="C34" s="2312" t="s">
        <v>73</v>
      </c>
      <c r="D34" s="2312" t="s">
        <v>73</v>
      </c>
      <c r="E34" s="2292" t="s">
        <v>73</v>
      </c>
      <c r="F34" s="21" t="s">
        <v>113</v>
      </c>
      <c r="G34" s="1134" t="str">
        <f>'XM.GUI MAIL'!$E$28</f>
        <v>55~65</v>
      </c>
      <c r="H34" s="1134" t="str">
        <f>'XM.GUI MAIL'!$F$28</f>
        <v>(60±3)</v>
      </c>
      <c r="I34" s="2088">
        <f>'XM.FILE GOC'!I28</f>
        <v>0</v>
      </c>
      <c r="J34" s="2089"/>
      <c r="K34" s="2088">
        <f>'XM.GUI MAIL'!L28</f>
        <v>0</v>
      </c>
      <c r="L34" s="2089"/>
      <c r="M34" s="2088">
        <f>'XM.FILE GOC'!O28</f>
        <v>0</v>
      </c>
      <c r="N34" s="2089"/>
      <c r="O34" s="2088">
        <f>'XM.GUI MAIL'!R28</f>
        <v>0</v>
      </c>
      <c r="P34" s="2089"/>
      <c r="Q34" s="2088">
        <f>'XM.FILE GOC'!U28</f>
        <v>0</v>
      </c>
      <c r="R34" s="2089"/>
      <c r="S34" s="2088">
        <f>'XM.GUI MAIL'!X28</f>
        <v>0</v>
      </c>
      <c r="T34" s="2089"/>
      <c r="U34" s="121"/>
      <c r="W34" s="121">
        <v>7</v>
      </c>
      <c r="X34" s="2291" t="s">
        <v>73</v>
      </c>
      <c r="Y34" s="2312" t="s">
        <v>73</v>
      </c>
      <c r="Z34" s="2312" t="s">
        <v>73</v>
      </c>
      <c r="AA34" s="2292" t="s">
        <v>73</v>
      </c>
      <c r="AB34" s="1872"/>
      <c r="AC34" s="1873"/>
      <c r="AD34" s="1872"/>
      <c r="AE34" s="1873"/>
      <c r="AF34" s="1872"/>
      <c r="AG34" s="1873"/>
    </row>
    <row r="35" spans="1:33" ht="31.5" customHeight="1">
      <c r="A35" s="121">
        <v>8</v>
      </c>
      <c r="B35" s="2313" t="s">
        <v>74</v>
      </c>
      <c r="C35" s="2314" t="s">
        <v>74</v>
      </c>
      <c r="D35" s="2314" t="s">
        <v>74</v>
      </c>
      <c r="E35" s="2315" t="s">
        <v>74</v>
      </c>
      <c r="F35" s="21" t="s">
        <v>113</v>
      </c>
      <c r="G35" s="1134" t="str">
        <f>'XM.GUI MAIL'!$E$29</f>
        <v>65~75</v>
      </c>
      <c r="H35" s="1134" t="str">
        <f>'XM.GUI MAIL'!$F$29</f>
        <v>(70±3)</v>
      </c>
      <c r="I35" s="2171" t="str">
        <f>'XM.FILE GOC'!I29</f>
        <v>\</v>
      </c>
      <c r="J35" s="2171"/>
      <c r="K35" s="2088">
        <f>'XM.GUI MAIL'!L29</f>
        <v>0</v>
      </c>
      <c r="L35" s="2089"/>
      <c r="M35" s="2171" t="str">
        <f>'XM.FILE GOC'!O29</f>
        <v>\</v>
      </c>
      <c r="N35" s="2171"/>
      <c r="O35" s="2088">
        <f>'XM.GUI MAIL'!R29</f>
        <v>0</v>
      </c>
      <c r="P35" s="2089"/>
      <c r="Q35" s="2171" t="str">
        <f>'XM.FILE GOC'!U29</f>
        <v>\</v>
      </c>
      <c r="R35" s="2171"/>
      <c r="S35" s="2088">
        <f>'XM.GUI MAIL'!X29</f>
        <v>0</v>
      </c>
      <c r="T35" s="2089"/>
      <c r="U35" s="121"/>
      <c r="W35" s="121">
        <v>8</v>
      </c>
      <c r="X35" s="2313" t="s">
        <v>74</v>
      </c>
      <c r="Y35" s="2314" t="s">
        <v>74</v>
      </c>
      <c r="Z35" s="2314" t="s">
        <v>74</v>
      </c>
      <c r="AA35" s="2315" t="s">
        <v>74</v>
      </c>
      <c r="AB35" s="1872"/>
      <c r="AC35" s="1873"/>
      <c r="AD35" s="1872"/>
      <c r="AE35" s="1873"/>
      <c r="AF35" s="1872"/>
      <c r="AG35" s="1873"/>
    </row>
    <row r="36" spans="1:33" ht="33.75" customHeight="1">
      <c r="A36" s="286"/>
      <c r="B36" s="282"/>
      <c r="C36" s="283"/>
      <c r="D36" s="283"/>
      <c r="E36" s="283"/>
      <c r="F36" s="283"/>
      <c r="G36" s="285" t="s">
        <v>118</v>
      </c>
      <c r="H36" s="285"/>
      <c r="I36" s="283"/>
      <c r="J36" s="283"/>
      <c r="K36" s="283"/>
      <c r="L36" s="283"/>
      <c r="M36" s="283"/>
      <c r="N36" s="283"/>
      <c r="O36" s="283"/>
      <c r="P36" s="283"/>
      <c r="Q36" s="283"/>
      <c r="R36" s="283"/>
      <c r="S36" s="283"/>
      <c r="T36" s="283"/>
      <c r="U36" s="284"/>
      <c r="W36" s="286"/>
      <c r="X36" s="2316"/>
      <c r="Y36" s="2316"/>
      <c r="Z36" s="2316"/>
      <c r="AA36" s="2316"/>
      <c r="AB36" s="2316"/>
      <c r="AC36" s="2316"/>
      <c r="AD36" s="2316"/>
      <c r="AE36" s="2316"/>
      <c r="AF36" s="2316"/>
      <c r="AG36" s="2316"/>
    </row>
    <row r="37" spans="1:33" ht="33.75" customHeight="1">
      <c r="A37" s="121" t="s">
        <v>7</v>
      </c>
      <c r="B37" s="2291" t="s">
        <v>100</v>
      </c>
      <c r="C37" s="2312"/>
      <c r="D37" s="2312"/>
      <c r="E37" s="2292"/>
      <c r="F37" s="1154" t="s">
        <v>101</v>
      </c>
      <c r="G37" s="1094" t="s">
        <v>1424</v>
      </c>
      <c r="H37" s="1618" t="s">
        <v>1412</v>
      </c>
      <c r="I37" s="2172" t="s">
        <v>119</v>
      </c>
      <c r="J37" s="2178"/>
      <c r="K37" s="2178"/>
      <c r="L37" s="2183"/>
      <c r="M37" s="2172" t="s">
        <v>119</v>
      </c>
      <c r="N37" s="2178"/>
      <c r="O37" s="2178"/>
      <c r="P37" s="2183"/>
      <c r="Q37" s="2172" t="s">
        <v>119</v>
      </c>
      <c r="R37" s="2178"/>
      <c r="S37" s="2178"/>
      <c r="T37" s="2183"/>
      <c r="U37" s="1148"/>
      <c r="W37" s="121" t="s">
        <v>7</v>
      </c>
      <c r="X37" s="2289" t="s">
        <v>100</v>
      </c>
      <c r="Y37" s="2289"/>
      <c r="Z37" s="2289"/>
      <c r="AA37" s="2289"/>
      <c r="AB37" s="2268" t="s">
        <v>1526</v>
      </c>
      <c r="AC37" s="2130"/>
      <c r="AD37" s="2268" t="s">
        <v>1526</v>
      </c>
      <c r="AE37" s="2130"/>
      <c r="AF37" s="2268" t="s">
        <v>1526</v>
      </c>
      <c r="AG37" s="2130"/>
    </row>
    <row r="38" spans="1:33" ht="33.75" customHeight="1">
      <c r="A38" s="121">
        <v>1</v>
      </c>
      <c r="B38" s="2291" t="s">
        <v>54</v>
      </c>
      <c r="C38" s="2312"/>
      <c r="D38" s="2312"/>
      <c r="E38" s="2292"/>
      <c r="F38" s="23" t="s">
        <v>51</v>
      </c>
      <c r="G38" s="289" t="str">
        <f>'XM.GUI MAIL'!$E$31</f>
        <v>300-360</v>
      </c>
      <c r="H38" s="289" t="str">
        <f>'XM.GUI MAIL'!$F$31</f>
        <v>300-360</v>
      </c>
      <c r="I38" s="2223">
        <f>'XM.FILE GOC'!I31</f>
        <v>0</v>
      </c>
      <c r="J38" s="2224"/>
      <c r="K38" s="2224"/>
      <c r="L38" s="2224"/>
      <c r="M38" s="2223">
        <f>'XM.FILE GOC'!O31</f>
        <v>0</v>
      </c>
      <c r="N38" s="2224"/>
      <c r="O38" s="2224"/>
      <c r="P38" s="2224"/>
      <c r="Q38" s="2223">
        <f>'XM.FILE GOC'!U31</f>
        <v>0</v>
      </c>
      <c r="R38" s="2224"/>
      <c r="S38" s="2224"/>
      <c r="T38" s="2224"/>
      <c r="U38" s="121"/>
      <c r="W38" s="121">
        <v>1</v>
      </c>
      <c r="X38" s="2291" t="s">
        <v>54</v>
      </c>
      <c r="Y38" s="2312"/>
      <c r="Z38" s="2312"/>
      <c r="AA38" s="2292"/>
      <c r="AB38" s="1872"/>
      <c r="AC38" s="1873"/>
      <c r="AD38" s="1872"/>
      <c r="AE38" s="1873"/>
      <c r="AF38" s="1872"/>
      <c r="AG38" s="1873"/>
    </row>
    <row r="39" spans="1:33" ht="33.75" customHeight="1">
      <c r="A39" s="121">
        <v>2</v>
      </c>
      <c r="B39" s="2291" t="s">
        <v>94</v>
      </c>
      <c r="C39" s="2312"/>
      <c r="D39" s="2312"/>
      <c r="E39" s="2292"/>
      <c r="F39" s="23" t="s">
        <v>51</v>
      </c>
      <c r="G39" s="290" t="str">
        <f>'XM.GUI MAIL'!$E$32</f>
        <v>30-50</v>
      </c>
      <c r="H39" s="290" t="str">
        <f>'XM.GUI MAIL'!$F$32</f>
        <v>30-50</v>
      </c>
      <c r="I39" s="2223">
        <f>'XM.FILE GOC'!I32</f>
        <v>0</v>
      </c>
      <c r="J39" s="2224"/>
      <c r="K39" s="2224"/>
      <c r="L39" s="2224"/>
      <c r="M39" s="2223">
        <f>'XM.FILE GOC'!O32</f>
        <v>0</v>
      </c>
      <c r="N39" s="2224"/>
      <c r="O39" s="2224"/>
      <c r="P39" s="2224"/>
      <c r="Q39" s="2223">
        <f>'XM.FILE GOC'!U32</f>
        <v>0</v>
      </c>
      <c r="R39" s="2224"/>
      <c r="S39" s="2224"/>
      <c r="T39" s="2224"/>
      <c r="U39" s="121"/>
      <c r="W39" s="121">
        <v>2</v>
      </c>
      <c r="X39" s="2291" t="s">
        <v>94</v>
      </c>
      <c r="Y39" s="2312"/>
      <c r="Z39" s="2312"/>
      <c r="AA39" s="2292"/>
      <c r="AB39" s="1868"/>
      <c r="AC39" s="1874"/>
      <c r="AD39" s="1868"/>
      <c r="AE39" s="1874"/>
      <c r="AF39" s="1868"/>
      <c r="AG39" s="1874"/>
    </row>
    <row r="40" spans="1:33" ht="18.75" customHeight="1">
      <c r="A40" s="16"/>
      <c r="B40" s="1585"/>
      <c r="C40" s="1585"/>
      <c r="D40" s="1585"/>
      <c r="E40" s="1585"/>
      <c r="F40" s="1002"/>
      <c r="G40" s="1002"/>
      <c r="H40" s="1002"/>
      <c r="I40" s="1002"/>
      <c r="J40" s="1002"/>
      <c r="K40" s="1002"/>
      <c r="L40" s="1002"/>
      <c r="M40" s="1002"/>
      <c r="N40" s="1002"/>
      <c r="O40" s="1002"/>
      <c r="P40" s="1002"/>
      <c r="Q40" s="1002"/>
      <c r="R40" s="1002"/>
      <c r="S40" s="1002"/>
      <c r="T40" s="1002"/>
      <c r="U40" s="1002"/>
      <c r="V40" s="1002"/>
    </row>
  </sheetData>
  <mergeCells count="173">
    <mergeCell ref="AB4:AC4"/>
    <mergeCell ref="AD4:AE4"/>
    <mergeCell ref="AF4:AG4"/>
    <mergeCell ref="AB37:AC37"/>
    <mergeCell ref="AD37:AE37"/>
    <mergeCell ref="AF37:AG37"/>
    <mergeCell ref="AB27:AC27"/>
    <mergeCell ref="AD27:AE27"/>
    <mergeCell ref="AF27:AG27"/>
    <mergeCell ref="B38:E38"/>
    <mergeCell ref="B39:E39"/>
    <mergeCell ref="B35:E35"/>
    <mergeCell ref="B37:E37"/>
    <mergeCell ref="S35:T35"/>
    <mergeCell ref="M37:P37"/>
    <mergeCell ref="Q37:T37"/>
    <mergeCell ref="I35:J35"/>
    <mergeCell ref="K35:L35"/>
    <mergeCell ref="M35:N35"/>
    <mergeCell ref="O35:P35"/>
    <mergeCell ref="Q35:R35"/>
    <mergeCell ref="I37:L37"/>
    <mergeCell ref="K33:L33"/>
    <mergeCell ref="M33:N33"/>
    <mergeCell ref="O33:P33"/>
    <mergeCell ref="Q33:R33"/>
    <mergeCell ref="M39:P39"/>
    <mergeCell ref="Q39:T39"/>
    <mergeCell ref="M38:P38"/>
    <mergeCell ref="Q38:T38"/>
    <mergeCell ref="I38:L38"/>
    <mergeCell ref="I39:L39"/>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A24:A25"/>
    <mergeCell ref="I27:J27"/>
    <mergeCell ref="K27:L27"/>
    <mergeCell ref="M27:N27"/>
    <mergeCell ref="O27:P27"/>
    <mergeCell ref="Q27:R27"/>
    <mergeCell ref="I29:J29"/>
    <mergeCell ref="K29:L29"/>
    <mergeCell ref="M29:N29"/>
    <mergeCell ref="O29:P29"/>
    <mergeCell ref="Q29:R29"/>
    <mergeCell ref="B24:E25"/>
    <mergeCell ref="B27:E27"/>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W4:W5"/>
    <mergeCell ref="X4:AA5"/>
    <mergeCell ref="W6:W8"/>
    <mergeCell ref="X6:Y8"/>
    <mergeCell ref="Z6:AA6"/>
    <mergeCell ref="Z7:AA7"/>
    <mergeCell ref="Z8:AA8"/>
    <mergeCell ref="W9:W11"/>
    <mergeCell ref="X9:Y11"/>
    <mergeCell ref="Z9:AA9"/>
    <mergeCell ref="Z10:AA10"/>
    <mergeCell ref="Z11:AA11"/>
    <mergeCell ref="W12:W13"/>
    <mergeCell ref="X12:Y13"/>
    <mergeCell ref="Z12:AA12"/>
    <mergeCell ref="Z13:AA13"/>
    <mergeCell ref="W14:W15"/>
    <mergeCell ref="X14:Y15"/>
    <mergeCell ref="Z14:AA14"/>
    <mergeCell ref="Z15:AA15"/>
    <mergeCell ref="W16:W17"/>
    <mergeCell ref="X16:AA16"/>
    <mergeCell ref="X17:AA17"/>
    <mergeCell ref="W18:W19"/>
    <mergeCell ref="X18:AA19"/>
    <mergeCell ref="X20:AA20"/>
    <mergeCell ref="X21:AA21"/>
    <mergeCell ref="X22:AA22"/>
    <mergeCell ref="X23:AA23"/>
    <mergeCell ref="W24:W25"/>
    <mergeCell ref="X24:AA25"/>
    <mergeCell ref="X27:AA27"/>
    <mergeCell ref="X37:AA37"/>
    <mergeCell ref="X38:AA38"/>
    <mergeCell ref="X39:AA39"/>
    <mergeCell ref="X28:AA28"/>
    <mergeCell ref="X29:AA29"/>
    <mergeCell ref="X30:AA30"/>
    <mergeCell ref="X31:AA31"/>
    <mergeCell ref="X32:AA32"/>
    <mergeCell ref="X33:AA33"/>
    <mergeCell ref="X34:AA34"/>
    <mergeCell ref="X35:AA35"/>
    <mergeCell ref="X36:AG36"/>
  </mergeCells>
  <phoneticPr fontId="6" type="noConversion"/>
  <conditionalFormatting sqref="I38 M38 Q38">
    <cfRule type="expression" dxfId="3417" priority="1453">
      <formula>I38&lt;300</formula>
    </cfRule>
    <cfRule type="expression" dxfId="3416" priority="1454">
      <formula>I38&gt;360</formula>
    </cfRule>
  </conditionalFormatting>
  <conditionalFormatting sqref="I39 M39 Q39">
    <cfRule type="expression" dxfId="3415" priority="1451">
      <formula>I39&lt;30</formula>
    </cfRule>
    <cfRule type="expression" dxfId="3414" priority="1452">
      <formula>I39&gt;50</formula>
    </cfRule>
  </conditionalFormatting>
  <conditionalFormatting sqref="K35 K28:K29 I28:I29 O35 S35 O28:O29 S28:S29 M28:M29 Q28:Q29">
    <cfRule type="cellIs" dxfId="3413" priority="495" operator="between">
      <formula>65</formula>
      <formula>66.9</formula>
    </cfRule>
    <cfRule type="cellIs" dxfId="3412" priority="496" operator="between">
      <formula>73.1</formula>
      <formula>75</formula>
    </cfRule>
    <cfRule type="expression" dxfId="3411" priority="497">
      <formula>I28&lt;65</formula>
    </cfRule>
    <cfRule type="expression" dxfId="3410" priority="498">
      <formula>I28&gt;75</formula>
    </cfRule>
  </conditionalFormatting>
  <conditionalFormatting sqref="K30:K31 I30:I31 O30:O31 S30:S31 M30:M31 Q30:Q31">
    <cfRule type="cellIs" dxfId="3409" priority="487" operator="between">
      <formula>50</formula>
      <formula>51.9</formula>
    </cfRule>
    <cfRule type="cellIs" dxfId="3408" priority="488" operator="between">
      <formula>58.1</formula>
      <formula>60</formula>
    </cfRule>
    <cfRule type="expression" dxfId="3407" priority="489">
      <formula>I30&lt;50</formula>
    </cfRule>
    <cfRule type="expression" dxfId="3406" priority="490">
      <formula>I30&gt;60</formula>
    </cfRule>
  </conditionalFormatting>
  <conditionalFormatting sqref="K32 I32 O32 S32 M32 Q32">
    <cfRule type="cellIs" dxfId="3405" priority="483" operator="between">
      <formula>20</formula>
      <formula>21.9</formula>
    </cfRule>
    <cfRule type="cellIs" dxfId="3404" priority="484" operator="between">
      <formula>28.1</formula>
      <formula>30</formula>
    </cfRule>
    <cfRule type="expression" dxfId="3403" priority="485">
      <formula>I32&lt;20</formula>
    </cfRule>
    <cfRule type="expression" dxfId="3402" priority="486">
      <formula>I32&gt;30</formula>
    </cfRule>
  </conditionalFormatting>
  <conditionalFormatting sqref="K33 I33 O33 S33 M33 Q33">
    <cfRule type="cellIs" dxfId="3401" priority="479" operator="between">
      <formula>35</formula>
      <formula>36.9</formula>
    </cfRule>
    <cfRule type="cellIs" dxfId="3400" priority="480" operator="between">
      <formula>43.1</formula>
      <formula>45</formula>
    </cfRule>
    <cfRule type="expression" dxfId="3399" priority="481">
      <formula>I33&lt;35</formula>
    </cfRule>
    <cfRule type="expression" dxfId="3398" priority="482">
      <formula>I33&gt;45</formula>
    </cfRule>
  </conditionalFormatting>
  <conditionalFormatting sqref="K34 I34 O34 S34 M34 Q34">
    <cfRule type="cellIs" dxfId="3397" priority="475" operator="between">
      <formula>55</formula>
      <formula>56.9</formula>
    </cfRule>
    <cfRule type="cellIs" dxfId="3396" priority="476" operator="between">
      <formula>63.1</formula>
      <formula>65</formula>
    </cfRule>
    <cfRule type="expression" dxfId="3395" priority="477">
      <formula>I34&lt;55</formula>
    </cfRule>
    <cfRule type="expression" dxfId="3394" priority="478">
      <formula>I34&gt;65</formula>
    </cfRule>
  </conditionalFormatting>
  <conditionalFormatting sqref="I6 I9 M6 M9 Q6 Q9">
    <cfRule type="cellIs" dxfId="3393" priority="255" operator="between">
      <formula>25</formula>
      <formula>27.99</formula>
    </cfRule>
    <cfRule type="cellIs" dxfId="3392" priority="256" operator="between">
      <formula>32.1</formula>
      <formula>35</formula>
    </cfRule>
    <cfRule type="expression" dxfId="3391" priority="257">
      <formula>I6&lt;25</formula>
    </cfRule>
    <cfRule type="expression" dxfId="3390" priority="258">
      <formula>I6&gt;35</formula>
    </cfRule>
  </conditionalFormatting>
  <conditionalFormatting sqref="I12 I14 M12 M14 Q12 Q14">
    <cfRule type="expression" dxfId="3389" priority="249" stopIfTrue="1">
      <formula>I12&gt;80</formula>
    </cfRule>
    <cfRule type="expression" dxfId="3388" priority="250" stopIfTrue="1">
      <formula>I12&lt;60</formula>
    </cfRule>
  </conditionalFormatting>
  <conditionalFormatting sqref="I16 M16 Q16">
    <cfRule type="cellIs" dxfId="3387" priority="243" operator="between">
      <formula>130</formula>
      <formula>134.99</formula>
    </cfRule>
    <cfRule type="cellIs" dxfId="3386" priority="244" operator="between">
      <formula>145.1</formula>
      <formula>150</formula>
    </cfRule>
    <cfRule type="expression" dxfId="3385" priority="245">
      <formula>I16&lt;130</formula>
    </cfRule>
    <cfRule type="expression" dxfId="3384" priority="246">
      <formula>I16&gt;150</formula>
    </cfRule>
  </conditionalFormatting>
  <conditionalFormatting sqref="I17 M17 Q17">
    <cfRule type="cellIs" dxfId="3383" priority="239" operator="between">
      <formula>7</formula>
      <formula>7.99</formula>
    </cfRule>
    <cfRule type="cellIs" dxfId="3382" priority="240" operator="between">
      <formula>10.1</formula>
      <formula>12</formula>
    </cfRule>
    <cfRule type="expression" dxfId="3381" priority="241">
      <formula>I17&lt;7</formula>
    </cfRule>
    <cfRule type="expression" dxfId="3380" priority="242">
      <formula>I17&gt;12</formula>
    </cfRule>
  </conditionalFormatting>
  <conditionalFormatting sqref="I18 M18 Q18">
    <cfRule type="cellIs" dxfId="3379" priority="236" operator="between">
      <formula>16.1</formula>
      <formula>18</formula>
    </cfRule>
    <cfRule type="expression" dxfId="3378" priority="237">
      <formula>I18&lt;12</formula>
    </cfRule>
    <cfRule type="expression" dxfId="3377" priority="238">
      <formula>I18&gt;18</formula>
    </cfRule>
  </conditionalFormatting>
  <conditionalFormatting sqref="I19 M19 Q19">
    <cfRule type="cellIs" dxfId="3376" priority="232" operator="between">
      <formula>1.6</formula>
      <formula>1.699</formula>
    </cfRule>
    <cfRule type="cellIs" dxfId="3375" priority="233" operator="between">
      <formula>1.91</formula>
      <formula>2.2</formula>
    </cfRule>
    <cfRule type="expression" dxfId="3374" priority="234">
      <formula>I19&lt;1.6</formula>
    </cfRule>
    <cfRule type="expression" dxfId="3373" priority="235">
      <formula>I19&gt;2.2</formula>
    </cfRule>
  </conditionalFormatting>
  <conditionalFormatting sqref="I20 M20 Q20">
    <cfRule type="cellIs" dxfId="3372" priority="228" operator="between">
      <formula>30%</formula>
      <formula>39.99%</formula>
    </cfRule>
    <cfRule type="cellIs" dxfId="3371" priority="229" operator="between">
      <formula>50.01%</formula>
      <formula>60%</formula>
    </cfRule>
    <cfRule type="expression" dxfId="3370" priority="230">
      <formula>I20&lt;30%</formula>
    </cfRule>
    <cfRule type="expression" dxfId="3369" priority="231">
      <formula>I20&gt;60%</formula>
    </cfRule>
  </conditionalFormatting>
  <conditionalFormatting sqref="I21 M21 Q21">
    <cfRule type="cellIs" dxfId="3368" priority="224" operator="between">
      <formula>15%</formula>
      <formula>16.99%</formula>
    </cfRule>
    <cfRule type="cellIs" dxfId="3367" priority="225" operator="between">
      <formula>27.01%</formula>
      <formula>30%</formula>
    </cfRule>
    <cfRule type="expression" dxfId="3366" priority="226">
      <formula>I21&lt;15%</formula>
    </cfRule>
    <cfRule type="expression" dxfId="3365" priority="227">
      <formula>I21&gt;30%</formula>
    </cfRule>
  </conditionalFormatting>
  <conditionalFormatting sqref="I22 M22 Q22">
    <cfRule type="cellIs" dxfId="3364" priority="220" operator="between">
      <formula>5%</formula>
      <formula>6.99%</formula>
    </cfRule>
    <cfRule type="cellIs" dxfId="3363" priority="221" operator="between">
      <formula>12.99%</formula>
      <formula>15%</formula>
    </cfRule>
    <cfRule type="expression" dxfId="3362" priority="222">
      <formula>I22&lt;5%</formula>
    </cfRule>
    <cfRule type="expression" dxfId="3361" priority="223">
      <formula>I22&gt;15%</formula>
    </cfRule>
  </conditionalFormatting>
  <conditionalFormatting sqref="I23 M23 Q23">
    <cfRule type="cellIs" dxfId="3360" priority="216" operator="between">
      <formula>0.5%</formula>
      <formula>0.599%</formula>
    </cfRule>
    <cfRule type="cellIs" dxfId="3359" priority="217" operator="between">
      <formula>1.41%</formula>
      <formula>1.5%</formula>
    </cfRule>
    <cfRule type="expression" dxfId="3358" priority="218">
      <formula>I23&lt;0.5%</formula>
    </cfRule>
    <cfRule type="expression" dxfId="3357" priority="219">
      <formula>I23&gt;1.5%</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8.xml><?xml version="1.0" encoding="utf-8"?>
<worksheet xmlns="http://schemas.openxmlformats.org/spreadsheetml/2006/main" xmlns:r="http://schemas.openxmlformats.org/officeDocument/2006/relationships">
  <sheetPr>
    <tabColor theme="5" tint="0.39997558519241921"/>
  </sheetPr>
  <dimension ref="A1:AE39"/>
  <sheetViews>
    <sheetView zoomScale="55" zoomScaleNormal="55" zoomScaleSheetLayoutView="40" workbookViewId="0">
      <selection activeCell="AD30" sqref="AD30"/>
    </sheetView>
  </sheetViews>
  <sheetFormatPr defaultRowHeight="15"/>
  <cols>
    <col min="1" max="1" width="3.75" style="15" customWidth="1"/>
    <col min="2" max="2" width="9.125" style="15" customWidth="1"/>
    <col min="3" max="3" width="5.7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hidden="1" customWidth="1"/>
    <col min="14" max="14" width="3.375" style="15" hidden="1" customWidth="1"/>
    <col min="15" max="15" width="7.5" style="15" hidden="1" customWidth="1"/>
    <col min="16" max="16" width="4.375" style="15" hidden="1" customWidth="1"/>
    <col min="17" max="17" width="8.5" style="15" customWidth="1"/>
    <col min="18" max="18" width="4" style="15" customWidth="1"/>
    <col min="19" max="19" width="8.5" style="15" customWidth="1"/>
    <col min="20" max="20" width="5.625" style="15" customWidth="1"/>
    <col min="21" max="21" width="13.5" style="15" customWidth="1"/>
    <col min="22" max="22" width="9" style="15"/>
    <col min="23" max="23" width="6.25" style="15" customWidth="1"/>
    <col min="24" max="24" width="9" style="15"/>
    <col min="25" max="25" width="3.75" style="15" customWidth="1"/>
    <col min="26" max="26" width="9" style="15"/>
    <col min="27" max="27" width="9.875" style="15" customWidth="1"/>
    <col min="28" max="29" width="26.875" style="15" customWidth="1"/>
    <col min="30" max="31" width="25.25" style="15" customWidth="1"/>
    <col min="32" max="16384" width="9" style="15"/>
  </cols>
  <sheetData>
    <row r="1" spans="1:31" ht="25.5" customHeight="1">
      <c r="A1" s="2327" t="s">
        <v>604</v>
      </c>
      <c r="B1" s="2327"/>
      <c r="C1" s="2327"/>
      <c r="D1" s="2327"/>
      <c r="E1" s="2327"/>
      <c r="F1" s="2327"/>
      <c r="G1" s="2327"/>
      <c r="H1" s="2327"/>
      <c r="I1" s="2327"/>
      <c r="J1" s="2327"/>
      <c r="K1" s="2327"/>
      <c r="L1" s="2327"/>
      <c r="M1" s="2327"/>
      <c r="N1" s="2327"/>
      <c r="O1" s="2327"/>
      <c r="P1" s="2327"/>
      <c r="Q1" s="2327"/>
      <c r="R1" s="2327"/>
      <c r="S1" s="1139"/>
      <c r="T1" s="1139"/>
      <c r="U1" s="1802" t="s">
        <v>1527</v>
      </c>
      <c r="W1" s="1799"/>
      <c r="X1" s="1799"/>
      <c r="Y1" s="1799"/>
      <c r="Z1" s="1799"/>
      <c r="AA1" s="1799"/>
      <c r="AB1" s="1799"/>
      <c r="AC1" s="1799"/>
      <c r="AD1" s="1799"/>
      <c r="AE1" s="1804" t="s">
        <v>1528</v>
      </c>
    </row>
    <row r="2" spans="1:31" ht="43.5" customHeight="1">
      <c r="A2" s="2186" t="s">
        <v>238</v>
      </c>
      <c r="B2" s="2186"/>
      <c r="C2" s="2186"/>
      <c r="D2" s="2186"/>
      <c r="E2" s="2186"/>
      <c r="F2" s="2186"/>
      <c r="G2" s="2186"/>
      <c r="H2" s="2186"/>
      <c r="I2" s="2186"/>
      <c r="J2" s="2186"/>
      <c r="K2" s="2186"/>
      <c r="L2" s="2186"/>
      <c r="M2" s="2186"/>
      <c r="N2" s="2186"/>
      <c r="O2" s="2186"/>
      <c r="P2" s="2186"/>
      <c r="Q2" s="2186"/>
      <c r="R2" s="2187"/>
      <c r="S2" s="2162" t="s">
        <v>96</v>
      </c>
      <c r="T2" s="2165"/>
      <c r="U2" s="1787" t="s">
        <v>1522</v>
      </c>
      <c r="W2" s="1798"/>
      <c r="X2" s="1798"/>
      <c r="Y2" s="1798"/>
      <c r="Z2" s="1798"/>
      <c r="AA2" s="1798"/>
      <c r="AB2" s="1871"/>
      <c r="AC2" s="1871"/>
      <c r="AD2" s="1798"/>
      <c r="AE2" s="1798"/>
    </row>
    <row r="3" spans="1:31" ht="27" customHeight="1">
      <c r="B3" s="1704" t="s">
        <v>234</v>
      </c>
      <c r="C3" s="1705"/>
      <c r="D3" s="1648"/>
      <c r="E3" s="1647"/>
      <c r="F3" s="1649" t="str">
        <f>MENU!$AC$9</f>
        <v>2023/03/21</v>
      </c>
      <c r="G3" s="1647"/>
      <c r="H3" s="1646"/>
      <c r="I3" s="2329"/>
      <c r="J3" s="2329"/>
      <c r="K3" s="2329"/>
      <c r="L3" s="2329"/>
      <c r="M3" s="1773"/>
      <c r="N3" s="1773"/>
      <c r="O3" s="1773"/>
      <c r="P3" s="1773"/>
      <c r="Q3" s="1773"/>
      <c r="R3" s="1773"/>
      <c r="S3" s="2197" t="str">
        <f>MENU!AD7</f>
        <v>L.Yen</v>
      </c>
      <c r="T3" s="2198"/>
      <c r="U3" s="1763"/>
      <c r="X3" s="1704" t="s">
        <v>234</v>
      </c>
      <c r="Y3" s="1705"/>
      <c r="Z3" s="1648"/>
      <c r="AA3" s="1647"/>
      <c r="AB3" s="1801" t="str">
        <f>$F$3</f>
        <v>2023/03/21</v>
      </c>
      <c r="AC3" s="1801"/>
      <c r="AD3" s="1801"/>
      <c r="AE3" s="1647"/>
    </row>
    <row r="4" spans="1:31" s="16" customFormat="1" ht="30.75" customHeight="1">
      <c r="A4" s="2317" t="s">
        <v>7</v>
      </c>
      <c r="B4" s="2272" t="s">
        <v>79</v>
      </c>
      <c r="C4" s="2273"/>
      <c r="D4" s="2273"/>
      <c r="E4" s="2274"/>
      <c r="F4" s="2278" t="s">
        <v>136</v>
      </c>
      <c r="G4" s="2125" t="s">
        <v>1424</v>
      </c>
      <c r="H4" s="2173" t="s">
        <v>1412</v>
      </c>
      <c r="I4" s="2128">
        <v>0.76041666666666663</v>
      </c>
      <c r="J4" s="2129"/>
      <c r="K4" s="2129"/>
      <c r="L4" s="2130"/>
      <c r="M4" s="2128">
        <v>0.92708333333333337</v>
      </c>
      <c r="N4" s="2129"/>
      <c r="O4" s="2129"/>
      <c r="P4" s="2130"/>
      <c r="Q4" s="2128">
        <v>9.375E-2</v>
      </c>
      <c r="R4" s="2129"/>
      <c r="S4" s="2129"/>
      <c r="T4" s="2130"/>
      <c r="U4" s="1766" t="s">
        <v>98</v>
      </c>
      <c r="W4" s="2317" t="s">
        <v>7</v>
      </c>
      <c r="X4" s="2272" t="s">
        <v>79</v>
      </c>
      <c r="Y4" s="2273"/>
      <c r="Z4" s="2273"/>
      <c r="AA4" s="2274"/>
      <c r="AB4" s="2128">
        <v>0.76041666666666663</v>
      </c>
      <c r="AC4" s="2332"/>
      <c r="AD4" s="2128">
        <v>9.375E-2</v>
      </c>
      <c r="AE4" s="2332"/>
    </row>
    <row r="5" spans="1:31" s="16" customFormat="1" ht="30.75" customHeight="1">
      <c r="A5" s="2318"/>
      <c r="B5" s="2275"/>
      <c r="C5" s="2276"/>
      <c r="D5" s="2276"/>
      <c r="E5" s="2277"/>
      <c r="F5" s="2279"/>
      <c r="G5" s="2126"/>
      <c r="H5" s="2174"/>
      <c r="I5" s="60" t="s">
        <v>145</v>
      </c>
      <c r="J5" s="2134" t="s">
        <v>1</v>
      </c>
      <c r="K5" s="2135"/>
      <c r="L5" s="2136"/>
      <c r="M5" s="60" t="s">
        <v>145</v>
      </c>
      <c r="N5" s="2134" t="s">
        <v>1</v>
      </c>
      <c r="O5" s="2135"/>
      <c r="P5" s="2136"/>
      <c r="Q5" s="60" t="s">
        <v>145</v>
      </c>
      <c r="R5" s="2134" t="s">
        <v>1</v>
      </c>
      <c r="S5" s="2135"/>
      <c r="T5" s="2136"/>
      <c r="U5" s="4" t="s">
        <v>99</v>
      </c>
      <c r="W5" s="2318"/>
      <c r="X5" s="2275"/>
      <c r="Y5" s="2276"/>
      <c r="Z5" s="2276"/>
      <c r="AA5" s="2277"/>
      <c r="AB5" s="1881" t="s">
        <v>1537</v>
      </c>
      <c r="AC5" s="1873" t="s">
        <v>1538</v>
      </c>
      <c r="AD5" s="1881" t="s">
        <v>1537</v>
      </c>
      <c r="AE5" s="1873" t="s">
        <v>1538</v>
      </c>
    </row>
    <row r="6" spans="1:31" ht="32.25" customHeight="1">
      <c r="A6" s="2317">
        <v>1</v>
      </c>
      <c r="B6" s="2272" t="s">
        <v>147</v>
      </c>
      <c r="C6" s="2322"/>
      <c r="D6" s="2286" t="s">
        <v>108</v>
      </c>
      <c r="E6" s="2287"/>
      <c r="F6" s="1762" t="s">
        <v>4</v>
      </c>
      <c r="G6" s="1000" t="str">
        <f>'XM.GUI MAIL'!$E$6</f>
        <v>25~35</v>
      </c>
      <c r="H6" s="1000" t="str">
        <f>'XM.GUI MAIL'!$F$6</f>
        <v>(30±2)</v>
      </c>
      <c r="I6" s="1733">
        <f>'XM.GUI MAIL'!AA6</f>
        <v>0</v>
      </c>
      <c r="J6" s="1674" t="s">
        <v>8</v>
      </c>
      <c r="K6" s="1675">
        <f>'XM.GUI MAIL'!AD6</f>
        <v>0</v>
      </c>
      <c r="L6" s="1676" t="s">
        <v>9</v>
      </c>
      <c r="M6" s="1733">
        <f>'XM.GUI MAIL'!AG6</f>
        <v>0</v>
      </c>
      <c r="N6" s="1674" t="s">
        <v>8</v>
      </c>
      <c r="O6" s="1675">
        <f>'XM.GUI MAIL'!AJ6</f>
        <v>0</v>
      </c>
      <c r="P6" s="1676" t="s">
        <v>9</v>
      </c>
      <c r="Q6" s="1782">
        <f>'XM.GUI MAIL'!AM6</f>
        <v>0</v>
      </c>
      <c r="R6" s="1674" t="s">
        <v>8</v>
      </c>
      <c r="S6" s="1675">
        <f>'XM.GUI MAIL'!AP6</f>
        <v>0</v>
      </c>
      <c r="T6" s="1676" t="s">
        <v>9</v>
      </c>
      <c r="U6" s="121" t="s">
        <v>42</v>
      </c>
      <c r="W6" s="2317">
        <v>1</v>
      </c>
      <c r="X6" s="2272" t="s">
        <v>147</v>
      </c>
      <c r="Y6" s="2322"/>
      <c r="Z6" s="2286" t="s">
        <v>108</v>
      </c>
      <c r="AA6" s="2287"/>
      <c r="AB6" s="1872"/>
      <c r="AC6" s="1873"/>
      <c r="AD6" s="1872"/>
      <c r="AE6" s="1873"/>
    </row>
    <row r="7" spans="1:31" ht="32.25" customHeight="1">
      <c r="A7" s="2321"/>
      <c r="B7" s="2323"/>
      <c r="C7" s="2324"/>
      <c r="D7" s="2291" t="s">
        <v>109</v>
      </c>
      <c r="E7" s="2292"/>
      <c r="F7" s="1762" t="s">
        <v>58</v>
      </c>
      <c r="G7" s="1000" t="s">
        <v>110</v>
      </c>
      <c r="H7" s="1000"/>
      <c r="I7" s="60"/>
      <c r="J7" s="1199" t="s">
        <v>8</v>
      </c>
      <c r="K7" s="65">
        <f>K6/25*840/1000</f>
        <v>0</v>
      </c>
      <c r="L7" s="64" t="s">
        <v>10</v>
      </c>
      <c r="M7" s="60"/>
      <c r="N7" s="1199" t="s">
        <v>8</v>
      </c>
      <c r="O7" s="65">
        <f>O6/25*840/1000</f>
        <v>0</v>
      </c>
      <c r="P7" s="64" t="s">
        <v>10</v>
      </c>
      <c r="Q7" s="60"/>
      <c r="R7" s="1199" t="s">
        <v>8</v>
      </c>
      <c r="S7" s="65">
        <f>S6/25*840/1000</f>
        <v>0</v>
      </c>
      <c r="T7" s="64" t="s">
        <v>10</v>
      </c>
      <c r="U7" s="121"/>
      <c r="W7" s="2321"/>
      <c r="X7" s="2323"/>
      <c r="Y7" s="2324"/>
      <c r="Z7" s="2291" t="s">
        <v>109</v>
      </c>
      <c r="AA7" s="2292"/>
      <c r="AB7" s="1872"/>
      <c r="AC7" s="1873"/>
      <c r="AD7" s="1872"/>
      <c r="AE7" s="1873"/>
    </row>
    <row r="8" spans="1:31" ht="32.25" customHeight="1">
      <c r="A8" s="2318"/>
      <c r="B8" s="2325"/>
      <c r="C8" s="2326"/>
      <c r="D8" s="2291" t="s">
        <v>111</v>
      </c>
      <c r="E8" s="2292"/>
      <c r="F8" s="1762" t="s">
        <v>58</v>
      </c>
      <c r="G8" s="1000" t="s">
        <v>110</v>
      </c>
      <c r="H8" s="1000"/>
      <c r="I8" s="60"/>
      <c r="J8" s="1199" t="s">
        <v>8</v>
      </c>
      <c r="K8" s="65">
        <f>K7*10</f>
        <v>0</v>
      </c>
      <c r="L8" s="64" t="s">
        <v>10</v>
      </c>
      <c r="M8" s="60"/>
      <c r="N8" s="1199" t="s">
        <v>8</v>
      </c>
      <c r="O8" s="65">
        <f>O7*10</f>
        <v>0</v>
      </c>
      <c r="P8" s="64" t="s">
        <v>10</v>
      </c>
      <c r="Q8" s="60"/>
      <c r="R8" s="1199" t="s">
        <v>8</v>
      </c>
      <c r="S8" s="65">
        <f>S7*10</f>
        <v>0</v>
      </c>
      <c r="T8" s="64" t="s">
        <v>10</v>
      </c>
      <c r="U8" s="121"/>
      <c r="W8" s="2318"/>
      <c r="X8" s="2325"/>
      <c r="Y8" s="2326"/>
      <c r="Z8" s="2291" t="s">
        <v>111</v>
      </c>
      <c r="AA8" s="2292"/>
      <c r="AB8" s="1872"/>
      <c r="AC8" s="1873"/>
      <c r="AD8" s="1872"/>
      <c r="AE8" s="1873"/>
    </row>
    <row r="9" spans="1:31" ht="32.25" customHeight="1">
      <c r="A9" s="2317">
        <v>2</v>
      </c>
      <c r="B9" s="2272" t="s">
        <v>148</v>
      </c>
      <c r="C9" s="2322"/>
      <c r="D9" s="2286" t="s">
        <v>108</v>
      </c>
      <c r="E9" s="2287"/>
      <c r="F9" s="1762" t="s">
        <v>4</v>
      </c>
      <c r="G9" s="1000" t="str">
        <f>'XM.GUI MAIL'!$E$7</f>
        <v>25~35</v>
      </c>
      <c r="H9" s="1000" t="str">
        <f>'XM.GUI MAIL'!$F$7</f>
        <v>(30±2)</v>
      </c>
      <c r="I9" s="1733">
        <f>'XM.GUI MAIL'!AA7</f>
        <v>0</v>
      </c>
      <c r="J9" s="1674" t="s">
        <v>8</v>
      </c>
      <c r="K9" s="1675">
        <f>'XM.GUI MAIL'!AD7</f>
        <v>0</v>
      </c>
      <c r="L9" s="1676" t="s">
        <v>9</v>
      </c>
      <c r="M9" s="1733">
        <f>'XM.GUI MAIL'!AG7</f>
        <v>0</v>
      </c>
      <c r="N9" s="1674" t="s">
        <v>8</v>
      </c>
      <c r="O9" s="1675">
        <f>'XM.GUI MAIL'!AJ7</f>
        <v>0</v>
      </c>
      <c r="P9" s="1676" t="s">
        <v>9</v>
      </c>
      <c r="Q9" s="1782">
        <f>'XM.GUI MAIL'!AM7</f>
        <v>0</v>
      </c>
      <c r="R9" s="1674" t="s">
        <v>8</v>
      </c>
      <c r="S9" s="1675">
        <f>'XM.GUI MAIL'!AP7</f>
        <v>0</v>
      </c>
      <c r="T9" s="1676" t="s">
        <v>9</v>
      </c>
      <c r="U9" s="121" t="s">
        <v>42</v>
      </c>
      <c r="W9" s="2317">
        <v>2</v>
      </c>
      <c r="X9" s="2272" t="s">
        <v>148</v>
      </c>
      <c r="Y9" s="2322"/>
      <c r="Z9" s="2286" t="s">
        <v>108</v>
      </c>
      <c r="AA9" s="2287"/>
      <c r="AB9" s="1872"/>
      <c r="AC9" s="1873"/>
      <c r="AD9" s="1872"/>
      <c r="AE9" s="1873"/>
    </row>
    <row r="10" spans="1:31" ht="32.25" customHeight="1">
      <c r="A10" s="2321"/>
      <c r="B10" s="2323"/>
      <c r="C10" s="2324"/>
      <c r="D10" s="2291" t="s">
        <v>109</v>
      </c>
      <c r="E10" s="2292"/>
      <c r="F10" s="1762" t="s">
        <v>58</v>
      </c>
      <c r="G10" s="1000" t="s">
        <v>110</v>
      </c>
      <c r="H10" s="1000"/>
      <c r="I10" s="60"/>
      <c r="J10" s="1199" t="s">
        <v>8</v>
      </c>
      <c r="K10" s="65">
        <f>K9/25*840/1000</f>
        <v>0</v>
      </c>
      <c r="L10" s="64" t="s">
        <v>10</v>
      </c>
      <c r="M10" s="60"/>
      <c r="N10" s="1199" t="s">
        <v>8</v>
      </c>
      <c r="O10" s="65">
        <f>O9/25*840/1000</f>
        <v>0</v>
      </c>
      <c r="P10" s="64" t="s">
        <v>10</v>
      </c>
      <c r="Q10" s="60"/>
      <c r="R10" s="1199" t="s">
        <v>8</v>
      </c>
      <c r="S10" s="65">
        <f>S9/25*840/1000</f>
        <v>0</v>
      </c>
      <c r="T10" s="64" t="s">
        <v>10</v>
      </c>
      <c r="U10" s="121"/>
      <c r="W10" s="2321"/>
      <c r="X10" s="2323"/>
      <c r="Y10" s="2324"/>
      <c r="Z10" s="2291" t="s">
        <v>109</v>
      </c>
      <c r="AA10" s="2292"/>
      <c r="AB10" s="1872"/>
      <c r="AC10" s="1873"/>
      <c r="AD10" s="1872"/>
      <c r="AE10" s="1873"/>
    </row>
    <row r="11" spans="1:31" ht="32.25" customHeight="1">
      <c r="A11" s="2318"/>
      <c r="B11" s="2325"/>
      <c r="C11" s="2326"/>
      <c r="D11" s="2291" t="s">
        <v>111</v>
      </c>
      <c r="E11" s="2292"/>
      <c r="F11" s="1762" t="s">
        <v>58</v>
      </c>
      <c r="G11" s="1000" t="s">
        <v>110</v>
      </c>
      <c r="H11" s="1000"/>
      <c r="I11" s="60"/>
      <c r="J11" s="1199" t="s">
        <v>8</v>
      </c>
      <c r="K11" s="65">
        <f>K10*10</f>
        <v>0</v>
      </c>
      <c r="L11" s="64" t="s">
        <v>10</v>
      </c>
      <c r="M11" s="60"/>
      <c r="N11" s="1199" t="s">
        <v>8</v>
      </c>
      <c r="O11" s="65">
        <f>O10*10</f>
        <v>0</v>
      </c>
      <c r="P11" s="64" t="s">
        <v>10</v>
      </c>
      <c r="Q11" s="60"/>
      <c r="R11" s="1199" t="s">
        <v>8</v>
      </c>
      <c r="S11" s="65">
        <f>S10*10</f>
        <v>0</v>
      </c>
      <c r="T11" s="64" t="s">
        <v>10</v>
      </c>
      <c r="U11" s="121"/>
      <c r="W11" s="2318"/>
      <c r="X11" s="2325"/>
      <c r="Y11" s="2326"/>
      <c r="Z11" s="2291" t="s">
        <v>111</v>
      </c>
      <c r="AA11" s="2292"/>
      <c r="AB11" s="1872"/>
      <c r="AC11" s="1873"/>
      <c r="AD11" s="1872"/>
      <c r="AE11" s="1873"/>
    </row>
    <row r="12" spans="1:31" ht="32.25" customHeight="1">
      <c r="A12" s="2317">
        <v>3</v>
      </c>
      <c r="B12" s="2289" t="s">
        <v>149</v>
      </c>
      <c r="C12" s="2290"/>
      <c r="D12" s="2286" t="s">
        <v>108</v>
      </c>
      <c r="E12" s="2287"/>
      <c r="F12" s="1762" t="s">
        <v>4</v>
      </c>
      <c r="G12" s="1000" t="str">
        <f>'XM.GUI MAIL'!$E$8</f>
        <v>60~80</v>
      </c>
      <c r="H12" s="1000" t="str">
        <f>'XM.GUI MAIL'!$F$8</f>
        <v>(70±10)</v>
      </c>
      <c r="I12" s="1669">
        <f>'XM.GUI MAIL'!AA8</f>
        <v>0</v>
      </c>
      <c r="J12" s="1674" t="s">
        <v>8</v>
      </c>
      <c r="K12" s="1675">
        <f>'XM.GUI MAIL'!AD8</f>
        <v>0</v>
      </c>
      <c r="L12" s="1676" t="s">
        <v>9</v>
      </c>
      <c r="M12" s="1669">
        <f>'XM.GUI MAIL'!AG8</f>
        <v>0</v>
      </c>
      <c r="N12" s="1674" t="s">
        <v>8</v>
      </c>
      <c r="O12" s="1675">
        <f>'XM.GUI MAIL'!AJ8</f>
        <v>0</v>
      </c>
      <c r="P12" s="1676" t="s">
        <v>9</v>
      </c>
      <c r="Q12" s="1669">
        <f>'XM.GUI MAIL'!AM8</f>
        <v>0</v>
      </c>
      <c r="R12" s="1674" t="s">
        <v>8</v>
      </c>
      <c r="S12" s="1675">
        <f>'XM.GUI MAIL'!AP8</f>
        <v>0</v>
      </c>
      <c r="T12" s="1676" t="s">
        <v>9</v>
      </c>
      <c r="U12" s="121" t="s">
        <v>42</v>
      </c>
      <c r="W12" s="2317">
        <v>3</v>
      </c>
      <c r="X12" s="2289" t="s">
        <v>149</v>
      </c>
      <c r="Y12" s="2290"/>
      <c r="Z12" s="2286" t="s">
        <v>108</v>
      </c>
      <c r="AA12" s="2287"/>
      <c r="AB12" s="1872"/>
      <c r="AC12" s="1873"/>
      <c r="AD12" s="1872"/>
      <c r="AE12" s="1873"/>
    </row>
    <row r="13" spans="1:31" ht="32.25" customHeight="1">
      <c r="A13" s="2318"/>
      <c r="B13" s="2290"/>
      <c r="C13" s="2290"/>
      <c r="D13" s="2291" t="s">
        <v>112</v>
      </c>
      <c r="E13" s="2292"/>
      <c r="F13" s="1762" t="s">
        <v>58</v>
      </c>
      <c r="G13" s="1000" t="s">
        <v>110</v>
      </c>
      <c r="H13" s="1000"/>
      <c r="I13" s="1760"/>
      <c r="J13" s="1199" t="s">
        <v>8</v>
      </c>
      <c r="K13" s="65">
        <f>K12/25*7.5</f>
        <v>0</v>
      </c>
      <c r="L13" s="64" t="s">
        <v>10</v>
      </c>
      <c r="M13" s="1760"/>
      <c r="N13" s="1199" t="s">
        <v>8</v>
      </c>
      <c r="O13" s="65">
        <f>O12/25*7.5</f>
        <v>0</v>
      </c>
      <c r="P13" s="64" t="s">
        <v>10</v>
      </c>
      <c r="Q13" s="1760"/>
      <c r="R13" s="1199" t="s">
        <v>8</v>
      </c>
      <c r="S13" s="65">
        <f>S12/25*7.5</f>
        <v>0</v>
      </c>
      <c r="T13" s="64" t="s">
        <v>10</v>
      </c>
      <c r="U13" s="121"/>
      <c r="W13" s="2318"/>
      <c r="X13" s="2290"/>
      <c r="Y13" s="2290"/>
      <c r="Z13" s="2291" t="s">
        <v>112</v>
      </c>
      <c r="AA13" s="2292"/>
      <c r="AB13" s="1872"/>
      <c r="AC13" s="1873"/>
      <c r="AD13" s="1872"/>
      <c r="AE13" s="1873"/>
    </row>
    <row r="14" spans="1:31" ht="32.25" customHeight="1">
      <c r="A14" s="2317">
        <v>4</v>
      </c>
      <c r="B14" s="2289" t="s">
        <v>150</v>
      </c>
      <c r="C14" s="2290"/>
      <c r="D14" s="2286" t="s">
        <v>108</v>
      </c>
      <c r="E14" s="2287"/>
      <c r="F14" s="1762" t="s">
        <v>4</v>
      </c>
      <c r="G14" s="1000" t="str">
        <f>'XM.GUI MAIL'!$E$9</f>
        <v>60~80</v>
      </c>
      <c r="H14" s="1000" t="str">
        <f>'XM.GUI MAIL'!$F$9</f>
        <v>(70±10)</v>
      </c>
      <c r="I14" s="1669">
        <f>'XM.GUI MAIL'!AA9</f>
        <v>0</v>
      </c>
      <c r="J14" s="1674" t="s">
        <v>8</v>
      </c>
      <c r="K14" s="1675">
        <f>'XM.GUI MAIL'!AD9</f>
        <v>0</v>
      </c>
      <c r="L14" s="1676" t="s">
        <v>9</v>
      </c>
      <c r="M14" s="1669">
        <f>'XM.GUI MAIL'!AG9</f>
        <v>0</v>
      </c>
      <c r="N14" s="1674" t="s">
        <v>8</v>
      </c>
      <c r="O14" s="1675">
        <f>'XM.GUI MAIL'!AJ9</f>
        <v>0</v>
      </c>
      <c r="P14" s="1676" t="s">
        <v>9</v>
      </c>
      <c r="Q14" s="1669">
        <f>'XM.GUI MAIL'!AM9</f>
        <v>0</v>
      </c>
      <c r="R14" s="1674" t="s">
        <v>8</v>
      </c>
      <c r="S14" s="1675">
        <f>'XM.GUI MAIL'!AP9</f>
        <v>0</v>
      </c>
      <c r="T14" s="1676" t="s">
        <v>9</v>
      </c>
      <c r="U14" s="121" t="s">
        <v>42</v>
      </c>
      <c r="W14" s="2317">
        <v>4</v>
      </c>
      <c r="X14" s="2289" t="s">
        <v>150</v>
      </c>
      <c r="Y14" s="2290"/>
      <c r="Z14" s="2286" t="s">
        <v>108</v>
      </c>
      <c r="AA14" s="2287"/>
      <c r="AB14" s="1872"/>
      <c r="AC14" s="1873"/>
      <c r="AD14" s="1872"/>
      <c r="AE14" s="1873"/>
    </row>
    <row r="15" spans="1:31" ht="32.25" customHeight="1">
      <c r="A15" s="2318"/>
      <c r="B15" s="2290"/>
      <c r="C15" s="2290"/>
      <c r="D15" s="2291" t="s">
        <v>112</v>
      </c>
      <c r="E15" s="2292"/>
      <c r="F15" s="1762" t="s">
        <v>58</v>
      </c>
      <c r="G15" s="1000" t="s">
        <v>110</v>
      </c>
      <c r="H15" s="1000"/>
      <c r="I15" s="60"/>
      <c r="J15" s="1199" t="s">
        <v>8</v>
      </c>
      <c r="K15" s="65">
        <f>K14/25*7.5</f>
        <v>0</v>
      </c>
      <c r="L15" s="64" t="s">
        <v>10</v>
      </c>
      <c r="M15" s="60"/>
      <c r="N15" s="1199" t="s">
        <v>8</v>
      </c>
      <c r="O15" s="65">
        <f>O14/25*7.5</f>
        <v>0</v>
      </c>
      <c r="P15" s="64" t="s">
        <v>10</v>
      </c>
      <c r="Q15" s="60"/>
      <c r="R15" s="1199" t="s">
        <v>8</v>
      </c>
      <c r="S15" s="65">
        <f>S14/25*7.5</f>
        <v>0</v>
      </c>
      <c r="T15" s="64" t="s">
        <v>10</v>
      </c>
      <c r="U15" s="121"/>
      <c r="W15" s="2318"/>
      <c r="X15" s="2290"/>
      <c r="Y15" s="2290"/>
      <c r="Z15" s="2291" t="s">
        <v>112</v>
      </c>
      <c r="AA15" s="2292"/>
      <c r="AB15" s="1872"/>
      <c r="AC15" s="1873"/>
      <c r="AD15" s="1872"/>
      <c r="AE15" s="1873"/>
    </row>
    <row r="16" spans="1:31" ht="32.25" customHeight="1">
      <c r="A16" s="2317">
        <v>5</v>
      </c>
      <c r="B16" s="2291" t="s">
        <v>82</v>
      </c>
      <c r="C16" s="2312"/>
      <c r="D16" s="2312"/>
      <c r="E16" s="2292"/>
      <c r="F16" s="1762" t="s">
        <v>4</v>
      </c>
      <c r="G16" s="1133" t="str">
        <f>'XM.GUI MAIL'!$E$10</f>
        <v>130 - 150</v>
      </c>
      <c r="H16" s="1133" t="str">
        <f>'XM.GUI MAIL'!$F$10</f>
        <v>(140±5L)</v>
      </c>
      <c r="I16" s="1733">
        <f>'XM.GUI MAIL'!AA10</f>
        <v>0</v>
      </c>
      <c r="J16" s="1674" t="s">
        <v>8</v>
      </c>
      <c r="K16" s="1675">
        <f>'XM.GUI MAIL'!AD10</f>
        <v>0</v>
      </c>
      <c r="L16" s="1201" t="s">
        <v>9</v>
      </c>
      <c r="M16" s="1733">
        <f>'XM.GUI MAIL'!AG10</f>
        <v>0</v>
      </c>
      <c r="N16" s="1674" t="s">
        <v>8</v>
      </c>
      <c r="O16" s="1677">
        <f>'XM.GUI MAIL'!AJ10</f>
        <v>0</v>
      </c>
      <c r="P16" s="1201" t="s">
        <v>9</v>
      </c>
      <c r="Q16" s="1782">
        <f>'XM.GUI MAIL'!AM10</f>
        <v>0</v>
      </c>
      <c r="R16" s="1674" t="s">
        <v>8</v>
      </c>
      <c r="S16" s="1675">
        <f>'XM.GUI MAIL'!AP10</f>
        <v>0</v>
      </c>
      <c r="T16" s="1201" t="s">
        <v>9</v>
      </c>
      <c r="U16" s="121" t="s">
        <v>43</v>
      </c>
      <c r="W16" s="2317">
        <v>5</v>
      </c>
      <c r="X16" s="2291" t="s">
        <v>82</v>
      </c>
      <c r="Y16" s="2312"/>
      <c r="Z16" s="2312"/>
      <c r="AA16" s="2292"/>
      <c r="AB16" s="1872"/>
      <c r="AC16" s="1873"/>
      <c r="AD16" s="1872"/>
      <c r="AE16" s="1873"/>
    </row>
    <row r="17" spans="1:31" ht="32.25" customHeight="1">
      <c r="A17" s="2318"/>
      <c r="B17" s="2291" t="s">
        <v>60</v>
      </c>
      <c r="C17" s="2312"/>
      <c r="D17" s="2312"/>
      <c r="E17" s="2292"/>
      <c r="F17" s="1762" t="s">
        <v>4</v>
      </c>
      <c r="G17" s="1133" t="str">
        <f>'XM.GUI MAIL'!$E$11</f>
        <v>7~12</v>
      </c>
      <c r="H17" s="1133" t="str">
        <f>'XM.GUI MAIL'!$F$11</f>
        <v>(9g±1)</v>
      </c>
      <c r="I17" s="1738">
        <f>'XM.GUI MAIL'!AA11</f>
        <v>0</v>
      </c>
      <c r="J17" s="1674" t="s">
        <v>8</v>
      </c>
      <c r="K17" s="1675">
        <f>'XM.GUI MAIL'!AD11</f>
        <v>0</v>
      </c>
      <c r="L17" s="1201" t="s">
        <v>9</v>
      </c>
      <c r="M17" s="1738">
        <f>'XM.GUI MAIL'!AG11</f>
        <v>0</v>
      </c>
      <c r="N17" s="1674" t="s">
        <v>8</v>
      </c>
      <c r="O17" s="1675">
        <f>'XM.GUI MAIL'!AJ11</f>
        <v>0</v>
      </c>
      <c r="P17" s="1201" t="s">
        <v>9</v>
      </c>
      <c r="Q17" s="1783">
        <f>'XM.GUI MAIL'!AM11</f>
        <v>0</v>
      </c>
      <c r="R17" s="1674" t="s">
        <v>8</v>
      </c>
      <c r="S17" s="1675">
        <f>'XM.GUI MAIL'!AP11</f>
        <v>0</v>
      </c>
      <c r="T17" s="1201" t="s">
        <v>9</v>
      </c>
      <c r="U17" s="121" t="s">
        <v>44</v>
      </c>
      <c r="W17" s="2318"/>
      <c r="X17" s="2291" t="s">
        <v>60</v>
      </c>
      <c r="Y17" s="2312"/>
      <c r="Z17" s="2312"/>
      <c r="AA17" s="2292"/>
      <c r="AB17" s="1872"/>
      <c r="AC17" s="1873"/>
      <c r="AD17" s="1872"/>
      <c r="AE17" s="1873"/>
    </row>
    <row r="18" spans="1:31" ht="32.25" customHeight="1">
      <c r="A18" s="2317">
        <v>6</v>
      </c>
      <c r="B18" s="2272" t="s">
        <v>1041</v>
      </c>
      <c r="C18" s="2273"/>
      <c r="D18" s="2273"/>
      <c r="E18" s="2274"/>
      <c r="F18" s="1762" t="s">
        <v>3</v>
      </c>
      <c r="G18" s="1133" t="str">
        <f>'XM.GUI MAIL'!$E$12</f>
        <v xml:space="preserve">12~18 </v>
      </c>
      <c r="H18" s="1133" t="str">
        <f>'XM.GUI MAIL'!$F$12</f>
        <v>(14±2)</v>
      </c>
      <c r="I18" s="1738">
        <f>'XM.GUI MAIL'!AA12</f>
        <v>0</v>
      </c>
      <c r="J18" s="1199" t="s">
        <v>8</v>
      </c>
      <c r="K18" s="63">
        <f>'XM.GUI MAIL'!AD12</f>
        <v>0</v>
      </c>
      <c r="L18" s="64" t="s">
        <v>10</v>
      </c>
      <c r="M18" s="1738">
        <f>'XM.GUI MAIL'!AG12</f>
        <v>0</v>
      </c>
      <c r="N18" s="1199" t="s">
        <v>8</v>
      </c>
      <c r="O18" s="63">
        <f>'XM.GUI MAIL'!AJ12</f>
        <v>0</v>
      </c>
      <c r="P18" s="64" t="s">
        <v>10</v>
      </c>
      <c r="Q18" s="1783">
        <f>'XM.GUI MAIL'!AM12</f>
        <v>0</v>
      </c>
      <c r="R18" s="1199" t="s">
        <v>8</v>
      </c>
      <c r="S18" s="63">
        <f>'XM.GUI MAIL'!AP12</f>
        <v>0</v>
      </c>
      <c r="T18" s="64" t="s">
        <v>10</v>
      </c>
      <c r="U18" s="121" t="s">
        <v>45</v>
      </c>
      <c r="W18" s="2317">
        <v>6</v>
      </c>
      <c r="X18" s="2272" t="s">
        <v>1041</v>
      </c>
      <c r="Y18" s="2273"/>
      <c r="Z18" s="2273"/>
      <c r="AA18" s="2274"/>
      <c r="AB18" s="1872"/>
      <c r="AC18" s="1873"/>
      <c r="AD18" s="1872"/>
      <c r="AE18" s="1873"/>
    </row>
    <row r="19" spans="1:31" ht="32.25" customHeight="1">
      <c r="A19" s="2318"/>
      <c r="B19" s="2275"/>
      <c r="C19" s="2276"/>
      <c r="D19" s="2276"/>
      <c r="E19" s="2277"/>
      <c r="F19" s="1762" t="s">
        <v>5</v>
      </c>
      <c r="G19" s="1133" t="str">
        <f>'XM.GUI MAIL'!$E$13</f>
        <v>1.6~2.2</v>
      </c>
      <c r="H19" s="1133" t="str">
        <f>'XM.GUI MAIL'!$F$13</f>
        <v>(1.8±0.1 )</v>
      </c>
      <c r="I19" s="1738">
        <f>'XM.GUI MAIL'!AA13</f>
        <v>0</v>
      </c>
      <c r="J19" s="1678"/>
      <c r="K19" s="1675">
        <f>'XM.GUI MAIL'!AD13</f>
        <v>0</v>
      </c>
      <c r="L19" s="1679"/>
      <c r="M19" s="1738">
        <f>'XM.GUI MAIL'!AG13</f>
        <v>0</v>
      </c>
      <c r="N19" s="1678"/>
      <c r="O19" s="1675">
        <f>'XM.GUI MAIL'!AJ13</f>
        <v>0</v>
      </c>
      <c r="P19" s="1679"/>
      <c r="Q19" s="1783">
        <f>'XM.GUI MAIL'!AM13</f>
        <v>0</v>
      </c>
      <c r="R19" s="1678"/>
      <c r="S19" s="1675">
        <f>'XM.GUI MAIL'!AP13</f>
        <v>0</v>
      </c>
      <c r="T19" s="1679"/>
      <c r="U19" s="121"/>
      <c r="W19" s="2318"/>
      <c r="X19" s="2275"/>
      <c r="Y19" s="2276"/>
      <c r="Z19" s="2276"/>
      <c r="AA19" s="2277"/>
      <c r="AB19" s="1872"/>
      <c r="AC19" s="1873"/>
      <c r="AD19" s="1872"/>
      <c r="AE19" s="1873"/>
    </row>
    <row r="20" spans="1:31" ht="32.25" customHeight="1">
      <c r="A20" s="121">
        <v>7</v>
      </c>
      <c r="B20" s="2291" t="s">
        <v>61</v>
      </c>
      <c r="C20" s="2312"/>
      <c r="D20" s="2312"/>
      <c r="E20" s="2292"/>
      <c r="F20" s="1772" t="s">
        <v>6</v>
      </c>
      <c r="G20" s="1133" t="str">
        <f>'XM.GUI MAIL'!$E$14</f>
        <v>30~60</v>
      </c>
      <c r="H20" s="1133" t="str">
        <f>'XM.GUI MAIL'!$F$14</f>
        <v>(45±5)</v>
      </c>
      <c r="I20" s="1745">
        <f>'XM.GUI MAIL'!AA14</f>
        <v>0</v>
      </c>
      <c r="J20" s="1674" t="s">
        <v>8</v>
      </c>
      <c r="K20" s="1675">
        <f>'XM.GUI MAIL'!AD14</f>
        <v>0</v>
      </c>
      <c r="L20" s="1676" t="s">
        <v>10</v>
      </c>
      <c r="M20" s="1745">
        <f>'XM.GUI MAIL'!AG14</f>
        <v>0</v>
      </c>
      <c r="N20" s="1674" t="s">
        <v>8</v>
      </c>
      <c r="O20" s="1675">
        <f>'XM.GUI MAIL'!AJ14</f>
        <v>0</v>
      </c>
      <c r="P20" s="1676" t="s">
        <v>10</v>
      </c>
      <c r="Q20" s="1784">
        <f>'XM.GUI MAIL'!AM14</f>
        <v>0</v>
      </c>
      <c r="R20" s="1674" t="s">
        <v>8</v>
      </c>
      <c r="S20" s="1675">
        <f>'XM.GUI MAIL'!AP14</f>
        <v>0</v>
      </c>
      <c r="T20" s="1676" t="s">
        <v>10</v>
      </c>
      <c r="U20" s="121" t="s">
        <v>46</v>
      </c>
      <c r="W20" s="121">
        <v>7</v>
      </c>
      <c r="X20" s="2291" t="s">
        <v>61</v>
      </c>
      <c r="Y20" s="2312"/>
      <c r="Z20" s="2312"/>
      <c r="AA20" s="2292"/>
      <c r="AB20" s="1872"/>
      <c r="AC20" s="1873"/>
      <c r="AD20" s="1872"/>
      <c r="AE20" s="1873"/>
    </row>
    <row r="21" spans="1:31" ht="32.25" customHeight="1">
      <c r="A21" s="121">
        <v>8</v>
      </c>
      <c r="B21" s="2291" t="s">
        <v>62</v>
      </c>
      <c r="C21" s="2312"/>
      <c r="D21" s="2312"/>
      <c r="E21" s="2292"/>
      <c r="F21" s="1772" t="s">
        <v>6</v>
      </c>
      <c r="G21" s="1133" t="str">
        <f>'XM.GUI MAIL'!$E$15</f>
        <v>15~30</v>
      </c>
      <c r="H21" s="1133" t="str">
        <f>'XM.GUI MAIL'!$F$15</f>
        <v>(22±5)</v>
      </c>
      <c r="I21" s="1745">
        <f>'XM.GUI MAIL'!AA15</f>
        <v>0</v>
      </c>
      <c r="J21" s="1199" t="s">
        <v>8</v>
      </c>
      <c r="K21" s="63">
        <f>'XM.GUI MAIL'!AD15</f>
        <v>0</v>
      </c>
      <c r="L21" s="64" t="s">
        <v>10</v>
      </c>
      <c r="M21" s="1745">
        <f>'XM.GUI MAIL'!AG15</f>
        <v>0</v>
      </c>
      <c r="N21" s="1199" t="s">
        <v>8</v>
      </c>
      <c r="O21" s="63">
        <f>'XM.GUI MAIL'!AJ15</f>
        <v>0</v>
      </c>
      <c r="P21" s="64" t="s">
        <v>10</v>
      </c>
      <c r="Q21" s="1784">
        <f>'XM.GUI MAIL'!AM15</f>
        <v>0</v>
      </c>
      <c r="R21" s="1199" t="s">
        <v>8</v>
      </c>
      <c r="S21" s="63">
        <f>'XM.GUI MAIL'!AP15</f>
        <v>0</v>
      </c>
      <c r="T21" s="1676" t="s">
        <v>10</v>
      </c>
      <c r="U21" s="121" t="s">
        <v>46</v>
      </c>
      <c r="W21" s="121">
        <v>8</v>
      </c>
      <c r="X21" s="2291" t="s">
        <v>62</v>
      </c>
      <c r="Y21" s="2312"/>
      <c r="Z21" s="2312"/>
      <c r="AA21" s="2292"/>
      <c r="AB21" s="1872"/>
      <c r="AC21" s="1873"/>
      <c r="AD21" s="1872"/>
      <c r="AE21" s="1873"/>
    </row>
    <row r="22" spans="1:31" ht="32.25" customHeight="1">
      <c r="A22" s="121">
        <v>9</v>
      </c>
      <c r="B22" s="2291" t="s">
        <v>116</v>
      </c>
      <c r="C22" s="2312"/>
      <c r="D22" s="2312"/>
      <c r="E22" s="2292"/>
      <c r="F22" s="1772" t="s">
        <v>6</v>
      </c>
      <c r="G22" s="1133" t="str">
        <f>'XM.GUI MAIL'!$E$16</f>
        <v>5~15</v>
      </c>
      <c r="H22" s="1133" t="str">
        <f>'XM.GUI MAIL'!$F$16</f>
        <v>(10±3)</v>
      </c>
      <c r="I22" s="1745">
        <f>'XM.GUI MAIL'!AA16</f>
        <v>0</v>
      </c>
      <c r="J22" s="1674" t="s">
        <v>8</v>
      </c>
      <c r="K22" s="1675">
        <f>'XM.GUI MAIL'!AD16</f>
        <v>0</v>
      </c>
      <c r="L22" s="1676" t="s">
        <v>10</v>
      </c>
      <c r="M22" s="1745">
        <f>'XM.GUI MAIL'!AG16</f>
        <v>0</v>
      </c>
      <c r="N22" s="1674" t="s">
        <v>8</v>
      </c>
      <c r="O22" s="1675">
        <f>'XM.GUI MAIL'!AJ16</f>
        <v>0</v>
      </c>
      <c r="P22" s="1676" t="s">
        <v>10</v>
      </c>
      <c r="Q22" s="1784">
        <f>'XM.GUI MAIL'!AM16</f>
        <v>0</v>
      </c>
      <c r="R22" s="1674" t="s">
        <v>8</v>
      </c>
      <c r="S22" s="1675">
        <f>'XM.GUI MAIL'!AP16</f>
        <v>0</v>
      </c>
      <c r="T22" s="1676" t="s">
        <v>10</v>
      </c>
      <c r="U22" s="121" t="s">
        <v>47</v>
      </c>
      <c r="W22" s="121">
        <v>9</v>
      </c>
      <c r="X22" s="2291" t="s">
        <v>116</v>
      </c>
      <c r="Y22" s="2312"/>
      <c r="Z22" s="2312"/>
      <c r="AA22" s="2292"/>
      <c r="AB22" s="1872"/>
      <c r="AC22" s="1873"/>
      <c r="AD22" s="1872"/>
      <c r="AE22" s="1873"/>
    </row>
    <row r="23" spans="1:31" ht="32.25" customHeight="1">
      <c r="A23" s="121">
        <v>10</v>
      </c>
      <c r="B23" s="2291" t="s">
        <v>115</v>
      </c>
      <c r="C23" s="2312"/>
      <c r="D23" s="2312"/>
      <c r="E23" s="2292"/>
      <c r="F23" s="1772" t="s">
        <v>3</v>
      </c>
      <c r="G23" s="1133" t="str">
        <f>'XM.GUI MAIL'!$E$17</f>
        <v>0.5~1.5</v>
      </c>
      <c r="H23" s="1133" t="str">
        <f>'XM.GUI MAIL'!$F$17</f>
        <v>(1±0.4)</v>
      </c>
      <c r="I23" s="1749">
        <f>'XM.GUI MAIL'!AA17</f>
        <v>0</v>
      </c>
      <c r="J23" s="1674" t="s">
        <v>8</v>
      </c>
      <c r="K23" s="1680">
        <f>'XM.GUI MAIL'!AD17</f>
        <v>0</v>
      </c>
      <c r="L23" s="1676" t="s">
        <v>10</v>
      </c>
      <c r="M23" s="1749">
        <f>'XM.GUI MAIL'!AG17</f>
        <v>0</v>
      </c>
      <c r="N23" s="1674" t="s">
        <v>8</v>
      </c>
      <c r="O23" s="1680">
        <f>'XM.GUI MAIL'!AJ17</f>
        <v>0</v>
      </c>
      <c r="P23" s="1676" t="s">
        <v>10</v>
      </c>
      <c r="Q23" s="1785">
        <f>'XM.GUI MAIL'!AM17</f>
        <v>0</v>
      </c>
      <c r="R23" s="1674" t="s">
        <v>8</v>
      </c>
      <c r="S23" s="1680">
        <f>'XM.GUI MAIL'!AP17</f>
        <v>0</v>
      </c>
      <c r="T23" s="1676" t="s">
        <v>10</v>
      </c>
      <c r="U23" s="121" t="s">
        <v>47</v>
      </c>
      <c r="W23" s="121">
        <v>10</v>
      </c>
      <c r="X23" s="2291" t="s">
        <v>115</v>
      </c>
      <c r="Y23" s="2312"/>
      <c r="Z23" s="2312"/>
      <c r="AA23" s="2292"/>
      <c r="AB23" s="1872"/>
      <c r="AC23" s="1873"/>
      <c r="AD23" s="1872"/>
      <c r="AE23" s="1873"/>
    </row>
    <row r="24" spans="1:31" ht="32.25" customHeight="1">
      <c r="A24" s="2319">
        <v>13</v>
      </c>
      <c r="B24" s="2272" t="s">
        <v>77</v>
      </c>
      <c r="C24" s="2273"/>
      <c r="D24" s="2273"/>
      <c r="E24" s="2274"/>
      <c r="F24" s="1762" t="s">
        <v>3</v>
      </c>
      <c r="G24" s="1133" t="str">
        <f>'XM.GUI MAIL'!$E$18</f>
        <v>5~10</v>
      </c>
      <c r="H24" s="1133" t="str">
        <f>'XM.GUI MAIL'!$F$18</f>
        <v>(7.5±1)</v>
      </c>
      <c r="I24" s="88" t="str">
        <f>'XM.GUI MAIL'!AA18</f>
        <v/>
      </c>
      <c r="J24" s="1199" t="s">
        <v>8</v>
      </c>
      <c r="K24" s="63" t="str">
        <f>'XM.GUI MAIL'!AD18</f>
        <v/>
      </c>
      <c r="L24" s="64" t="s">
        <v>10</v>
      </c>
      <c r="M24" s="88" t="str">
        <f>'XM.GUI MAIL'!AG18</f>
        <v/>
      </c>
      <c r="N24" s="1199" t="s">
        <v>8</v>
      </c>
      <c r="O24" s="63" t="str">
        <f>'XM.GUI MAIL'!AJ18</f>
        <v/>
      </c>
      <c r="P24" s="64" t="s">
        <v>10</v>
      </c>
      <c r="Q24" s="88" t="str">
        <f>'XM.GUI MAIL'!AM18</f>
        <v/>
      </c>
      <c r="R24" s="1199" t="s">
        <v>8</v>
      </c>
      <c r="S24" s="63" t="str">
        <f>'XM.GUI MAIL'!AP18</f>
        <v/>
      </c>
      <c r="T24" s="64" t="s">
        <v>10</v>
      </c>
      <c r="U24" s="121"/>
      <c r="W24" s="2319">
        <v>13</v>
      </c>
      <c r="X24" s="2272" t="s">
        <v>77</v>
      </c>
      <c r="Y24" s="2273"/>
      <c r="Z24" s="2273"/>
      <c r="AA24" s="2274"/>
      <c r="AB24" s="1872"/>
      <c r="AC24" s="1873"/>
      <c r="AD24" s="1872"/>
      <c r="AE24" s="1873"/>
    </row>
    <row r="25" spans="1:31" ht="32.25" customHeight="1">
      <c r="A25" s="2320"/>
      <c r="B25" s="2275"/>
      <c r="C25" s="2276"/>
      <c r="D25" s="2276"/>
      <c r="E25" s="2277"/>
      <c r="F25" s="1762" t="s">
        <v>5</v>
      </c>
      <c r="G25" s="1133" t="str">
        <f>'XM.GUI MAIL'!$E$19</f>
        <v>1.6~2.0</v>
      </c>
      <c r="H25" s="1133" t="str">
        <f>'XM.GUI MAIL'!$F$19</f>
        <v>(1.8±0.1)</v>
      </c>
      <c r="I25" s="120">
        <f>'XM.GUI MAIL'!AA19</f>
        <v>0</v>
      </c>
      <c r="J25" s="1199"/>
      <c r="K25" s="63">
        <f>'XM.GUI MAIL'!AD19</f>
        <v>0</v>
      </c>
      <c r="L25" s="64"/>
      <c r="M25" s="120">
        <f>'XM.GUI MAIL'!AG19</f>
        <v>0</v>
      </c>
      <c r="N25" s="1199"/>
      <c r="O25" s="63">
        <f>'XM.GUI MAIL'!AJ19</f>
        <v>0</v>
      </c>
      <c r="P25" s="64"/>
      <c r="Q25" s="120">
        <f>'XM.GUI MAIL'!AM19</f>
        <v>0</v>
      </c>
      <c r="R25" s="1199"/>
      <c r="S25" s="63">
        <f>'XM.GUI MAIL'!AP19</f>
        <v>0</v>
      </c>
      <c r="T25" s="64"/>
      <c r="U25" s="121"/>
      <c r="W25" s="2320"/>
      <c r="X25" s="2275"/>
      <c r="Y25" s="2276"/>
      <c r="Z25" s="2276"/>
      <c r="AA25" s="2277"/>
      <c r="AB25" s="1872"/>
      <c r="AC25" s="1874"/>
      <c r="AD25" s="1872"/>
      <c r="AE25" s="1874"/>
    </row>
    <row r="26" spans="1:31" ht="34.5" customHeight="1">
      <c r="A26" s="286"/>
      <c r="B26" s="287"/>
      <c r="C26" s="287"/>
      <c r="D26" s="287"/>
      <c r="E26" s="287"/>
      <c r="F26" s="287"/>
      <c r="G26" s="285" t="s">
        <v>117</v>
      </c>
      <c r="H26" s="285"/>
      <c r="I26" s="287"/>
      <c r="J26" s="287"/>
      <c r="K26" s="287"/>
      <c r="L26" s="287"/>
      <c r="M26" s="287"/>
      <c r="N26" s="287"/>
      <c r="O26" s="287"/>
      <c r="P26" s="287"/>
      <c r="Q26" s="1786"/>
      <c r="R26" s="1786"/>
      <c r="S26" s="1786"/>
      <c r="T26" s="1786"/>
      <c r="U26" s="288"/>
      <c r="W26" s="286"/>
      <c r="X26" s="287"/>
      <c r="Y26" s="287"/>
      <c r="Z26" s="287"/>
      <c r="AA26" s="287"/>
      <c r="AB26" s="287"/>
      <c r="AC26" s="287"/>
      <c r="AD26" s="287"/>
      <c r="AE26" s="287"/>
    </row>
    <row r="27" spans="1:31" ht="34.5" customHeight="1">
      <c r="A27" s="121" t="s">
        <v>7</v>
      </c>
      <c r="B27" s="2291" t="s">
        <v>64</v>
      </c>
      <c r="C27" s="2312"/>
      <c r="D27" s="2312"/>
      <c r="E27" s="2292"/>
      <c r="F27" s="1761" t="s">
        <v>66</v>
      </c>
      <c r="G27" s="1094" t="s">
        <v>1424</v>
      </c>
      <c r="H27" s="1768" t="s">
        <v>1412</v>
      </c>
      <c r="I27" s="2172" t="s">
        <v>48</v>
      </c>
      <c r="J27" s="2183"/>
      <c r="K27" s="2172" t="s">
        <v>65</v>
      </c>
      <c r="L27" s="2183"/>
      <c r="M27" s="2172" t="s">
        <v>48</v>
      </c>
      <c r="N27" s="2183"/>
      <c r="O27" s="2172" t="s">
        <v>65</v>
      </c>
      <c r="P27" s="2183"/>
      <c r="Q27" s="2172" t="s">
        <v>48</v>
      </c>
      <c r="R27" s="2183"/>
      <c r="S27" s="2172" t="s">
        <v>65</v>
      </c>
      <c r="T27" s="2183"/>
      <c r="U27" s="1764"/>
      <c r="W27" s="121" t="s">
        <v>7</v>
      </c>
      <c r="X27" s="2291" t="s">
        <v>64</v>
      </c>
      <c r="Y27" s="2312"/>
      <c r="Z27" s="2312"/>
      <c r="AA27" s="2292"/>
      <c r="AB27" s="2268" t="s">
        <v>1526</v>
      </c>
      <c r="AC27" s="2130"/>
      <c r="AD27" s="2268" t="s">
        <v>1526</v>
      </c>
      <c r="AE27" s="2130"/>
    </row>
    <row r="28" spans="1:31" ht="34.5" customHeight="1">
      <c r="A28" s="121">
        <v>1</v>
      </c>
      <c r="B28" s="2291" t="s">
        <v>68</v>
      </c>
      <c r="C28" s="2312"/>
      <c r="D28" s="2312"/>
      <c r="E28" s="2292"/>
      <c r="F28" s="21" t="s">
        <v>113</v>
      </c>
      <c r="G28" s="1134" t="str">
        <f>'XM.GUI MAIL'!$E$22</f>
        <v>65~75</v>
      </c>
      <c r="H28" s="1134" t="str">
        <f>'XM.GUI MAIL'!$F$22</f>
        <v>(70±3)</v>
      </c>
      <c r="I28" s="2088">
        <f>'XM.FILE GOC'!AA22</f>
        <v>0</v>
      </c>
      <c r="J28" s="2089"/>
      <c r="K28" s="2088">
        <f>'XM.GUI MAIL'!AD22</f>
        <v>0</v>
      </c>
      <c r="L28" s="2089"/>
      <c r="M28" s="2088">
        <f>'XM.FILE GOC'!AG22</f>
        <v>0</v>
      </c>
      <c r="N28" s="2089"/>
      <c r="O28" s="2088">
        <f>'XM.GUI MAIL'!AJ22</f>
        <v>0</v>
      </c>
      <c r="P28" s="2089"/>
      <c r="Q28" s="2088">
        <f>'XM.FILE GOC'!AM22</f>
        <v>0</v>
      </c>
      <c r="R28" s="2089"/>
      <c r="S28" s="2088">
        <f>'XM.GUI MAIL'!AP22</f>
        <v>0</v>
      </c>
      <c r="T28" s="2089"/>
      <c r="U28" s="121"/>
      <c r="W28" s="121">
        <v>1</v>
      </c>
      <c r="X28" s="2291" t="s">
        <v>68</v>
      </c>
      <c r="Y28" s="2312"/>
      <c r="Z28" s="2312"/>
      <c r="AA28" s="2292"/>
      <c r="AB28" s="1872"/>
      <c r="AC28" s="1873"/>
      <c r="AD28" s="1872"/>
      <c r="AE28" s="1873"/>
    </row>
    <row r="29" spans="1:31" ht="34.5" customHeight="1">
      <c r="A29" s="121">
        <v>2</v>
      </c>
      <c r="B29" s="2291" t="s">
        <v>69</v>
      </c>
      <c r="C29" s="2312" t="s">
        <v>69</v>
      </c>
      <c r="D29" s="2312" t="s">
        <v>69</v>
      </c>
      <c r="E29" s="2292" t="s">
        <v>69</v>
      </c>
      <c r="F29" s="21" t="s">
        <v>113</v>
      </c>
      <c r="G29" s="1134" t="str">
        <f>'XM.GUI MAIL'!$E$23</f>
        <v>65~75</v>
      </c>
      <c r="H29" s="1134" t="str">
        <f>'XM.GUI MAIL'!$F$23</f>
        <v>(70±3)</v>
      </c>
      <c r="I29" s="2088">
        <f>'XM.FILE GOC'!AA23</f>
        <v>0</v>
      </c>
      <c r="J29" s="2089"/>
      <c r="K29" s="2088">
        <f>'XM.GUI MAIL'!AD23</f>
        <v>0</v>
      </c>
      <c r="L29" s="2089"/>
      <c r="M29" s="2088">
        <f>'XM.FILE GOC'!AG23</f>
        <v>0</v>
      </c>
      <c r="N29" s="2089"/>
      <c r="O29" s="2088">
        <f>'XM.GUI MAIL'!AJ23</f>
        <v>0</v>
      </c>
      <c r="P29" s="2089"/>
      <c r="Q29" s="2088">
        <f>'XM.FILE GOC'!AM23</f>
        <v>0</v>
      </c>
      <c r="R29" s="2089"/>
      <c r="S29" s="2088">
        <f>'XM.GUI MAIL'!AP23</f>
        <v>0</v>
      </c>
      <c r="T29" s="2089"/>
      <c r="U29" s="121"/>
      <c r="W29" s="121">
        <v>2</v>
      </c>
      <c r="X29" s="2291" t="s">
        <v>69</v>
      </c>
      <c r="Y29" s="2312" t="s">
        <v>69</v>
      </c>
      <c r="Z29" s="2312" t="s">
        <v>69</v>
      </c>
      <c r="AA29" s="2292" t="s">
        <v>69</v>
      </c>
      <c r="AB29" s="1872"/>
      <c r="AC29" s="1873"/>
      <c r="AD29" s="1872"/>
      <c r="AE29" s="1873"/>
    </row>
    <row r="30" spans="1:31" ht="34.5" customHeight="1">
      <c r="A30" s="121">
        <v>3</v>
      </c>
      <c r="B30" s="2291" t="s">
        <v>71</v>
      </c>
      <c r="C30" s="2312" t="s">
        <v>71</v>
      </c>
      <c r="D30" s="2312" t="s">
        <v>71</v>
      </c>
      <c r="E30" s="2292" t="s">
        <v>71</v>
      </c>
      <c r="F30" s="21" t="s">
        <v>113</v>
      </c>
      <c r="G30" s="1134" t="str">
        <f>'XM.GUI MAIL'!$E$24</f>
        <v>50~60</v>
      </c>
      <c r="H30" s="1134" t="str">
        <f>'XM.GUI MAIL'!$F$24</f>
        <v>(55±3)</v>
      </c>
      <c r="I30" s="2088">
        <f>'XM.FILE GOC'!AA24</f>
        <v>0</v>
      </c>
      <c r="J30" s="2089"/>
      <c r="K30" s="2088">
        <f>'XM.GUI MAIL'!AD24</f>
        <v>0</v>
      </c>
      <c r="L30" s="2089"/>
      <c r="M30" s="2088">
        <f>'XM.FILE GOC'!AG24</f>
        <v>0</v>
      </c>
      <c r="N30" s="2089"/>
      <c r="O30" s="2088">
        <f>'XM.GUI MAIL'!AJ24</f>
        <v>0</v>
      </c>
      <c r="P30" s="2089"/>
      <c r="Q30" s="2088">
        <f>'XM.FILE GOC'!AM24</f>
        <v>0</v>
      </c>
      <c r="R30" s="2089"/>
      <c r="S30" s="2088">
        <f>'XM.GUI MAIL'!AP24</f>
        <v>0</v>
      </c>
      <c r="T30" s="2089"/>
      <c r="U30" s="121"/>
      <c r="W30" s="121">
        <v>3</v>
      </c>
      <c r="X30" s="2291" t="s">
        <v>71</v>
      </c>
      <c r="Y30" s="2312" t="s">
        <v>71</v>
      </c>
      <c r="Z30" s="2312" t="s">
        <v>71</v>
      </c>
      <c r="AA30" s="2292" t="s">
        <v>71</v>
      </c>
      <c r="AB30" s="1872"/>
      <c r="AC30" s="1873"/>
      <c r="AD30" s="1872"/>
      <c r="AE30" s="1873"/>
    </row>
    <row r="31" spans="1:31" ht="34.5" customHeight="1">
      <c r="A31" s="121">
        <v>4</v>
      </c>
      <c r="B31" s="2291" t="s">
        <v>70</v>
      </c>
      <c r="C31" s="2312" t="s">
        <v>70</v>
      </c>
      <c r="D31" s="2312" t="s">
        <v>70</v>
      </c>
      <c r="E31" s="2292" t="s">
        <v>70</v>
      </c>
      <c r="F31" s="21" t="s">
        <v>113</v>
      </c>
      <c r="G31" s="1134" t="str">
        <f>'XM.GUI MAIL'!$E$25</f>
        <v>50~60</v>
      </c>
      <c r="H31" s="1134" t="str">
        <f>'XM.GUI MAIL'!$F$25</f>
        <v>(55±3)</v>
      </c>
      <c r="I31" s="2088">
        <f>'XM.FILE GOC'!AA25</f>
        <v>0</v>
      </c>
      <c r="J31" s="2089"/>
      <c r="K31" s="2088">
        <f>'XM.GUI MAIL'!AD25</f>
        <v>0</v>
      </c>
      <c r="L31" s="2089"/>
      <c r="M31" s="2088">
        <f>'XM.FILE GOC'!AG25</f>
        <v>0</v>
      </c>
      <c r="N31" s="2089"/>
      <c r="O31" s="2088">
        <f>'XM.GUI MAIL'!AJ25</f>
        <v>0</v>
      </c>
      <c r="P31" s="2089"/>
      <c r="Q31" s="2088">
        <f>'XM.FILE GOC'!AM25</f>
        <v>0</v>
      </c>
      <c r="R31" s="2089"/>
      <c r="S31" s="2088">
        <f>'XM.GUI MAIL'!AP25</f>
        <v>0</v>
      </c>
      <c r="T31" s="2089"/>
      <c r="U31" s="121"/>
      <c r="W31" s="121">
        <v>4</v>
      </c>
      <c r="X31" s="2291" t="s">
        <v>70</v>
      </c>
      <c r="Y31" s="2312" t="s">
        <v>70</v>
      </c>
      <c r="Z31" s="2312" t="s">
        <v>70</v>
      </c>
      <c r="AA31" s="2292" t="s">
        <v>70</v>
      </c>
      <c r="AB31" s="1872"/>
      <c r="AC31" s="1873"/>
      <c r="AD31" s="1872"/>
      <c r="AE31" s="1873"/>
    </row>
    <row r="32" spans="1:31" ht="34.5" customHeight="1">
      <c r="A32" s="121">
        <v>5</v>
      </c>
      <c r="B32" s="2291" t="s">
        <v>72</v>
      </c>
      <c r="C32" s="2312" t="s">
        <v>72</v>
      </c>
      <c r="D32" s="2312" t="s">
        <v>72</v>
      </c>
      <c r="E32" s="2292" t="s">
        <v>72</v>
      </c>
      <c r="F32" s="21" t="s">
        <v>113</v>
      </c>
      <c r="G32" s="1134" t="str">
        <f>'XM.GUI MAIL'!$E$26</f>
        <v>20~30</v>
      </c>
      <c r="H32" s="1134" t="str">
        <f>'XM.GUI MAIL'!$F$26</f>
        <v>(25±3)</v>
      </c>
      <c r="I32" s="2088">
        <f>'XM.FILE GOC'!AA26</f>
        <v>0</v>
      </c>
      <c r="J32" s="2089"/>
      <c r="K32" s="2088">
        <f>'XM.GUI MAIL'!AD26</f>
        <v>0</v>
      </c>
      <c r="L32" s="2089"/>
      <c r="M32" s="2088">
        <f>'XM.FILE GOC'!AG26</f>
        <v>0</v>
      </c>
      <c r="N32" s="2089"/>
      <c r="O32" s="2088">
        <f>'XM.GUI MAIL'!AJ26</f>
        <v>0</v>
      </c>
      <c r="P32" s="2089"/>
      <c r="Q32" s="2088">
        <f>'XM.FILE GOC'!AM26</f>
        <v>0</v>
      </c>
      <c r="R32" s="2089"/>
      <c r="S32" s="2088">
        <f>'XM.GUI MAIL'!AP26</f>
        <v>0</v>
      </c>
      <c r="T32" s="2089"/>
      <c r="U32" s="121"/>
      <c r="W32" s="121">
        <v>5</v>
      </c>
      <c r="X32" s="2291" t="s">
        <v>72</v>
      </c>
      <c r="Y32" s="2312" t="s">
        <v>72</v>
      </c>
      <c r="Z32" s="2312" t="s">
        <v>72</v>
      </c>
      <c r="AA32" s="2292" t="s">
        <v>72</v>
      </c>
      <c r="AB32" s="1872"/>
      <c r="AC32" s="1873"/>
      <c r="AD32" s="1872"/>
      <c r="AE32" s="1873"/>
    </row>
    <row r="33" spans="1:31" ht="34.5" customHeight="1">
      <c r="A33" s="121">
        <v>6</v>
      </c>
      <c r="B33" s="2291" t="s">
        <v>1040</v>
      </c>
      <c r="C33" s="2312" t="s">
        <v>1040</v>
      </c>
      <c r="D33" s="2312" t="s">
        <v>1040</v>
      </c>
      <c r="E33" s="2292" t="s">
        <v>1040</v>
      </c>
      <c r="F33" s="21" t="s">
        <v>113</v>
      </c>
      <c r="G33" s="1134" t="str">
        <f>'XM.GUI MAIL'!$E$27</f>
        <v>35-45</v>
      </c>
      <c r="H33" s="1134" t="str">
        <f>'XM.GUI MAIL'!$F$27</f>
        <v>(40±3)</v>
      </c>
      <c r="I33" s="2088">
        <f>'XM.FILE GOC'!AA27</f>
        <v>0</v>
      </c>
      <c r="J33" s="2089"/>
      <c r="K33" s="2088">
        <f>'XM.GUI MAIL'!AD27</f>
        <v>0</v>
      </c>
      <c r="L33" s="2089"/>
      <c r="M33" s="2088">
        <f>'XM.FILE GOC'!AG27</f>
        <v>0</v>
      </c>
      <c r="N33" s="2089"/>
      <c r="O33" s="2088">
        <f>'XM.GUI MAIL'!AJ27</f>
        <v>0</v>
      </c>
      <c r="P33" s="2089"/>
      <c r="Q33" s="2088">
        <f>'XM.FILE GOC'!AM27</f>
        <v>0</v>
      </c>
      <c r="R33" s="2089"/>
      <c r="S33" s="2088">
        <f>'XM.GUI MAIL'!AP27</f>
        <v>0</v>
      </c>
      <c r="T33" s="2089"/>
      <c r="U33" s="121"/>
      <c r="W33" s="121">
        <v>6</v>
      </c>
      <c r="X33" s="2291" t="s">
        <v>1040</v>
      </c>
      <c r="Y33" s="2312" t="s">
        <v>1040</v>
      </c>
      <c r="Z33" s="2312" t="s">
        <v>1040</v>
      </c>
      <c r="AA33" s="2292" t="s">
        <v>1040</v>
      </c>
      <c r="AB33" s="1872"/>
      <c r="AC33" s="1873"/>
      <c r="AD33" s="1872"/>
      <c r="AE33" s="1873"/>
    </row>
    <row r="34" spans="1:31" ht="34.5" customHeight="1">
      <c r="A34" s="121">
        <v>7</v>
      </c>
      <c r="B34" s="2291" t="s">
        <v>73</v>
      </c>
      <c r="C34" s="2312" t="s">
        <v>73</v>
      </c>
      <c r="D34" s="2312" t="s">
        <v>73</v>
      </c>
      <c r="E34" s="2292" t="s">
        <v>73</v>
      </c>
      <c r="F34" s="21" t="s">
        <v>113</v>
      </c>
      <c r="G34" s="1134" t="str">
        <f>'XM.GUI MAIL'!$E$28</f>
        <v>55~65</v>
      </c>
      <c r="H34" s="1134" t="str">
        <f>'XM.GUI MAIL'!$F$28</f>
        <v>(60±3)</v>
      </c>
      <c r="I34" s="2088">
        <f>'XM.FILE GOC'!AA28</f>
        <v>0</v>
      </c>
      <c r="J34" s="2089"/>
      <c r="K34" s="2088">
        <f>'XM.GUI MAIL'!AD28</f>
        <v>0</v>
      </c>
      <c r="L34" s="2089"/>
      <c r="M34" s="2088">
        <f>'XM.FILE GOC'!AG28</f>
        <v>0</v>
      </c>
      <c r="N34" s="2089"/>
      <c r="O34" s="2088">
        <f>'XM.GUI MAIL'!AJ28</f>
        <v>0</v>
      </c>
      <c r="P34" s="2089"/>
      <c r="Q34" s="2088">
        <f>'XM.FILE GOC'!AM28</f>
        <v>0</v>
      </c>
      <c r="R34" s="2089"/>
      <c r="S34" s="2088">
        <f>'XM.GUI MAIL'!AP28</f>
        <v>0</v>
      </c>
      <c r="T34" s="2089"/>
      <c r="U34" s="121"/>
      <c r="W34" s="121">
        <v>7</v>
      </c>
      <c r="X34" s="2291" t="s">
        <v>73</v>
      </c>
      <c r="Y34" s="2312" t="s">
        <v>73</v>
      </c>
      <c r="Z34" s="2312" t="s">
        <v>73</v>
      </c>
      <c r="AA34" s="2292" t="s">
        <v>73</v>
      </c>
      <c r="AB34" s="1872"/>
      <c r="AC34" s="1873"/>
      <c r="AD34" s="1872"/>
      <c r="AE34" s="1873"/>
    </row>
    <row r="35" spans="1:31" ht="34.5" customHeight="1">
      <c r="A35" s="121">
        <v>8</v>
      </c>
      <c r="B35" s="2313" t="s">
        <v>74</v>
      </c>
      <c r="C35" s="2314" t="s">
        <v>74</v>
      </c>
      <c r="D35" s="2314" t="s">
        <v>74</v>
      </c>
      <c r="E35" s="2315" t="s">
        <v>74</v>
      </c>
      <c r="F35" s="21" t="s">
        <v>113</v>
      </c>
      <c r="G35" s="1134" t="str">
        <f>'XM.GUI MAIL'!$E$29</f>
        <v>65~75</v>
      </c>
      <c r="H35" s="1134" t="str">
        <f>'XM.GUI MAIL'!$F$29</f>
        <v>(70±3)</v>
      </c>
      <c r="I35" s="2171" t="str">
        <f>'XM.FILE GOC'!AA29</f>
        <v>\</v>
      </c>
      <c r="J35" s="2171"/>
      <c r="K35" s="2088">
        <f>'XM.GUI MAIL'!AD29</f>
        <v>0</v>
      </c>
      <c r="L35" s="2089"/>
      <c r="M35" s="2171" t="str">
        <f>'XM.FILE GOC'!AG29</f>
        <v>\</v>
      </c>
      <c r="N35" s="2171"/>
      <c r="O35" s="2088">
        <f>'XM.GUI MAIL'!AJ29</f>
        <v>0</v>
      </c>
      <c r="P35" s="2089"/>
      <c r="Q35" s="2171" t="str">
        <f>'XM.FILE GOC'!AM29</f>
        <v>\</v>
      </c>
      <c r="R35" s="2171"/>
      <c r="S35" s="2088">
        <f>'XM.GUI MAIL'!AP29</f>
        <v>0</v>
      </c>
      <c r="T35" s="2089"/>
      <c r="U35" s="121"/>
      <c r="W35" s="121">
        <v>8</v>
      </c>
      <c r="X35" s="2313" t="s">
        <v>74</v>
      </c>
      <c r="Y35" s="2314" t="s">
        <v>74</v>
      </c>
      <c r="Z35" s="2314" t="s">
        <v>74</v>
      </c>
      <c r="AA35" s="2315" t="s">
        <v>74</v>
      </c>
      <c r="AB35" s="1868"/>
      <c r="AC35" s="1874"/>
      <c r="AD35" s="1868"/>
      <c r="AE35" s="1874"/>
    </row>
    <row r="36" spans="1:31" ht="34.5" customHeight="1">
      <c r="A36" s="286"/>
      <c r="B36" s="282"/>
      <c r="C36" s="283"/>
      <c r="D36" s="283"/>
      <c r="E36" s="283"/>
      <c r="F36" s="283"/>
      <c r="G36" s="285" t="s">
        <v>118</v>
      </c>
      <c r="H36" s="285"/>
      <c r="I36" s="283"/>
      <c r="J36" s="283"/>
      <c r="K36" s="283"/>
      <c r="L36" s="283"/>
      <c r="M36" s="283"/>
      <c r="N36" s="283"/>
      <c r="O36" s="283"/>
      <c r="P36" s="283"/>
      <c r="Q36" s="283"/>
      <c r="R36" s="283"/>
      <c r="S36" s="283"/>
      <c r="T36" s="283"/>
      <c r="U36" s="284"/>
      <c r="W36" s="286"/>
      <c r="X36" s="1875"/>
      <c r="Y36" s="1875"/>
      <c r="Z36" s="1875"/>
      <c r="AA36" s="1875"/>
      <c r="AB36" s="1875"/>
      <c r="AC36" s="1875"/>
      <c r="AD36" s="16"/>
      <c r="AE36" s="16"/>
    </row>
    <row r="37" spans="1:31" ht="34.5" customHeight="1">
      <c r="A37" s="121" t="s">
        <v>7</v>
      </c>
      <c r="B37" s="2291" t="s">
        <v>100</v>
      </c>
      <c r="C37" s="2312"/>
      <c r="D37" s="2312"/>
      <c r="E37" s="2292"/>
      <c r="F37" s="1771" t="s">
        <v>101</v>
      </c>
      <c r="G37" s="1094" t="s">
        <v>1424</v>
      </c>
      <c r="H37" s="1768" t="s">
        <v>1412</v>
      </c>
      <c r="I37" s="2172" t="s">
        <v>119</v>
      </c>
      <c r="J37" s="2178"/>
      <c r="K37" s="2178"/>
      <c r="L37" s="2183"/>
      <c r="M37" s="2172" t="s">
        <v>119</v>
      </c>
      <c r="N37" s="2178"/>
      <c r="O37" s="2178"/>
      <c r="P37" s="2183"/>
      <c r="Q37" s="2172" t="s">
        <v>119</v>
      </c>
      <c r="R37" s="2178"/>
      <c r="S37" s="2178"/>
      <c r="T37" s="2183"/>
      <c r="U37" s="1764"/>
      <c r="W37" s="121" t="s">
        <v>7</v>
      </c>
      <c r="X37" s="2289" t="s">
        <v>100</v>
      </c>
      <c r="Y37" s="2289"/>
      <c r="Z37" s="2289"/>
      <c r="AA37" s="2289"/>
      <c r="AB37" s="2268" t="s">
        <v>1526</v>
      </c>
      <c r="AC37" s="2130"/>
      <c r="AD37" s="2268" t="s">
        <v>1526</v>
      </c>
      <c r="AE37" s="2130"/>
    </row>
    <row r="38" spans="1:31" ht="39.75" customHeight="1">
      <c r="A38" s="121">
        <v>1</v>
      </c>
      <c r="B38" s="2291" t="s">
        <v>54</v>
      </c>
      <c r="C38" s="2312"/>
      <c r="D38" s="2312"/>
      <c r="E38" s="2292"/>
      <c r="F38" s="23" t="s">
        <v>51</v>
      </c>
      <c r="G38" s="289" t="str">
        <f>'XM.GUI MAIL'!$E$31</f>
        <v>300-360</v>
      </c>
      <c r="H38" s="289" t="str">
        <f>'XM.GUI MAIL'!$F$31</f>
        <v>300-360</v>
      </c>
      <c r="I38" s="2119">
        <f>'XM.FILE GOC'!AA31</f>
        <v>0</v>
      </c>
      <c r="J38" s="2120"/>
      <c r="K38" s="2120"/>
      <c r="L38" s="2120"/>
      <c r="M38" s="2119">
        <f>'XM.FILE GOC'!AG31</f>
        <v>0</v>
      </c>
      <c r="N38" s="2120"/>
      <c r="O38" s="2120"/>
      <c r="P38" s="2120"/>
      <c r="Q38" s="2119">
        <f>'XM.FILE GOC'!AM31</f>
        <v>0</v>
      </c>
      <c r="R38" s="2120"/>
      <c r="S38" s="2120"/>
      <c r="T38" s="2120"/>
      <c r="U38" s="121"/>
      <c r="W38" s="121">
        <v>1</v>
      </c>
      <c r="X38" s="2291" t="s">
        <v>54</v>
      </c>
      <c r="Y38" s="2312"/>
      <c r="Z38" s="2312"/>
      <c r="AA38" s="2292"/>
      <c r="AB38" s="1872"/>
      <c r="AC38" s="1873"/>
      <c r="AD38" s="1872"/>
      <c r="AE38" s="1873"/>
    </row>
    <row r="39" spans="1:31" ht="39.75" customHeight="1">
      <c r="A39" s="121">
        <v>2</v>
      </c>
      <c r="B39" s="2291" t="s">
        <v>94</v>
      </c>
      <c r="C39" s="2312"/>
      <c r="D39" s="2312"/>
      <c r="E39" s="2292"/>
      <c r="F39" s="23" t="s">
        <v>51</v>
      </c>
      <c r="G39" s="290" t="str">
        <f>'XM.GUI MAIL'!$E$32</f>
        <v>30-50</v>
      </c>
      <c r="H39" s="290" t="str">
        <f>'XM.GUI MAIL'!$F$32</f>
        <v>30-50</v>
      </c>
      <c r="I39" s="2119">
        <f>'XM.FILE GOC'!AA32</f>
        <v>0</v>
      </c>
      <c r="J39" s="2120"/>
      <c r="K39" s="2120"/>
      <c r="L39" s="2120"/>
      <c r="M39" s="2119">
        <f>'XM.FILE GOC'!AG32</f>
        <v>0</v>
      </c>
      <c r="N39" s="2120"/>
      <c r="O39" s="2120"/>
      <c r="P39" s="2120"/>
      <c r="Q39" s="2119">
        <f>'XM.FILE GOC'!AM32</f>
        <v>0</v>
      </c>
      <c r="R39" s="2120"/>
      <c r="S39" s="2120"/>
      <c r="T39" s="2120"/>
      <c r="U39" s="121"/>
      <c r="W39" s="121">
        <v>2</v>
      </c>
      <c r="X39" s="2291" t="s">
        <v>94</v>
      </c>
      <c r="Y39" s="2312"/>
      <c r="Z39" s="2312"/>
      <c r="AA39" s="2292"/>
      <c r="AB39" s="1868"/>
      <c r="AC39" s="1874"/>
      <c r="AD39" s="1868"/>
      <c r="AE39" s="1874"/>
    </row>
  </sheetData>
  <mergeCells count="169">
    <mergeCell ref="AB4:AC4"/>
    <mergeCell ref="AD4:AE4"/>
    <mergeCell ref="AB27:AC27"/>
    <mergeCell ref="AD27:AE27"/>
    <mergeCell ref="AB37:AC37"/>
    <mergeCell ref="AD37:AE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27:P27"/>
    <mergeCell ref="Q27:R27"/>
    <mergeCell ref="S27:T27"/>
    <mergeCell ref="B28:E28"/>
    <mergeCell ref="I28:J28"/>
    <mergeCell ref="K28:L28"/>
    <mergeCell ref="M28:N28"/>
    <mergeCell ref="O28:P28"/>
    <mergeCell ref="Q28:R28"/>
    <mergeCell ref="S28:T28"/>
    <mergeCell ref="A24:A25"/>
    <mergeCell ref="B24:E25"/>
    <mergeCell ref="B27:E27"/>
    <mergeCell ref="I27:J27"/>
    <mergeCell ref="K27:L27"/>
    <mergeCell ref="M27:N27"/>
    <mergeCell ref="A18:A19"/>
    <mergeCell ref="B18:E19"/>
    <mergeCell ref="B20:E20"/>
    <mergeCell ref="B21:E21"/>
    <mergeCell ref="B22:E22"/>
    <mergeCell ref="B23:E23"/>
    <mergeCell ref="A14:A15"/>
    <mergeCell ref="B14:C15"/>
    <mergeCell ref="D14:E14"/>
    <mergeCell ref="D15:E15"/>
    <mergeCell ref="A16:A17"/>
    <mergeCell ref="B16:E16"/>
    <mergeCell ref="B17:E17"/>
    <mergeCell ref="A9:A11"/>
    <mergeCell ref="B9:C11"/>
    <mergeCell ref="D9:E9"/>
    <mergeCell ref="D10:E10"/>
    <mergeCell ref="D11:E11"/>
    <mergeCell ref="A12:A13"/>
    <mergeCell ref="B12:C13"/>
    <mergeCell ref="D12:E12"/>
    <mergeCell ref="D13:E13"/>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F4:F5"/>
    <mergeCell ref="G4:G5"/>
    <mergeCell ref="H4:H5"/>
    <mergeCell ref="I4:L4"/>
    <mergeCell ref="M4:P4"/>
    <mergeCell ref="Q4:T4"/>
    <mergeCell ref="W6:W8"/>
    <mergeCell ref="X6:Y8"/>
    <mergeCell ref="Z6:AA6"/>
    <mergeCell ref="Z7:AA7"/>
    <mergeCell ref="Z8:AA8"/>
    <mergeCell ref="W9:W11"/>
    <mergeCell ref="X9:Y11"/>
    <mergeCell ref="Z9:AA9"/>
    <mergeCell ref="Z10:AA10"/>
    <mergeCell ref="Z11:AA11"/>
    <mergeCell ref="W12:W13"/>
    <mergeCell ref="X12:Y13"/>
    <mergeCell ref="Z12:AA12"/>
    <mergeCell ref="Z13:AA13"/>
    <mergeCell ref="W14:W15"/>
    <mergeCell ref="X14:Y15"/>
    <mergeCell ref="Z14:AA14"/>
    <mergeCell ref="Z15:AA15"/>
    <mergeCell ref="W16:W17"/>
    <mergeCell ref="X16:AA16"/>
    <mergeCell ref="X17:AA17"/>
    <mergeCell ref="X28:AA28"/>
    <mergeCell ref="W18:W19"/>
    <mergeCell ref="X18:AA19"/>
    <mergeCell ref="X20:AA20"/>
    <mergeCell ref="X21:AA21"/>
    <mergeCell ref="X22:AA22"/>
    <mergeCell ref="X23:AA23"/>
    <mergeCell ref="W24:W25"/>
    <mergeCell ref="X24:AA25"/>
    <mergeCell ref="X27:AA27"/>
    <mergeCell ref="X38:AA38"/>
    <mergeCell ref="X39:AA39"/>
    <mergeCell ref="X35:AA35"/>
    <mergeCell ref="X37:AA37"/>
    <mergeCell ref="X33:AA33"/>
    <mergeCell ref="X34:AA34"/>
    <mergeCell ref="X31:AA31"/>
    <mergeCell ref="X32:AA32"/>
    <mergeCell ref="X29:AA29"/>
    <mergeCell ref="X30:AA30"/>
  </mergeCells>
  <conditionalFormatting sqref="I38 M38 Q38">
    <cfRule type="expression" dxfId="3356" priority="754">
      <formula>I38&lt;300</formula>
    </cfRule>
    <cfRule type="expression" dxfId="3355" priority="755">
      <formula>I38&gt;360</formula>
    </cfRule>
  </conditionalFormatting>
  <conditionalFormatting sqref="I39 M39 Q39">
    <cfRule type="expression" dxfId="3354" priority="752">
      <formula>I39&lt;30</formula>
    </cfRule>
    <cfRule type="expression" dxfId="3353" priority="753">
      <formula>I39&gt;50</formula>
    </cfRule>
  </conditionalFormatting>
  <conditionalFormatting sqref="Q28:Q29 K35 K28:K29 I28:I29 O35 S35 O28:O29 S28:S29 M28:M29">
    <cfRule type="cellIs" dxfId="3352" priority="748" operator="between">
      <formula>65</formula>
      <formula>66.9</formula>
    </cfRule>
    <cfRule type="cellIs" dxfId="3351" priority="749" operator="between">
      <formula>73.1</formula>
      <formula>75</formula>
    </cfRule>
    <cfRule type="expression" dxfId="3350" priority="750">
      <formula>I28&lt;65</formula>
    </cfRule>
    <cfRule type="expression" dxfId="3349" priority="751">
      <formula>I28&gt;75</formula>
    </cfRule>
  </conditionalFormatting>
  <conditionalFormatting sqref="K30:K31 I30:I31 O30:O31 S30:S31 M30:M31 Q30:Q31">
    <cfRule type="cellIs" dxfId="3348" priority="740" operator="between">
      <formula>50</formula>
      <formula>51.9</formula>
    </cfRule>
    <cfRule type="cellIs" dxfId="3347" priority="741" operator="between">
      <formula>58.1</formula>
      <formula>60</formula>
    </cfRule>
    <cfRule type="expression" dxfId="3346" priority="742">
      <formula>I30&lt;50</formula>
    </cfRule>
    <cfRule type="expression" dxfId="3345" priority="743">
      <formula>I30&gt;60</formula>
    </cfRule>
  </conditionalFormatting>
  <conditionalFormatting sqref="K32 I32 O32 S32 M32 Q32">
    <cfRule type="cellIs" dxfId="3344" priority="736" operator="between">
      <formula>20</formula>
      <formula>21.9</formula>
    </cfRule>
    <cfRule type="cellIs" dxfId="3343" priority="737" operator="between">
      <formula>28.1</formula>
      <formula>30</formula>
    </cfRule>
    <cfRule type="expression" dxfId="3342" priority="738">
      <formula>I32&lt;20</formula>
    </cfRule>
    <cfRule type="expression" dxfId="3341" priority="739">
      <formula>I32&gt;30</formula>
    </cfRule>
  </conditionalFormatting>
  <conditionalFormatting sqref="K33 I33 O33 S33 M33 Q33">
    <cfRule type="cellIs" dxfId="3340" priority="732" operator="between">
      <formula>35</formula>
      <formula>36.9</formula>
    </cfRule>
    <cfRule type="cellIs" dxfId="3339" priority="733" operator="between">
      <formula>43.1</formula>
      <formula>45</formula>
    </cfRule>
    <cfRule type="expression" dxfId="3338" priority="734">
      <formula>I33&lt;35</formula>
    </cfRule>
    <cfRule type="expression" dxfId="3337" priority="735">
      <formula>I33&gt;45</formula>
    </cfRule>
  </conditionalFormatting>
  <conditionalFormatting sqref="K34 I34 O34 S34 M34 Q34">
    <cfRule type="cellIs" dxfId="3336" priority="728" operator="between">
      <formula>55</formula>
      <formula>56.9</formula>
    </cfRule>
    <cfRule type="cellIs" dxfId="3335" priority="729" operator="between">
      <formula>63.1</formula>
      <formula>65</formula>
    </cfRule>
    <cfRule type="expression" dxfId="3334" priority="730">
      <formula>I34&lt;55</formula>
    </cfRule>
    <cfRule type="expression" dxfId="3333" priority="731">
      <formula>I34&gt;65</formula>
    </cfRule>
  </conditionalFormatting>
  <conditionalFormatting sqref="I6 I9 M6 M9 Q6 Q9">
    <cfRule type="cellIs" dxfId="3332" priority="379" operator="between">
      <formula>25</formula>
      <formula>27.99</formula>
    </cfRule>
    <cfRule type="cellIs" dxfId="3331" priority="380" operator="between">
      <formula>32.1</formula>
      <formula>35</formula>
    </cfRule>
    <cfRule type="expression" dxfId="3330" priority="381">
      <formula>I6&lt;25</formula>
    </cfRule>
    <cfRule type="expression" dxfId="3329" priority="382">
      <formula>I6&gt;35</formula>
    </cfRule>
  </conditionalFormatting>
  <conditionalFormatting sqref="I12 I14 M12 M14 Q12 Q14">
    <cfRule type="expression" dxfId="3328" priority="373" stopIfTrue="1">
      <formula>I12&gt;80</formula>
    </cfRule>
    <cfRule type="expression" dxfId="3327" priority="374" stopIfTrue="1">
      <formula>I12&lt;60</formula>
    </cfRule>
  </conditionalFormatting>
  <conditionalFormatting sqref="I16 M16 Q16">
    <cfRule type="cellIs" dxfId="3326" priority="367" operator="between">
      <formula>130</formula>
      <formula>134.99</formula>
    </cfRule>
    <cfRule type="cellIs" dxfId="3325" priority="368" operator="between">
      <formula>145.1</formula>
      <formula>150</formula>
    </cfRule>
    <cfRule type="expression" dxfId="3324" priority="369">
      <formula>I16&lt;130</formula>
    </cfRule>
    <cfRule type="expression" dxfId="3323" priority="370">
      <formula>I16&gt;150</formula>
    </cfRule>
  </conditionalFormatting>
  <conditionalFormatting sqref="I17 M17 Q17">
    <cfRule type="cellIs" dxfId="3322" priority="363" operator="between">
      <formula>7</formula>
      <formula>7.99</formula>
    </cfRule>
    <cfRule type="cellIs" dxfId="3321" priority="364" operator="between">
      <formula>10.1</formula>
      <formula>12</formula>
    </cfRule>
    <cfRule type="expression" dxfId="3320" priority="365">
      <formula>I17&lt;7</formula>
    </cfRule>
    <cfRule type="expression" dxfId="3319" priority="366">
      <formula>I17&gt;12</formula>
    </cfRule>
  </conditionalFormatting>
  <conditionalFormatting sqref="I18 M18 Q18">
    <cfRule type="cellIs" dxfId="3318" priority="360" operator="between">
      <formula>16.1</formula>
      <formula>18</formula>
    </cfRule>
    <cfRule type="expression" dxfId="3317" priority="361">
      <formula>I18&lt;12</formula>
    </cfRule>
    <cfRule type="expression" dxfId="3316" priority="362">
      <formula>I18&gt;18</formula>
    </cfRule>
  </conditionalFormatting>
  <conditionalFormatting sqref="I19 M19 Q19">
    <cfRule type="cellIs" dxfId="3315" priority="356" operator="between">
      <formula>1.6</formula>
      <formula>1.699</formula>
    </cfRule>
    <cfRule type="cellIs" dxfId="3314" priority="357" operator="between">
      <formula>1.91</formula>
      <formula>2.2</formula>
    </cfRule>
    <cfRule type="expression" dxfId="3313" priority="358">
      <formula>I19&lt;1.6</formula>
    </cfRule>
    <cfRule type="expression" dxfId="3312" priority="359">
      <formula>I19&gt;2.2</formula>
    </cfRule>
  </conditionalFormatting>
  <conditionalFormatting sqref="I20 M20 Q20">
    <cfRule type="cellIs" dxfId="3311" priority="352" operator="between">
      <formula>30%</formula>
      <formula>39.99%</formula>
    </cfRule>
    <cfRule type="cellIs" dxfId="3310" priority="353" operator="between">
      <formula>50.01%</formula>
      <formula>60%</formula>
    </cfRule>
    <cfRule type="expression" dxfId="3309" priority="354">
      <formula>I20&lt;30%</formula>
    </cfRule>
    <cfRule type="expression" dxfId="3308" priority="355">
      <formula>I20&gt;60%</formula>
    </cfRule>
  </conditionalFormatting>
  <conditionalFormatting sqref="I21 M21 Q21">
    <cfRule type="cellIs" dxfId="3307" priority="348" operator="between">
      <formula>15%</formula>
      <formula>16.99%</formula>
    </cfRule>
    <cfRule type="cellIs" dxfId="3306" priority="349" operator="between">
      <formula>27.01%</formula>
      <formula>30%</formula>
    </cfRule>
    <cfRule type="expression" dxfId="3305" priority="350">
      <formula>I21&lt;15%</formula>
    </cfRule>
    <cfRule type="expression" dxfId="3304" priority="351">
      <formula>I21&gt;30%</formula>
    </cfRule>
  </conditionalFormatting>
  <conditionalFormatting sqref="I22 M22 Q22">
    <cfRule type="cellIs" dxfId="3303" priority="344" operator="between">
      <formula>5%</formula>
      <formula>6.99%</formula>
    </cfRule>
    <cfRule type="cellIs" dxfId="3302" priority="345" operator="between">
      <formula>12.99%</formula>
      <formula>15%</formula>
    </cfRule>
    <cfRule type="expression" dxfId="3301" priority="346">
      <formula>I22&lt;5%</formula>
    </cfRule>
    <cfRule type="expression" dxfId="3300" priority="347">
      <formula>I22&gt;15%</formula>
    </cfRule>
  </conditionalFormatting>
  <conditionalFormatting sqref="I23 M23 Q23">
    <cfRule type="cellIs" dxfId="3299" priority="340" operator="between">
      <formula>0.5%</formula>
      <formula>0.599%</formula>
    </cfRule>
    <cfRule type="cellIs" dxfId="3298" priority="341" operator="between">
      <formula>1.41%</formula>
      <formula>1.5%</formula>
    </cfRule>
    <cfRule type="expression" dxfId="3297" priority="342">
      <formula>I23&lt;0.5%</formula>
    </cfRule>
    <cfRule type="expression" dxfId="3296" priority="343">
      <formula>I23&gt;1.5%</formula>
    </cfRule>
  </conditionalFormatting>
  <pageMargins left="0.6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9.xml><?xml version="1.0" encoding="utf-8"?>
<worksheet xmlns="http://schemas.openxmlformats.org/spreadsheetml/2006/main" xmlns:r="http://schemas.openxmlformats.org/officeDocument/2006/relationships">
  <sheetPr codeName="Sheet9">
    <tabColor rgb="FFFF0000"/>
  </sheetPr>
  <dimension ref="A1:AG38"/>
  <sheetViews>
    <sheetView view="pageBreakPreview" zoomScale="55" zoomScaleNormal="70" zoomScaleSheetLayoutView="55" workbookViewId="0">
      <selection activeCell="Q20" sqref="Q20"/>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7.875" style="19" customWidth="1"/>
    <col min="24" max="24" width="9" style="19"/>
    <col min="25" max="25" width="6.5" style="19" customWidth="1"/>
    <col min="26" max="26" width="6.75" style="19" customWidth="1"/>
    <col min="27" max="27" width="7" style="19" customWidth="1"/>
    <col min="28" max="33" width="17.75" style="19" customWidth="1"/>
    <col min="34" max="16384" width="9" style="19"/>
  </cols>
  <sheetData>
    <row r="1" spans="1:33" ht="28.5" customHeight="1">
      <c r="A1" s="2342" t="s">
        <v>604</v>
      </c>
      <c r="B1" s="2342"/>
      <c r="C1" s="2342"/>
      <c r="D1" s="2342"/>
      <c r="E1" s="2342"/>
      <c r="F1" s="2342"/>
      <c r="G1" s="2342"/>
      <c r="H1" s="2342"/>
      <c r="I1" s="2342"/>
      <c r="J1" s="2342"/>
      <c r="K1" s="2342"/>
      <c r="L1" s="2342"/>
      <c r="M1" s="2342"/>
      <c r="N1" s="2342"/>
      <c r="O1" s="2342"/>
      <c r="P1" s="2342"/>
      <c r="Q1" s="2342"/>
      <c r="R1" s="2342"/>
      <c r="S1" s="1137"/>
      <c r="T1" s="1137"/>
      <c r="U1" s="1803" t="s">
        <v>1527</v>
      </c>
      <c r="W1" s="1808"/>
      <c r="X1" s="1808"/>
      <c r="Y1" s="1808"/>
      <c r="Z1" s="1808"/>
      <c r="AA1" s="1808"/>
      <c r="AB1" s="1808"/>
      <c r="AC1" s="1808"/>
      <c r="AG1" s="1804" t="s">
        <v>1528</v>
      </c>
    </row>
    <row r="2" spans="1:33" ht="46.5" customHeight="1">
      <c r="A2" s="2186" t="s">
        <v>237</v>
      </c>
      <c r="B2" s="2186"/>
      <c r="C2" s="2186"/>
      <c r="D2" s="2186"/>
      <c r="E2" s="2186"/>
      <c r="F2" s="2186"/>
      <c r="G2" s="2186"/>
      <c r="H2" s="2186"/>
      <c r="I2" s="2186"/>
      <c r="J2" s="2186"/>
      <c r="K2" s="2186"/>
      <c r="L2" s="2186"/>
      <c r="M2" s="2186"/>
      <c r="N2" s="2186"/>
      <c r="O2" s="2186"/>
      <c r="P2" s="2186"/>
      <c r="Q2" s="2186"/>
      <c r="R2" s="2187"/>
      <c r="S2" s="2268" t="s">
        <v>96</v>
      </c>
      <c r="T2" s="2130"/>
      <c r="U2" s="1787" t="s">
        <v>1522</v>
      </c>
      <c r="W2" s="2186"/>
      <c r="X2" s="2186"/>
      <c r="Y2" s="2186"/>
      <c r="Z2" s="2186"/>
      <c r="AA2" s="2186"/>
      <c r="AB2" s="2186"/>
      <c r="AC2" s="2186"/>
      <c r="AD2" s="2186"/>
    </row>
    <row r="3" spans="1:33" ht="34.5" customHeight="1">
      <c r="A3" s="58"/>
      <c r="B3" s="2339" t="s">
        <v>233</v>
      </c>
      <c r="C3" s="2339"/>
      <c r="D3" s="2339"/>
      <c r="E3" s="1651"/>
      <c r="F3" s="1651"/>
      <c r="G3" s="1652" t="str">
        <f>'1. XL-1E kh'!$G$3</f>
        <v>2023/03/21</v>
      </c>
      <c r="H3" s="1646"/>
      <c r="I3" s="26"/>
      <c r="J3" s="26"/>
      <c r="K3" s="26"/>
      <c r="L3" s="26"/>
      <c r="M3" s="56"/>
      <c r="N3" s="56"/>
      <c r="O3" s="56"/>
      <c r="R3" s="56"/>
      <c r="S3" s="2269" t="str">
        <f>'1. XL-1E kh'!$AD$3</f>
        <v>Trang</v>
      </c>
      <c r="T3" s="2270"/>
      <c r="U3" s="1763"/>
      <c r="W3" s="58"/>
      <c r="X3" s="2339" t="s">
        <v>233</v>
      </c>
      <c r="Y3" s="2339"/>
      <c r="Z3" s="2339"/>
      <c r="AA3" s="1651"/>
      <c r="AB3" s="1876" t="str">
        <f>$G$3</f>
        <v>2023/03/21</v>
      </c>
      <c r="AC3" s="1876"/>
      <c r="AD3" s="26"/>
    </row>
    <row r="4" spans="1:33" s="59" customFormat="1" ht="31.5" customHeight="1">
      <c r="A4" s="2279" t="s">
        <v>7</v>
      </c>
      <c r="B4" s="2272" t="s">
        <v>79</v>
      </c>
      <c r="C4" s="2273"/>
      <c r="D4" s="2273"/>
      <c r="E4" s="2274"/>
      <c r="F4" s="2278" t="s">
        <v>136</v>
      </c>
      <c r="G4" s="2125" t="s">
        <v>1424</v>
      </c>
      <c r="H4" s="2173" t="s">
        <v>1412</v>
      </c>
      <c r="I4" s="2128">
        <v>0.26041666666666669</v>
      </c>
      <c r="J4" s="2129"/>
      <c r="K4" s="2129"/>
      <c r="L4" s="2130"/>
      <c r="M4" s="2128">
        <v>0.42708333333333331</v>
      </c>
      <c r="N4" s="2129"/>
      <c r="O4" s="2129"/>
      <c r="P4" s="2130"/>
      <c r="Q4" s="2128">
        <v>0.59375</v>
      </c>
      <c r="R4" s="2129"/>
      <c r="S4" s="2129"/>
      <c r="T4" s="2130"/>
      <c r="U4" s="2208" t="s">
        <v>98</v>
      </c>
      <c r="W4" s="2279" t="s">
        <v>7</v>
      </c>
      <c r="X4" s="2272" t="s">
        <v>79</v>
      </c>
      <c r="Y4" s="2273"/>
      <c r="Z4" s="2273"/>
      <c r="AA4" s="2274"/>
      <c r="AB4" s="2128">
        <v>0.26041666666666669</v>
      </c>
      <c r="AC4" s="2332"/>
      <c r="AD4" s="2128">
        <v>0.42708333333333331</v>
      </c>
      <c r="AE4" s="2332"/>
      <c r="AF4" s="2128">
        <v>0.59375</v>
      </c>
      <c r="AG4" s="2332"/>
    </row>
    <row r="5" spans="1:33" s="59" customFormat="1" ht="30" customHeight="1">
      <c r="A5" s="2279"/>
      <c r="B5" s="2275"/>
      <c r="C5" s="2276"/>
      <c r="D5" s="2276"/>
      <c r="E5" s="2277"/>
      <c r="F5" s="2279"/>
      <c r="G5" s="2126"/>
      <c r="H5" s="2174"/>
      <c r="I5" s="60" t="s">
        <v>145</v>
      </c>
      <c r="J5" s="2134" t="s">
        <v>1</v>
      </c>
      <c r="K5" s="2135"/>
      <c r="L5" s="2136"/>
      <c r="M5" s="60" t="s">
        <v>145</v>
      </c>
      <c r="N5" s="2134" t="s">
        <v>1</v>
      </c>
      <c r="O5" s="2135"/>
      <c r="P5" s="2136"/>
      <c r="Q5" s="60" t="s">
        <v>145</v>
      </c>
      <c r="R5" s="2134" t="s">
        <v>1</v>
      </c>
      <c r="S5" s="2135"/>
      <c r="T5" s="2136"/>
      <c r="U5" s="2209"/>
      <c r="W5" s="2279"/>
      <c r="X5" s="2275"/>
      <c r="Y5" s="2276"/>
      <c r="Z5" s="2276"/>
      <c r="AA5" s="2277"/>
      <c r="AB5" s="1881" t="s">
        <v>1537</v>
      </c>
      <c r="AC5" s="1873" t="s">
        <v>1538</v>
      </c>
      <c r="AD5" s="1881" t="s">
        <v>1537</v>
      </c>
      <c r="AE5" s="1873" t="s">
        <v>1538</v>
      </c>
      <c r="AF5" s="1881" t="s">
        <v>1537</v>
      </c>
      <c r="AG5" s="1873" t="s">
        <v>1538</v>
      </c>
    </row>
    <row r="6" spans="1:33" ht="33" customHeight="1">
      <c r="A6" s="2319">
        <v>1</v>
      </c>
      <c r="B6" s="2272" t="s">
        <v>147</v>
      </c>
      <c r="C6" s="2322"/>
      <c r="D6" s="2286" t="s">
        <v>258</v>
      </c>
      <c r="E6" s="2287"/>
      <c r="F6" s="1165" t="s">
        <v>4</v>
      </c>
      <c r="G6" s="1000" t="str">
        <f>'XM.GUI MAIL'!$E$37</f>
        <v>60~80</v>
      </c>
      <c r="H6" s="1000" t="str">
        <f>'XM.GUI MAIL'!$F$37</f>
        <v>(70±5)</v>
      </c>
      <c r="I6" s="1657">
        <f>'XM.GUI MAIL'!I37</f>
        <v>0</v>
      </c>
      <c r="J6" s="1670" t="s">
        <v>8</v>
      </c>
      <c r="K6" s="1558">
        <f>'XM.GUI MAIL'!L37</f>
        <v>0</v>
      </c>
      <c r="L6" s="1670" t="s">
        <v>9</v>
      </c>
      <c r="M6" s="1657">
        <f>'XM.GUI MAIL'!O37</f>
        <v>0</v>
      </c>
      <c r="N6" s="1670" t="s">
        <v>8</v>
      </c>
      <c r="O6" s="1558">
        <f>'XM.GUI MAIL'!R37</f>
        <v>0</v>
      </c>
      <c r="P6" s="1670" t="s">
        <v>9</v>
      </c>
      <c r="Q6" s="1657">
        <f>'XM.GUI MAIL'!U37</f>
        <v>0</v>
      </c>
      <c r="R6" s="1670" t="s">
        <v>8</v>
      </c>
      <c r="S6" s="1558">
        <f>'XM.GUI MAIL'!X37</f>
        <v>0</v>
      </c>
      <c r="T6" s="64" t="s">
        <v>9</v>
      </c>
      <c r="U6" s="300" t="s">
        <v>12</v>
      </c>
      <c r="W6" s="2319">
        <v>1</v>
      </c>
      <c r="X6" s="2272" t="s">
        <v>147</v>
      </c>
      <c r="Y6" s="2322"/>
      <c r="Z6" s="2286" t="s">
        <v>258</v>
      </c>
      <c r="AA6" s="2287"/>
      <c r="AB6" s="1872"/>
      <c r="AC6" s="1873"/>
      <c r="AD6" s="1872"/>
      <c r="AE6" s="1873"/>
      <c r="AF6" s="1872"/>
      <c r="AG6" s="1873"/>
    </row>
    <row r="7" spans="1:33" ht="33" customHeight="1">
      <c r="A7" s="2338"/>
      <c r="B7" s="2323"/>
      <c r="C7" s="2324"/>
      <c r="D7" s="2286" t="s">
        <v>259</v>
      </c>
      <c r="E7" s="2287"/>
      <c r="F7" s="1138"/>
      <c r="G7" s="1000" t="s">
        <v>1047</v>
      </c>
      <c r="H7" s="1000"/>
      <c r="I7" s="60"/>
      <c r="J7" s="1670"/>
      <c r="K7" s="89">
        <f>K6/25*7.5</f>
        <v>0</v>
      </c>
      <c r="L7" s="1670" t="s">
        <v>10</v>
      </c>
      <c r="M7" s="60"/>
      <c r="N7" s="1670"/>
      <c r="O7" s="89">
        <f>O6/25*7.5</f>
        <v>0</v>
      </c>
      <c r="P7" s="1670" t="s">
        <v>10</v>
      </c>
      <c r="Q7" s="60"/>
      <c r="R7" s="1670"/>
      <c r="S7" s="89">
        <f>S6/25*7.5</f>
        <v>0</v>
      </c>
      <c r="T7" s="64" t="s">
        <v>10</v>
      </c>
      <c r="U7" s="20"/>
      <c r="W7" s="2338"/>
      <c r="X7" s="2323"/>
      <c r="Y7" s="2324"/>
      <c r="Z7" s="2286" t="s">
        <v>259</v>
      </c>
      <c r="AA7" s="2287"/>
      <c r="AB7" s="1872"/>
      <c r="AC7" s="1873"/>
      <c r="AD7" s="1872"/>
      <c r="AE7" s="1873"/>
      <c r="AF7" s="1872"/>
      <c r="AG7" s="1873"/>
    </row>
    <row r="8" spans="1:33" ht="33" customHeight="1">
      <c r="A8" s="2319">
        <v>2</v>
      </c>
      <c r="B8" s="2272" t="s">
        <v>148</v>
      </c>
      <c r="C8" s="2322"/>
      <c r="D8" s="2286" t="s">
        <v>258</v>
      </c>
      <c r="E8" s="2287"/>
      <c r="F8" s="1165" t="s">
        <v>4</v>
      </c>
      <c r="G8" s="1000" t="str">
        <f>'XM.GUI MAIL'!$E$38</f>
        <v>60~80</v>
      </c>
      <c r="H8" s="1000" t="str">
        <f>'XM.GUI MAIL'!$F$38</f>
        <v>(70±5)</v>
      </c>
      <c r="I8" s="1657">
        <f>'XM.GUI MAIL'!I38</f>
        <v>0</v>
      </c>
      <c r="J8" s="1670" t="s">
        <v>8</v>
      </c>
      <c r="K8" s="1558">
        <f>'XM.GUI MAIL'!L38</f>
        <v>0</v>
      </c>
      <c r="L8" s="1670" t="s">
        <v>9</v>
      </c>
      <c r="M8" s="1657">
        <f>'XM.GUI MAIL'!O38</f>
        <v>0</v>
      </c>
      <c r="N8" s="1670" t="s">
        <v>8</v>
      </c>
      <c r="O8" s="1558">
        <f>'XM.GUI MAIL'!R38</f>
        <v>0</v>
      </c>
      <c r="P8" s="1670" t="s">
        <v>9</v>
      </c>
      <c r="Q8" s="1657">
        <f>'XM.GUI MAIL'!U38</f>
        <v>0</v>
      </c>
      <c r="R8" s="1670" t="s">
        <v>8</v>
      </c>
      <c r="S8" s="1558">
        <f>'XM.GUI MAIL'!X38</f>
        <v>0</v>
      </c>
      <c r="T8" s="64" t="s">
        <v>9</v>
      </c>
      <c r="U8" s="300" t="s">
        <v>12</v>
      </c>
      <c r="W8" s="2319">
        <v>2</v>
      </c>
      <c r="X8" s="2272" t="s">
        <v>148</v>
      </c>
      <c r="Y8" s="2322"/>
      <c r="Z8" s="2286" t="s">
        <v>258</v>
      </c>
      <c r="AA8" s="2287"/>
      <c r="AB8" s="1872"/>
      <c r="AC8" s="1873"/>
      <c r="AD8" s="1872"/>
      <c r="AE8" s="1873"/>
      <c r="AF8" s="1872"/>
      <c r="AG8" s="1873"/>
    </row>
    <row r="9" spans="1:33" ht="33" customHeight="1">
      <c r="A9" s="2338"/>
      <c r="B9" s="2323"/>
      <c r="C9" s="2324"/>
      <c r="D9" s="2286" t="s">
        <v>259</v>
      </c>
      <c r="E9" s="2287"/>
      <c r="F9" s="1138"/>
      <c r="G9" s="1000" t="s">
        <v>1047</v>
      </c>
      <c r="H9" s="1000"/>
      <c r="I9" s="60"/>
      <c r="J9" s="1670"/>
      <c r="K9" s="89">
        <f>K8/25*7.5</f>
        <v>0</v>
      </c>
      <c r="L9" s="1670" t="s">
        <v>10</v>
      </c>
      <c r="M9" s="60"/>
      <c r="N9" s="1670"/>
      <c r="O9" s="89">
        <f>O8/25*7.5</f>
        <v>0</v>
      </c>
      <c r="P9" s="1670" t="s">
        <v>10</v>
      </c>
      <c r="Q9" s="60"/>
      <c r="R9" s="1670"/>
      <c r="S9" s="89">
        <f>S8/25*7.5</f>
        <v>0</v>
      </c>
      <c r="T9" s="64" t="s">
        <v>10</v>
      </c>
      <c r="U9" s="20"/>
      <c r="W9" s="2338"/>
      <c r="X9" s="2323"/>
      <c r="Y9" s="2324"/>
      <c r="Z9" s="2286" t="s">
        <v>259</v>
      </c>
      <c r="AA9" s="2287"/>
      <c r="AB9" s="1872"/>
      <c r="AC9" s="1873"/>
      <c r="AD9" s="1872"/>
      <c r="AE9" s="1873"/>
      <c r="AF9" s="1872"/>
      <c r="AG9" s="1873"/>
    </row>
    <row r="10" spans="1:33" ht="33" customHeight="1">
      <c r="A10" s="2319">
        <v>3</v>
      </c>
      <c r="B10" s="2289" t="s">
        <v>149</v>
      </c>
      <c r="C10" s="2290"/>
      <c r="D10" s="2291" t="s">
        <v>260</v>
      </c>
      <c r="E10" s="2292" t="s">
        <v>260</v>
      </c>
      <c r="F10" s="1165" t="s">
        <v>4</v>
      </c>
      <c r="G10" s="1000" t="str">
        <f>'XM.GUI MAIL'!$E$39</f>
        <v>50~70</v>
      </c>
      <c r="H10" s="1000" t="str">
        <f>'XM.GUI MAIL'!$F$39</f>
        <v>(60±5)</v>
      </c>
      <c r="I10" s="1657">
        <f>'XM.GUI MAIL'!I39</f>
        <v>0</v>
      </c>
      <c r="J10" s="1670" t="s">
        <v>8</v>
      </c>
      <c r="K10" s="1558">
        <f>'XM.GUI MAIL'!L39</f>
        <v>0</v>
      </c>
      <c r="L10" s="1670" t="s">
        <v>9</v>
      </c>
      <c r="M10" s="1657">
        <f>'XM.GUI MAIL'!O39</f>
        <v>0</v>
      </c>
      <c r="N10" s="1670" t="s">
        <v>8</v>
      </c>
      <c r="O10" s="1558">
        <f>'XM.GUI MAIL'!R39</f>
        <v>0</v>
      </c>
      <c r="P10" s="1670" t="s">
        <v>9</v>
      </c>
      <c r="Q10" s="1657">
        <f>'XM.GUI MAIL'!U39</f>
        <v>0</v>
      </c>
      <c r="R10" s="1670" t="s">
        <v>8</v>
      </c>
      <c r="S10" s="1558">
        <f>'XM.GUI MAIL'!X39</f>
        <v>0</v>
      </c>
      <c r="T10" s="64" t="s">
        <v>9</v>
      </c>
      <c r="U10" s="300" t="s">
        <v>12</v>
      </c>
      <c r="W10" s="2319">
        <v>3</v>
      </c>
      <c r="X10" s="2289" t="s">
        <v>149</v>
      </c>
      <c r="Y10" s="2290"/>
      <c r="Z10" s="2291" t="s">
        <v>260</v>
      </c>
      <c r="AA10" s="2292" t="s">
        <v>260</v>
      </c>
      <c r="AB10" s="1872"/>
      <c r="AC10" s="1873"/>
      <c r="AD10" s="1872"/>
      <c r="AE10" s="1873"/>
      <c r="AF10" s="1872"/>
      <c r="AG10" s="1873"/>
    </row>
    <row r="11" spans="1:33" ht="33" customHeight="1">
      <c r="A11" s="2320"/>
      <c r="B11" s="2290"/>
      <c r="C11" s="2290"/>
      <c r="D11" s="2291" t="s">
        <v>261</v>
      </c>
      <c r="E11" s="2292" t="s">
        <v>261</v>
      </c>
      <c r="F11" s="1138"/>
      <c r="G11" s="1000" t="s">
        <v>1048</v>
      </c>
      <c r="H11" s="1000"/>
      <c r="I11" s="60"/>
      <c r="J11" s="1670"/>
      <c r="K11" s="89">
        <f>K10/25*7</f>
        <v>0</v>
      </c>
      <c r="L11" s="1670" t="s">
        <v>10</v>
      </c>
      <c r="M11" s="60"/>
      <c r="N11" s="1670"/>
      <c r="O11" s="89">
        <f>O10/25*7</f>
        <v>0</v>
      </c>
      <c r="P11" s="1670" t="s">
        <v>10</v>
      </c>
      <c r="Q11" s="60"/>
      <c r="R11" s="1670"/>
      <c r="S11" s="89">
        <f>S10/25*7</f>
        <v>0</v>
      </c>
      <c r="T11" s="64" t="s">
        <v>10</v>
      </c>
      <c r="U11" s="20"/>
      <c r="W11" s="2320"/>
      <c r="X11" s="2290"/>
      <c r="Y11" s="2290"/>
      <c r="Z11" s="2291" t="s">
        <v>261</v>
      </c>
      <c r="AA11" s="2292" t="s">
        <v>261</v>
      </c>
      <c r="AB11" s="1872"/>
      <c r="AC11" s="1873"/>
      <c r="AD11" s="1872"/>
      <c r="AE11" s="1873"/>
      <c r="AF11" s="1872"/>
      <c r="AG11" s="1873"/>
    </row>
    <row r="12" spans="1:33" ht="33" customHeight="1">
      <c r="A12" s="2319">
        <v>4</v>
      </c>
      <c r="B12" s="2289" t="s">
        <v>150</v>
      </c>
      <c r="C12" s="2290"/>
      <c r="D12" s="2291" t="s">
        <v>260</v>
      </c>
      <c r="E12" s="2292" t="s">
        <v>260</v>
      </c>
      <c r="F12" s="1165" t="s">
        <v>4</v>
      </c>
      <c r="G12" s="1000" t="str">
        <f>'XM.GUI MAIL'!$E$40</f>
        <v>50~70</v>
      </c>
      <c r="H12" s="1000" t="str">
        <f>'XM.GUI MAIL'!$F$40</f>
        <v>(60±5)</v>
      </c>
      <c r="I12" s="1657">
        <f>'XM.GUI MAIL'!I40</f>
        <v>0</v>
      </c>
      <c r="J12" s="1670" t="s">
        <v>8</v>
      </c>
      <c r="K12" s="1558">
        <f>'XM.GUI MAIL'!L40</f>
        <v>0</v>
      </c>
      <c r="L12" s="1670" t="s">
        <v>9</v>
      </c>
      <c r="M12" s="1657">
        <f>'XM.GUI MAIL'!O40</f>
        <v>0</v>
      </c>
      <c r="N12" s="1670" t="s">
        <v>8</v>
      </c>
      <c r="O12" s="1558">
        <f>'XM.GUI MAIL'!R40</f>
        <v>0</v>
      </c>
      <c r="P12" s="1670" t="s">
        <v>9</v>
      </c>
      <c r="Q12" s="1657">
        <f>'XM.GUI MAIL'!U40</f>
        <v>0</v>
      </c>
      <c r="R12" s="1670" t="s">
        <v>8</v>
      </c>
      <c r="S12" s="1558">
        <f>'XM.GUI MAIL'!X40</f>
        <v>0</v>
      </c>
      <c r="T12" s="64" t="s">
        <v>9</v>
      </c>
      <c r="U12" s="300" t="s">
        <v>12</v>
      </c>
      <c r="W12" s="2319">
        <v>4</v>
      </c>
      <c r="X12" s="2289" t="s">
        <v>150</v>
      </c>
      <c r="Y12" s="2290"/>
      <c r="Z12" s="2291" t="s">
        <v>260</v>
      </c>
      <c r="AA12" s="2292" t="s">
        <v>260</v>
      </c>
      <c r="AB12" s="1872"/>
      <c r="AC12" s="1873"/>
      <c r="AD12" s="1872"/>
      <c r="AE12" s="1873"/>
      <c r="AF12" s="1872"/>
      <c r="AG12" s="1873"/>
    </row>
    <row r="13" spans="1:33" ht="33" customHeight="1">
      <c r="A13" s="2320"/>
      <c r="B13" s="2290"/>
      <c r="C13" s="2290"/>
      <c r="D13" s="2291" t="s">
        <v>261</v>
      </c>
      <c r="E13" s="2292" t="s">
        <v>261</v>
      </c>
      <c r="F13" s="1138"/>
      <c r="G13" s="1000" t="s">
        <v>1048</v>
      </c>
      <c r="H13" s="1000"/>
      <c r="I13" s="60"/>
      <c r="J13" s="1670"/>
      <c r="K13" s="89">
        <f>K12/25*7</f>
        <v>0</v>
      </c>
      <c r="L13" s="1670" t="s">
        <v>10</v>
      </c>
      <c r="M13" s="60"/>
      <c r="N13" s="1670"/>
      <c r="O13" s="89">
        <f>O12/25*7</f>
        <v>0</v>
      </c>
      <c r="P13" s="1670" t="s">
        <v>10</v>
      </c>
      <c r="Q13" s="60"/>
      <c r="R13" s="1670"/>
      <c r="S13" s="89">
        <f>S12/25*7</f>
        <v>0</v>
      </c>
      <c r="T13" s="64" t="s">
        <v>10</v>
      </c>
      <c r="U13" s="20"/>
      <c r="W13" s="2320"/>
      <c r="X13" s="2290"/>
      <c r="Y13" s="2290"/>
      <c r="Z13" s="2291" t="s">
        <v>261</v>
      </c>
      <c r="AA13" s="2292" t="s">
        <v>261</v>
      </c>
      <c r="AB13" s="1872"/>
      <c r="AC13" s="1873"/>
      <c r="AD13" s="1872"/>
      <c r="AE13" s="1873"/>
      <c r="AF13" s="1872"/>
      <c r="AG13" s="1873"/>
    </row>
    <row r="14" spans="1:33" ht="33" customHeight="1">
      <c r="A14" s="1165">
        <v>5</v>
      </c>
      <c r="B14" s="2291" t="s">
        <v>82</v>
      </c>
      <c r="C14" s="2312"/>
      <c r="D14" s="2312"/>
      <c r="E14" s="2292"/>
      <c r="F14" s="1165" t="s">
        <v>4</v>
      </c>
      <c r="G14" s="1133" t="str">
        <f>'XM.GUI MAIL'!$E$41</f>
        <v>130 - 150</v>
      </c>
      <c r="H14" s="1133" t="str">
        <f>'XM.GUI MAIL'!$F$41</f>
        <v>(140±10)</v>
      </c>
      <c r="I14" s="1694">
        <f>'XM.GUI MAIL'!I41</f>
        <v>0</v>
      </c>
      <c r="J14" s="1670" t="s">
        <v>8</v>
      </c>
      <c r="K14" s="1558">
        <f>'XM.GUI MAIL'!L41</f>
        <v>0</v>
      </c>
      <c r="L14" s="1670" t="s">
        <v>9</v>
      </c>
      <c r="M14" s="1694">
        <f>'XM.GUI MAIL'!O41</f>
        <v>0</v>
      </c>
      <c r="N14" s="1670" t="s">
        <v>8</v>
      </c>
      <c r="O14" s="1558">
        <f>'XM.GUI MAIL'!R41</f>
        <v>0</v>
      </c>
      <c r="P14" s="1670" t="s">
        <v>9</v>
      </c>
      <c r="Q14" s="1694">
        <f>'XM.GUI MAIL'!U41</f>
        <v>0</v>
      </c>
      <c r="R14" s="1670" t="s">
        <v>8</v>
      </c>
      <c r="S14" s="1558">
        <f>'XM.GUI MAIL'!X41</f>
        <v>0</v>
      </c>
      <c r="T14" s="64" t="s">
        <v>9</v>
      </c>
      <c r="U14" s="300" t="s">
        <v>13</v>
      </c>
      <c r="W14" s="1779">
        <v>5</v>
      </c>
      <c r="X14" s="2291" t="s">
        <v>82</v>
      </c>
      <c r="Y14" s="2312"/>
      <c r="Z14" s="2312"/>
      <c r="AA14" s="2292"/>
      <c r="AB14" s="1872"/>
      <c r="AC14" s="1873"/>
      <c r="AD14" s="1872"/>
      <c r="AE14" s="1873"/>
      <c r="AF14" s="1872"/>
      <c r="AG14" s="1873"/>
    </row>
    <row r="15" spans="1:33" ht="33" customHeight="1">
      <c r="A15" s="1165">
        <v>6</v>
      </c>
      <c r="B15" s="2291" t="s">
        <v>60</v>
      </c>
      <c r="C15" s="2312"/>
      <c r="D15" s="2312"/>
      <c r="E15" s="2292"/>
      <c r="F15" s="1165" t="s">
        <v>4</v>
      </c>
      <c r="G15" s="1133" t="str">
        <f>'XM.GUI MAIL'!$E$42</f>
        <v>8~12</v>
      </c>
      <c r="H15" s="1133" t="str">
        <f>'XM.GUI MAIL'!$F$42</f>
        <v>(10±1)</v>
      </c>
      <c r="I15" s="664">
        <f>'XM.GUI MAIL'!I42</f>
        <v>0</v>
      </c>
      <c r="J15" s="1670" t="s">
        <v>8</v>
      </c>
      <c r="K15" s="1558">
        <f>'XM.GUI MAIL'!L42</f>
        <v>0</v>
      </c>
      <c r="L15" s="1670" t="s">
        <v>9</v>
      </c>
      <c r="M15" s="664">
        <f>'XM.GUI MAIL'!O42</f>
        <v>0</v>
      </c>
      <c r="N15" s="1670" t="s">
        <v>8</v>
      </c>
      <c r="O15" s="1558">
        <f>'XM.GUI MAIL'!R42</f>
        <v>0</v>
      </c>
      <c r="P15" s="1670" t="s">
        <v>9</v>
      </c>
      <c r="Q15" s="664">
        <f>'XM.GUI MAIL'!U42</f>
        <v>0</v>
      </c>
      <c r="R15" s="1670" t="s">
        <v>8</v>
      </c>
      <c r="S15" s="1558">
        <f>'XM.GUI MAIL'!X42</f>
        <v>0</v>
      </c>
      <c r="T15" s="64" t="s">
        <v>9</v>
      </c>
      <c r="U15" s="300" t="s">
        <v>14</v>
      </c>
      <c r="W15" s="1779">
        <v>6</v>
      </c>
      <c r="X15" s="2291" t="s">
        <v>60</v>
      </c>
      <c r="Y15" s="2312"/>
      <c r="Z15" s="2312"/>
      <c r="AA15" s="2292"/>
      <c r="AB15" s="1872"/>
      <c r="AC15" s="1873"/>
      <c r="AD15" s="1872"/>
      <c r="AE15" s="1873"/>
      <c r="AF15" s="1872"/>
      <c r="AG15" s="1873"/>
    </row>
    <row r="16" spans="1:33" ht="33" customHeight="1">
      <c r="A16" s="2319">
        <v>7</v>
      </c>
      <c r="B16" s="2272" t="s">
        <v>1039</v>
      </c>
      <c r="C16" s="2273"/>
      <c r="D16" s="2273"/>
      <c r="E16" s="2274"/>
      <c r="F16" s="1165" t="s">
        <v>3</v>
      </c>
      <c r="G16" s="1133" t="str">
        <f>'XM.GUI MAIL'!$E$43</f>
        <v xml:space="preserve">6~10 </v>
      </c>
      <c r="H16" s="1133" t="str">
        <f>'XM.GUI MAIL'!$F$43</f>
        <v>(8±0.5)</v>
      </c>
      <c r="I16" s="664">
        <f>'XM.GUI MAIL'!I43</f>
        <v>-1.0461</v>
      </c>
      <c r="J16" s="1670" t="s">
        <v>8</v>
      </c>
      <c r="K16" s="1558">
        <f>'XM.GUI MAIL'!L43</f>
        <v>0</v>
      </c>
      <c r="L16" s="1670" t="s">
        <v>10</v>
      </c>
      <c r="M16" s="664">
        <f>'XM.GUI MAIL'!O43</f>
        <v>-1.0461</v>
      </c>
      <c r="N16" s="1670" t="s">
        <v>8</v>
      </c>
      <c r="O16" s="1558">
        <f>'XM.GUI MAIL'!R43</f>
        <v>0</v>
      </c>
      <c r="P16" s="1670" t="s">
        <v>10</v>
      </c>
      <c r="Q16" s="664">
        <f>'XM.GUI MAIL'!U43</f>
        <v>-1.0461</v>
      </c>
      <c r="R16" s="1670" t="s">
        <v>8</v>
      </c>
      <c r="S16" s="1558">
        <f>'XM.GUI MAIL'!X43</f>
        <v>0</v>
      </c>
      <c r="T16" s="64" t="s">
        <v>10</v>
      </c>
      <c r="U16" s="300"/>
      <c r="W16" s="2319">
        <v>7</v>
      </c>
      <c r="X16" s="2272" t="s">
        <v>1039</v>
      </c>
      <c r="Y16" s="2273"/>
      <c r="Z16" s="2273"/>
      <c r="AA16" s="2274"/>
      <c r="AB16" s="1872"/>
      <c r="AC16" s="1873"/>
      <c r="AD16" s="1872"/>
      <c r="AE16" s="1873"/>
      <c r="AF16" s="1872"/>
      <c r="AG16" s="1873"/>
    </row>
    <row r="17" spans="1:33" ht="33" customHeight="1">
      <c r="A17" s="2320"/>
      <c r="B17" s="2275"/>
      <c r="C17" s="2336"/>
      <c r="D17" s="2336"/>
      <c r="E17" s="2337"/>
      <c r="F17" s="1165" t="s">
        <v>5</v>
      </c>
      <c r="G17" s="1133" t="str">
        <f>'XM.GUI MAIL'!$E$44</f>
        <v>2~2.5</v>
      </c>
      <c r="H17" s="1133" t="str">
        <f>'XM.GUI MAIL'!$F$44</f>
        <v>(2.3±0.1 )</v>
      </c>
      <c r="I17" s="664">
        <f>'XM.GUI MAIL'!I44</f>
        <v>0</v>
      </c>
      <c r="J17" s="1670"/>
      <c r="K17" s="1558"/>
      <c r="L17" s="1670"/>
      <c r="M17" s="664">
        <f>'XM.GUI MAIL'!O44</f>
        <v>0</v>
      </c>
      <c r="N17" s="1670"/>
      <c r="O17" s="1558"/>
      <c r="P17" s="1670"/>
      <c r="Q17" s="664">
        <f>'XM.GUI MAIL'!U44</f>
        <v>0</v>
      </c>
      <c r="R17" s="1670"/>
      <c r="S17" s="1558">
        <f>'XM.GUI MAIL'!X44</f>
        <v>0</v>
      </c>
      <c r="T17" s="64"/>
      <c r="U17" s="20"/>
      <c r="W17" s="2320"/>
      <c r="X17" s="2275"/>
      <c r="Y17" s="2336"/>
      <c r="Z17" s="2336"/>
      <c r="AA17" s="2337"/>
      <c r="AB17" s="1872"/>
      <c r="AC17" s="1873"/>
      <c r="AD17" s="1872"/>
      <c r="AE17" s="1873"/>
      <c r="AF17" s="1872"/>
      <c r="AG17" s="1873"/>
    </row>
    <row r="18" spans="1:33" ht="33" customHeight="1">
      <c r="A18" s="1165">
        <v>8</v>
      </c>
      <c r="B18" s="2291" t="s">
        <v>61</v>
      </c>
      <c r="C18" s="2312"/>
      <c r="D18" s="2312"/>
      <c r="E18" s="2292"/>
      <c r="F18" s="1155" t="s">
        <v>6</v>
      </c>
      <c r="G18" s="1133" t="str">
        <f>'XM.GUI MAIL'!$E$45</f>
        <v xml:space="preserve">30~60 </v>
      </c>
      <c r="H18" s="1133" t="str">
        <f>'XM.GUI MAIL'!$F$45</f>
        <v>(45±5)</v>
      </c>
      <c r="I18" s="337">
        <f>'XM.GUI MAIL'!I45</f>
        <v>0</v>
      </c>
      <c r="J18" s="1670" t="s">
        <v>8</v>
      </c>
      <c r="K18" s="1558">
        <f>'XM.GUI MAIL'!L45</f>
        <v>0</v>
      </c>
      <c r="L18" s="1670" t="s">
        <v>10</v>
      </c>
      <c r="M18" s="337">
        <f>'XM.GUI MAIL'!O45</f>
        <v>0</v>
      </c>
      <c r="N18" s="1670" t="s">
        <v>8</v>
      </c>
      <c r="O18" s="1558">
        <f>'XM.GUI MAIL'!R45</f>
        <v>0</v>
      </c>
      <c r="P18" s="1670" t="s">
        <v>10</v>
      </c>
      <c r="Q18" s="337">
        <f>'XM.GUI MAIL'!U45</f>
        <v>0</v>
      </c>
      <c r="R18" s="1670" t="s">
        <v>8</v>
      </c>
      <c r="S18" s="1558">
        <f>'XM.GUI MAIL'!X45</f>
        <v>0</v>
      </c>
      <c r="T18" s="64" t="s">
        <v>10</v>
      </c>
      <c r="U18" s="300" t="s">
        <v>15</v>
      </c>
      <c r="W18" s="1779">
        <v>8</v>
      </c>
      <c r="X18" s="2291" t="s">
        <v>61</v>
      </c>
      <c r="Y18" s="2312"/>
      <c r="Z18" s="2312"/>
      <c r="AA18" s="2292"/>
      <c r="AB18" s="1872"/>
      <c r="AC18" s="1873"/>
      <c r="AD18" s="1872"/>
      <c r="AE18" s="1873"/>
      <c r="AF18" s="1872"/>
      <c r="AG18" s="1873"/>
    </row>
    <row r="19" spans="1:33" ht="33" customHeight="1">
      <c r="A19" s="1165">
        <v>9</v>
      </c>
      <c r="B19" s="2291" t="s">
        <v>62</v>
      </c>
      <c r="C19" s="2312"/>
      <c r="D19" s="2312"/>
      <c r="E19" s="2292"/>
      <c r="F19" s="1155" t="s">
        <v>6</v>
      </c>
      <c r="G19" s="1133" t="str">
        <f>'XM.GUI MAIL'!$E$46</f>
        <v>15~30</v>
      </c>
      <c r="H19" s="1133" t="str">
        <f>'XM.GUI MAIL'!$F$46</f>
        <v>(22±5 )</v>
      </c>
      <c r="I19" s="337">
        <f>'XM.GUI MAIL'!I46</f>
        <v>0</v>
      </c>
      <c r="J19" s="1670" t="s">
        <v>8</v>
      </c>
      <c r="K19" s="1558">
        <f>'XM.GUI MAIL'!L46</f>
        <v>0</v>
      </c>
      <c r="L19" s="1670" t="s">
        <v>10</v>
      </c>
      <c r="M19" s="337">
        <f>'XM.GUI MAIL'!O46</f>
        <v>0</v>
      </c>
      <c r="N19" s="1670" t="s">
        <v>8</v>
      </c>
      <c r="O19" s="1558">
        <f>'XM.GUI MAIL'!R46</f>
        <v>0</v>
      </c>
      <c r="P19" s="1670" t="s">
        <v>10</v>
      </c>
      <c r="Q19" s="337">
        <f>'XM.GUI MAIL'!U46</f>
        <v>0</v>
      </c>
      <c r="R19" s="1670" t="s">
        <v>8</v>
      </c>
      <c r="S19" s="1558">
        <f>'XM.GUI MAIL'!X46</f>
        <v>0</v>
      </c>
      <c r="T19" s="64" t="s">
        <v>10</v>
      </c>
      <c r="U19" s="300" t="s">
        <v>15</v>
      </c>
      <c r="W19" s="1779">
        <v>9</v>
      </c>
      <c r="X19" s="2291" t="s">
        <v>62</v>
      </c>
      <c r="Y19" s="2312"/>
      <c r="Z19" s="2312"/>
      <c r="AA19" s="2292"/>
      <c r="AB19" s="1872"/>
      <c r="AC19" s="1873"/>
      <c r="AD19" s="1872"/>
      <c r="AE19" s="1873"/>
      <c r="AF19" s="1872"/>
      <c r="AG19" s="1873"/>
    </row>
    <row r="20" spans="1:33" ht="33" customHeight="1">
      <c r="A20" s="1165">
        <v>11</v>
      </c>
      <c r="B20" s="2291" t="s">
        <v>116</v>
      </c>
      <c r="C20" s="2312"/>
      <c r="D20" s="2312"/>
      <c r="E20" s="2292"/>
      <c r="F20" s="1155" t="s">
        <v>6</v>
      </c>
      <c r="G20" s="1133" t="str">
        <f>'XM.GUI MAIL'!$E$47</f>
        <v>5~15</v>
      </c>
      <c r="H20" s="1133" t="str">
        <f>'XM.GUI MAIL'!$F$47</f>
        <v>(10±3)</v>
      </c>
      <c r="I20" s="337">
        <f>'XM.GUI MAIL'!I47</f>
        <v>0</v>
      </c>
      <c r="J20" s="1670" t="s">
        <v>8</v>
      </c>
      <c r="K20" s="1558">
        <f>'XM.GUI MAIL'!L47</f>
        <v>0</v>
      </c>
      <c r="L20" s="1670" t="s">
        <v>10</v>
      </c>
      <c r="M20" s="337">
        <f>'XM.GUI MAIL'!O47</f>
        <v>0</v>
      </c>
      <c r="N20" s="1670" t="s">
        <v>8</v>
      </c>
      <c r="O20" s="1558">
        <f>'XM.GUI MAIL'!R47</f>
        <v>0</v>
      </c>
      <c r="P20" s="1670" t="s">
        <v>10</v>
      </c>
      <c r="Q20" s="337">
        <f>'XM.GUI MAIL'!U47</f>
        <v>0</v>
      </c>
      <c r="R20" s="1670" t="s">
        <v>8</v>
      </c>
      <c r="S20" s="1558">
        <f>'XM.GUI MAIL'!X47</f>
        <v>0</v>
      </c>
      <c r="T20" s="64" t="s">
        <v>10</v>
      </c>
      <c r="U20" s="300" t="s">
        <v>16</v>
      </c>
      <c r="W20" s="1779">
        <v>11</v>
      </c>
      <c r="X20" s="2291" t="s">
        <v>116</v>
      </c>
      <c r="Y20" s="2312"/>
      <c r="Z20" s="2312"/>
      <c r="AA20" s="2292"/>
      <c r="AB20" s="1872"/>
      <c r="AC20" s="1873"/>
      <c r="AD20" s="1872"/>
      <c r="AE20" s="1873"/>
      <c r="AF20" s="1872"/>
      <c r="AG20" s="1873"/>
    </row>
    <row r="21" spans="1:33" ht="33" customHeight="1">
      <c r="A21" s="1165">
        <v>12</v>
      </c>
      <c r="B21" s="2291" t="s">
        <v>115</v>
      </c>
      <c r="C21" s="2312"/>
      <c r="D21" s="2312"/>
      <c r="E21" s="2292"/>
      <c r="F21" s="1155" t="s">
        <v>3</v>
      </c>
      <c r="G21" s="1133" t="str">
        <f>'XM.GUI MAIL'!$E$48</f>
        <v>0.5~1.5</v>
      </c>
      <c r="H21" s="1133" t="str">
        <f>'XM.GUI MAIL'!$F$48</f>
        <v>(1±0.2)</v>
      </c>
      <c r="I21" s="340">
        <f>'XM.GUI MAIL'!I48</f>
        <v>0</v>
      </c>
      <c r="J21" s="1670" t="s">
        <v>8</v>
      </c>
      <c r="K21" s="89">
        <f>'XM.GUI MAIL'!L48</f>
        <v>0</v>
      </c>
      <c r="L21" s="1670" t="s">
        <v>10</v>
      </c>
      <c r="M21" s="340">
        <f>'XM.GUI MAIL'!O48</f>
        <v>0</v>
      </c>
      <c r="N21" s="1670" t="s">
        <v>8</v>
      </c>
      <c r="O21" s="89">
        <f>'XM.GUI MAIL'!R48</f>
        <v>0</v>
      </c>
      <c r="P21" s="1670" t="s">
        <v>10</v>
      </c>
      <c r="Q21" s="340">
        <f>'XM.GUI MAIL'!U48</f>
        <v>0</v>
      </c>
      <c r="R21" s="1670" t="s">
        <v>8</v>
      </c>
      <c r="S21" s="89">
        <f>'XM.GUI MAIL'!X48</f>
        <v>0</v>
      </c>
      <c r="T21" s="64" t="s">
        <v>10</v>
      </c>
      <c r="U21" s="300" t="s">
        <v>16</v>
      </c>
      <c r="W21" s="1779">
        <v>12</v>
      </c>
      <c r="X21" s="2291" t="s">
        <v>115</v>
      </c>
      <c r="Y21" s="2312"/>
      <c r="Z21" s="2312"/>
      <c r="AA21" s="2292"/>
      <c r="AB21" s="1872"/>
      <c r="AC21" s="1873"/>
      <c r="AD21" s="1872"/>
      <c r="AE21" s="1873"/>
      <c r="AF21" s="1872"/>
      <c r="AG21" s="1873"/>
    </row>
    <row r="22" spans="1:33" ht="31.5" customHeight="1">
      <c r="A22" s="2319">
        <v>13</v>
      </c>
      <c r="B22" s="2272" t="s">
        <v>262</v>
      </c>
      <c r="C22" s="2273"/>
      <c r="D22" s="2273"/>
      <c r="E22" s="2274"/>
      <c r="F22" s="1165" t="s">
        <v>3</v>
      </c>
      <c r="G22" s="1133" t="str">
        <f>'XM.GUI MAIL'!$E$49</f>
        <v>5~8</v>
      </c>
      <c r="H22" s="1133" t="str">
        <f>'XM.GUI MAIL'!$F$49</f>
        <v>(6%±0.5)</v>
      </c>
      <c r="I22" s="1673" t="str">
        <f>'XM.GUI MAIL'!I49</f>
        <v/>
      </c>
      <c r="J22" s="1670" t="s">
        <v>8</v>
      </c>
      <c r="K22" s="1558" t="str">
        <f>'XM.GUI MAIL'!L49</f>
        <v/>
      </c>
      <c r="L22" s="1671" t="s">
        <v>10</v>
      </c>
      <c r="M22" s="1673" t="str">
        <f>'XM.GUI MAIL'!O49</f>
        <v/>
      </c>
      <c r="N22" s="1670" t="s">
        <v>8</v>
      </c>
      <c r="O22" s="1558" t="str">
        <f>'XM.GUI MAIL'!R49</f>
        <v/>
      </c>
      <c r="P22" s="1671" t="s">
        <v>10</v>
      </c>
      <c r="Q22" s="1673" t="str">
        <f>'XM.GUI MAIL'!U49</f>
        <v/>
      </c>
      <c r="R22" s="1670" t="s">
        <v>8</v>
      </c>
      <c r="S22" s="1558" t="str">
        <f>'XM.GUI MAIL'!X49</f>
        <v/>
      </c>
      <c r="T22" s="64" t="s">
        <v>10</v>
      </c>
      <c r="U22" s="300"/>
      <c r="W22" s="2319">
        <v>13</v>
      </c>
      <c r="X22" s="2272" t="s">
        <v>262</v>
      </c>
      <c r="Y22" s="2273"/>
      <c r="Z22" s="2273"/>
      <c r="AA22" s="2274"/>
      <c r="AB22" s="1872"/>
      <c r="AC22" s="1873"/>
      <c r="AD22" s="1872"/>
      <c r="AE22" s="1873"/>
      <c r="AF22" s="1872"/>
      <c r="AG22" s="1873"/>
    </row>
    <row r="23" spans="1:33" ht="31.5" customHeight="1">
      <c r="A23" s="2320"/>
      <c r="B23" s="2275"/>
      <c r="C23" s="2276"/>
      <c r="D23" s="2276"/>
      <c r="E23" s="2277"/>
      <c r="F23" s="1165" t="s">
        <v>5</v>
      </c>
      <c r="G23" s="1133" t="str">
        <f>'XM.GUI MAIL'!$E$50</f>
        <v>1.8~2.4</v>
      </c>
      <c r="H23" s="1133" t="str">
        <f>'XM.GUI MAIL'!$F$50</f>
        <v>(2.1±0.1 )</v>
      </c>
      <c r="I23" s="1673">
        <f>'XM.GUI MAIL'!I50</f>
        <v>0</v>
      </c>
      <c r="J23" s="1670"/>
      <c r="K23" s="1558"/>
      <c r="L23" s="1671"/>
      <c r="M23" s="1673">
        <f>'XM.GUI MAIL'!O50</f>
        <v>0</v>
      </c>
      <c r="N23" s="1670"/>
      <c r="O23" s="1558"/>
      <c r="P23" s="1671"/>
      <c r="Q23" s="1673">
        <f>'XM.GUI MAIL'!U50</f>
        <v>0</v>
      </c>
      <c r="R23" s="1670"/>
      <c r="S23" s="1558">
        <f>'XM.GUI MAIL'!X50</f>
        <v>0</v>
      </c>
      <c r="T23" s="64"/>
      <c r="U23" s="300"/>
      <c r="W23" s="2320"/>
      <c r="X23" s="2275"/>
      <c r="Y23" s="2276"/>
      <c r="Z23" s="2276"/>
      <c r="AA23" s="2277"/>
      <c r="AB23" s="1872"/>
      <c r="AC23" s="1873"/>
      <c r="AD23" s="1872"/>
      <c r="AE23" s="1874"/>
      <c r="AF23" s="1868"/>
      <c r="AG23" s="1874"/>
    </row>
    <row r="24" spans="1:33" ht="33.75" customHeight="1">
      <c r="A24" s="1165"/>
      <c r="B24" s="282"/>
      <c r="C24" s="283"/>
      <c r="D24" s="283"/>
      <c r="E24" s="283"/>
      <c r="F24" s="283"/>
      <c r="G24" s="285" t="s">
        <v>117</v>
      </c>
      <c r="H24" s="285"/>
      <c r="I24" s="283"/>
      <c r="J24" s="283"/>
      <c r="K24" s="283"/>
      <c r="L24" s="283"/>
      <c r="M24" s="283"/>
      <c r="N24" s="283"/>
      <c r="O24" s="283"/>
      <c r="P24" s="283"/>
      <c r="Q24" s="283"/>
      <c r="R24" s="283"/>
      <c r="S24" s="283"/>
      <c r="T24" s="283"/>
      <c r="U24" s="284"/>
      <c r="W24" s="1779"/>
      <c r="X24" s="282"/>
      <c r="Y24" s="283"/>
      <c r="Z24" s="283"/>
      <c r="AA24" s="283"/>
      <c r="AB24" s="283"/>
      <c r="AC24" s="283"/>
      <c r="AD24" s="283"/>
    </row>
    <row r="25" spans="1:33" ht="33.75" customHeight="1">
      <c r="A25" s="1155" t="s">
        <v>7</v>
      </c>
      <c r="B25" s="2291" t="s">
        <v>64</v>
      </c>
      <c r="C25" s="2312"/>
      <c r="D25" s="2312"/>
      <c r="E25" s="2292"/>
      <c r="F25" s="1158" t="s">
        <v>66</v>
      </c>
      <c r="G25" s="1094" t="s">
        <v>1424</v>
      </c>
      <c r="H25" s="1618" t="s">
        <v>1412</v>
      </c>
      <c r="I25" s="2340" t="s">
        <v>48</v>
      </c>
      <c r="J25" s="2341"/>
      <c r="K25" s="2340" t="s">
        <v>65</v>
      </c>
      <c r="L25" s="2341"/>
      <c r="M25" s="2340" t="s">
        <v>48</v>
      </c>
      <c r="N25" s="2341"/>
      <c r="O25" s="2340" t="s">
        <v>65</v>
      </c>
      <c r="P25" s="2341"/>
      <c r="Q25" s="2340" t="s">
        <v>48</v>
      </c>
      <c r="R25" s="2341"/>
      <c r="S25" s="2340" t="s">
        <v>65</v>
      </c>
      <c r="T25" s="2341"/>
      <c r="U25" s="1156"/>
      <c r="W25" s="1781" t="s">
        <v>7</v>
      </c>
      <c r="X25" s="2291" t="s">
        <v>64</v>
      </c>
      <c r="Y25" s="2312"/>
      <c r="Z25" s="2312"/>
      <c r="AA25" s="2292"/>
      <c r="AB25" s="2268" t="s">
        <v>1526</v>
      </c>
      <c r="AC25" s="2130"/>
      <c r="AD25" s="2268" t="s">
        <v>1526</v>
      </c>
      <c r="AE25" s="2130"/>
      <c r="AF25" s="2268" t="s">
        <v>1526</v>
      </c>
      <c r="AG25" s="2130"/>
    </row>
    <row r="26" spans="1:33" ht="37.5" customHeight="1">
      <c r="A26" s="1155">
        <v>1</v>
      </c>
      <c r="B26" s="2291" t="s">
        <v>68</v>
      </c>
      <c r="C26" s="2312"/>
      <c r="D26" s="2312"/>
      <c r="E26" s="2292"/>
      <c r="F26" s="21" t="s">
        <v>113</v>
      </c>
      <c r="G26" s="1134" t="str">
        <f>'XM.GUI MAIL'!$E$53</f>
        <v>50~70</v>
      </c>
      <c r="H26" s="1134" t="str">
        <f>'XM.GUI MAIL'!$F$53</f>
        <v>(60±3)</v>
      </c>
      <c r="I26" s="2088">
        <f>'XM.GUI MAIL'!I53</f>
        <v>0</v>
      </c>
      <c r="J26" s="2089"/>
      <c r="K26" s="2088">
        <f>'XM.GUI MAIL'!L53</f>
        <v>0</v>
      </c>
      <c r="L26" s="2089"/>
      <c r="M26" s="2088">
        <f>'XM.GUI MAIL'!O53</f>
        <v>0</v>
      </c>
      <c r="N26" s="2089"/>
      <c r="O26" s="2088">
        <f>'XM.GUI MAIL'!R53</f>
        <v>0</v>
      </c>
      <c r="P26" s="2089"/>
      <c r="Q26" s="2088">
        <f>'XM.GUI MAIL'!U53</f>
        <v>0</v>
      </c>
      <c r="R26" s="2089"/>
      <c r="S26" s="2088">
        <f>'XM.GUI MAIL'!X53</f>
        <v>0</v>
      </c>
      <c r="T26" s="2089"/>
      <c r="U26" s="20"/>
      <c r="W26" s="1781">
        <v>1</v>
      </c>
      <c r="X26" s="2291" t="s">
        <v>68</v>
      </c>
      <c r="Y26" s="2312"/>
      <c r="Z26" s="2312"/>
      <c r="AA26" s="2292"/>
      <c r="AB26" s="1872"/>
      <c r="AC26" s="1873"/>
      <c r="AD26" s="1872"/>
      <c r="AE26" s="1873"/>
      <c r="AF26" s="1872"/>
      <c r="AG26" s="1873"/>
    </row>
    <row r="27" spans="1:33" ht="37.5" customHeight="1">
      <c r="A27" s="1155">
        <v>2</v>
      </c>
      <c r="B27" s="2291" t="s">
        <v>69</v>
      </c>
      <c r="C27" s="2312" t="s">
        <v>69</v>
      </c>
      <c r="D27" s="2312" t="s">
        <v>69</v>
      </c>
      <c r="E27" s="2292" t="s">
        <v>69</v>
      </c>
      <c r="F27" s="21" t="s">
        <v>113</v>
      </c>
      <c r="G27" s="1134" t="str">
        <f>'XM.GUI MAIL'!$E$54</f>
        <v>50~70</v>
      </c>
      <c r="H27" s="1134" t="str">
        <f>'XM.GUI MAIL'!$F$54</f>
        <v>(60±3)</v>
      </c>
      <c r="I27" s="2088">
        <f>'XM.GUI MAIL'!I54</f>
        <v>0</v>
      </c>
      <c r="J27" s="2089"/>
      <c r="K27" s="2088">
        <f>'XM.GUI MAIL'!L54</f>
        <v>0</v>
      </c>
      <c r="L27" s="2089"/>
      <c r="M27" s="2088">
        <f>'XM.GUI MAIL'!O54</f>
        <v>0</v>
      </c>
      <c r="N27" s="2089"/>
      <c r="O27" s="2088">
        <f>'XM.GUI MAIL'!R54</f>
        <v>0</v>
      </c>
      <c r="P27" s="2089"/>
      <c r="Q27" s="2088">
        <f>'XM.GUI MAIL'!U54</f>
        <v>0</v>
      </c>
      <c r="R27" s="2089"/>
      <c r="S27" s="2088">
        <f>'XM.GUI MAIL'!X54</f>
        <v>0</v>
      </c>
      <c r="T27" s="2089"/>
      <c r="U27" s="20"/>
      <c r="W27" s="1781">
        <v>2</v>
      </c>
      <c r="X27" s="2291" t="s">
        <v>69</v>
      </c>
      <c r="Y27" s="2312" t="s">
        <v>69</v>
      </c>
      <c r="Z27" s="2312" t="s">
        <v>69</v>
      </c>
      <c r="AA27" s="2292" t="s">
        <v>69</v>
      </c>
      <c r="AB27" s="1872"/>
      <c r="AC27" s="1873"/>
      <c r="AD27" s="1872"/>
      <c r="AE27" s="1873"/>
      <c r="AF27" s="1872"/>
      <c r="AG27" s="1873"/>
    </row>
    <row r="28" spans="1:33" ht="37.5" customHeight="1">
      <c r="A28" s="1155">
        <v>3</v>
      </c>
      <c r="B28" s="2291" t="s">
        <v>71</v>
      </c>
      <c r="C28" s="2312" t="s">
        <v>71</v>
      </c>
      <c r="D28" s="2312" t="s">
        <v>71</v>
      </c>
      <c r="E28" s="2292" t="s">
        <v>71</v>
      </c>
      <c r="F28" s="21" t="s">
        <v>113</v>
      </c>
      <c r="G28" s="1134" t="str">
        <f>'XM.GUI MAIL'!$E$55</f>
        <v>50~70</v>
      </c>
      <c r="H28" s="1134" t="str">
        <f>'XM.GUI MAIL'!$F$55</f>
        <v>(60±3)</v>
      </c>
      <c r="I28" s="2088">
        <f>'XM.GUI MAIL'!I55</f>
        <v>0</v>
      </c>
      <c r="J28" s="2089"/>
      <c r="K28" s="2088">
        <f>'XM.GUI MAIL'!L55</f>
        <v>0</v>
      </c>
      <c r="L28" s="2089"/>
      <c r="M28" s="2088">
        <f>'XM.GUI MAIL'!O55</f>
        <v>0</v>
      </c>
      <c r="N28" s="2089"/>
      <c r="O28" s="2088">
        <f>'XM.GUI MAIL'!R55</f>
        <v>0</v>
      </c>
      <c r="P28" s="2089"/>
      <c r="Q28" s="2088">
        <f>'XM.GUI MAIL'!U55</f>
        <v>0</v>
      </c>
      <c r="R28" s="2089"/>
      <c r="S28" s="2088">
        <f>'XM.GUI MAIL'!X55</f>
        <v>0</v>
      </c>
      <c r="T28" s="2089"/>
      <c r="U28" s="20"/>
      <c r="W28" s="1781">
        <v>3</v>
      </c>
      <c r="X28" s="2291" t="s">
        <v>71</v>
      </c>
      <c r="Y28" s="2312" t="s">
        <v>71</v>
      </c>
      <c r="Z28" s="2312" t="s">
        <v>71</v>
      </c>
      <c r="AA28" s="2292" t="s">
        <v>71</v>
      </c>
      <c r="AB28" s="1872"/>
      <c r="AC28" s="1873"/>
      <c r="AD28" s="1872"/>
      <c r="AE28" s="1873"/>
      <c r="AF28" s="1872"/>
      <c r="AG28" s="1873"/>
    </row>
    <row r="29" spans="1:33" ht="37.5" customHeight="1">
      <c r="A29" s="1155">
        <v>4</v>
      </c>
      <c r="B29" s="2291" t="s">
        <v>70</v>
      </c>
      <c r="C29" s="2312" t="s">
        <v>70</v>
      </c>
      <c r="D29" s="2312" t="s">
        <v>70</v>
      </c>
      <c r="E29" s="2292" t="s">
        <v>70</v>
      </c>
      <c r="F29" s="21" t="s">
        <v>113</v>
      </c>
      <c r="G29" s="1134" t="str">
        <f>'XM.GUI MAIL'!$E$56</f>
        <v>50~70</v>
      </c>
      <c r="H29" s="1134" t="str">
        <f>'XM.GUI MAIL'!$F$56</f>
        <v>(60±3)</v>
      </c>
      <c r="I29" s="2088">
        <f>'XM.GUI MAIL'!I56</f>
        <v>0</v>
      </c>
      <c r="J29" s="2089"/>
      <c r="K29" s="2088">
        <f>'XM.GUI MAIL'!L56</f>
        <v>0</v>
      </c>
      <c r="L29" s="2089"/>
      <c r="M29" s="2088">
        <f>'XM.GUI MAIL'!O56</f>
        <v>0</v>
      </c>
      <c r="N29" s="2089"/>
      <c r="O29" s="2088">
        <f>'XM.GUI MAIL'!R56</f>
        <v>0</v>
      </c>
      <c r="P29" s="2089"/>
      <c r="Q29" s="2088">
        <f>'XM.GUI MAIL'!U56</f>
        <v>0</v>
      </c>
      <c r="R29" s="2089"/>
      <c r="S29" s="2088">
        <f>'XM.GUI MAIL'!X56</f>
        <v>0</v>
      </c>
      <c r="T29" s="2089"/>
      <c r="U29" s="20"/>
      <c r="W29" s="1781">
        <v>4</v>
      </c>
      <c r="X29" s="2291" t="s">
        <v>70</v>
      </c>
      <c r="Y29" s="2312" t="s">
        <v>70</v>
      </c>
      <c r="Z29" s="2312" t="s">
        <v>70</v>
      </c>
      <c r="AA29" s="2292" t="s">
        <v>70</v>
      </c>
      <c r="AB29" s="1872"/>
      <c r="AC29" s="1873"/>
      <c r="AD29" s="1872"/>
      <c r="AE29" s="1873"/>
      <c r="AF29" s="1872"/>
      <c r="AG29" s="1873"/>
    </row>
    <row r="30" spans="1:33" ht="37.5" customHeight="1">
      <c r="A30" s="1155">
        <v>5</v>
      </c>
      <c r="B30" s="2291" t="s">
        <v>72</v>
      </c>
      <c r="C30" s="2312" t="s">
        <v>72</v>
      </c>
      <c r="D30" s="2312" t="s">
        <v>72</v>
      </c>
      <c r="E30" s="2292" t="s">
        <v>72</v>
      </c>
      <c r="F30" s="21" t="s">
        <v>113</v>
      </c>
      <c r="G30" s="1134" t="str">
        <f>'XM.GUI MAIL'!$E$57</f>
        <v>22~30</v>
      </c>
      <c r="H30" s="1134" t="str">
        <f>'XM.GUI MAIL'!$F$57</f>
        <v>(24±1)</v>
      </c>
      <c r="I30" s="2088">
        <f>'XM.GUI MAIL'!I57</f>
        <v>0</v>
      </c>
      <c r="J30" s="2089"/>
      <c r="K30" s="2088">
        <f>'XM.GUI MAIL'!L57</f>
        <v>0</v>
      </c>
      <c r="L30" s="2089"/>
      <c r="M30" s="2088">
        <f>'XM.GUI MAIL'!O57</f>
        <v>0</v>
      </c>
      <c r="N30" s="2089"/>
      <c r="O30" s="2088">
        <f>'XM.GUI MAIL'!R57</f>
        <v>0</v>
      </c>
      <c r="P30" s="2089"/>
      <c r="Q30" s="2088">
        <f>'XM.GUI MAIL'!U57</f>
        <v>0</v>
      </c>
      <c r="R30" s="2089"/>
      <c r="S30" s="2088">
        <f>'XM.GUI MAIL'!X57</f>
        <v>0</v>
      </c>
      <c r="T30" s="2089"/>
      <c r="U30" s="20"/>
      <c r="W30" s="1781">
        <v>5</v>
      </c>
      <c r="X30" s="2291" t="s">
        <v>72</v>
      </c>
      <c r="Y30" s="2312" t="s">
        <v>72</v>
      </c>
      <c r="Z30" s="2312" t="s">
        <v>72</v>
      </c>
      <c r="AA30" s="2292" t="s">
        <v>72</v>
      </c>
      <c r="AB30" s="1872"/>
      <c r="AC30" s="1873"/>
      <c r="AD30" s="1872"/>
      <c r="AE30" s="1873"/>
      <c r="AF30" s="1872"/>
      <c r="AG30" s="1873"/>
    </row>
    <row r="31" spans="1:33" ht="37.5" customHeight="1">
      <c r="A31" s="1155">
        <v>6</v>
      </c>
      <c r="B31" s="2291" t="s">
        <v>1040</v>
      </c>
      <c r="C31" s="2312" t="s">
        <v>1040</v>
      </c>
      <c r="D31" s="2312" t="s">
        <v>1040</v>
      </c>
      <c r="E31" s="2292" t="s">
        <v>1040</v>
      </c>
      <c r="F31" s="21" t="s">
        <v>113</v>
      </c>
      <c r="G31" s="1134" t="str">
        <f>'XM.GUI MAIL'!$E$58</f>
        <v>30-38</v>
      </c>
      <c r="H31" s="1134" t="str">
        <f>'XM.GUI MAIL'!$F$58</f>
        <v>(34±2)</v>
      </c>
      <c r="I31" s="2088">
        <f>'XM.GUI MAIL'!I58</f>
        <v>0</v>
      </c>
      <c r="J31" s="2089"/>
      <c r="K31" s="2088">
        <f>'XM.GUI MAIL'!L58</f>
        <v>0</v>
      </c>
      <c r="L31" s="2089"/>
      <c r="M31" s="2088">
        <f>'XM.GUI MAIL'!O58</f>
        <v>0</v>
      </c>
      <c r="N31" s="2089"/>
      <c r="O31" s="2088">
        <f>'XM.GUI MAIL'!R58</f>
        <v>0</v>
      </c>
      <c r="P31" s="2089"/>
      <c r="Q31" s="2088">
        <f>'XM.GUI MAIL'!U58</f>
        <v>0</v>
      </c>
      <c r="R31" s="2089"/>
      <c r="S31" s="2088">
        <f>'XM.GUI MAIL'!X58</f>
        <v>0</v>
      </c>
      <c r="T31" s="2089"/>
      <c r="U31" s="22"/>
      <c r="W31" s="1781">
        <v>6</v>
      </c>
      <c r="X31" s="2291" t="s">
        <v>1040</v>
      </c>
      <c r="Y31" s="2312" t="s">
        <v>1040</v>
      </c>
      <c r="Z31" s="2312" t="s">
        <v>1040</v>
      </c>
      <c r="AA31" s="2292" t="s">
        <v>1040</v>
      </c>
      <c r="AB31" s="1872"/>
      <c r="AC31" s="1873"/>
      <c r="AD31" s="1872"/>
      <c r="AE31" s="1873"/>
      <c r="AF31" s="1872"/>
      <c r="AG31" s="1873"/>
    </row>
    <row r="32" spans="1:33" ht="37.5" customHeight="1">
      <c r="A32" s="1155">
        <v>7</v>
      </c>
      <c r="B32" s="2291" t="s">
        <v>73</v>
      </c>
      <c r="C32" s="2312" t="s">
        <v>73</v>
      </c>
      <c r="D32" s="2312" t="s">
        <v>73</v>
      </c>
      <c r="E32" s="2292" t="s">
        <v>73</v>
      </c>
      <c r="F32" s="21" t="s">
        <v>113</v>
      </c>
      <c r="G32" s="1134" t="str">
        <f>'XM.GUI MAIL'!$E$59</f>
        <v>55~65</v>
      </c>
      <c r="H32" s="1134" t="str">
        <f>'XM.GUI MAIL'!$F$59</f>
        <v>(60±3)</v>
      </c>
      <c r="I32" s="2088">
        <f>'XM.GUI MAIL'!I59</f>
        <v>0</v>
      </c>
      <c r="J32" s="2089"/>
      <c r="K32" s="2088">
        <f>'XM.GUI MAIL'!L59</f>
        <v>0</v>
      </c>
      <c r="L32" s="2089"/>
      <c r="M32" s="2088">
        <f>'XM.GUI MAIL'!O59</f>
        <v>0</v>
      </c>
      <c r="N32" s="2089"/>
      <c r="O32" s="2088">
        <f>'XM.GUI MAIL'!R59</f>
        <v>0</v>
      </c>
      <c r="P32" s="2089"/>
      <c r="Q32" s="2088">
        <f>'XM.GUI MAIL'!U59</f>
        <v>0</v>
      </c>
      <c r="R32" s="2089"/>
      <c r="S32" s="2088">
        <f>'XM.GUI MAIL'!X59</f>
        <v>0</v>
      </c>
      <c r="T32" s="2089"/>
      <c r="U32" s="20"/>
      <c r="W32" s="1781">
        <v>7</v>
      </c>
      <c r="X32" s="2291" t="s">
        <v>73</v>
      </c>
      <c r="Y32" s="2312" t="s">
        <v>73</v>
      </c>
      <c r="Z32" s="2312" t="s">
        <v>73</v>
      </c>
      <c r="AA32" s="2292" t="s">
        <v>73</v>
      </c>
      <c r="AB32" s="1872"/>
      <c r="AC32" s="1873"/>
      <c r="AD32" s="1872"/>
      <c r="AE32" s="1873"/>
      <c r="AF32" s="1872"/>
      <c r="AG32" s="1873"/>
    </row>
    <row r="33" spans="1:33" ht="37.5" customHeight="1">
      <c r="A33" s="1155">
        <v>8</v>
      </c>
      <c r="B33" s="2313" t="s">
        <v>74</v>
      </c>
      <c r="C33" s="2314" t="s">
        <v>74</v>
      </c>
      <c r="D33" s="2314" t="s">
        <v>74</v>
      </c>
      <c r="E33" s="2315" t="s">
        <v>74</v>
      </c>
      <c r="F33" s="21" t="s">
        <v>113</v>
      </c>
      <c r="G33" s="1134" t="str">
        <f>'XM.GUI MAIL'!$E$60</f>
        <v>65~75</v>
      </c>
      <c r="H33" s="1134" t="str">
        <f>'XM.GUI MAIL'!$F$60</f>
        <v>(70±3)</v>
      </c>
      <c r="I33" s="2340" t="s">
        <v>50</v>
      </c>
      <c r="J33" s="2341"/>
      <c r="K33" s="2088">
        <f>'XM.GUI MAIL'!L60</f>
        <v>0</v>
      </c>
      <c r="L33" s="2089"/>
      <c r="M33" s="2340" t="s">
        <v>50</v>
      </c>
      <c r="N33" s="2341"/>
      <c r="O33" s="2088">
        <f>'XM.GUI MAIL'!R60</f>
        <v>0</v>
      </c>
      <c r="P33" s="2089"/>
      <c r="Q33" s="2340" t="s">
        <v>50</v>
      </c>
      <c r="R33" s="2341"/>
      <c r="S33" s="2088">
        <f>'XM.GUI MAIL'!X60</f>
        <v>0</v>
      </c>
      <c r="T33" s="2089"/>
      <c r="U33" s="20"/>
      <c r="W33" s="1781">
        <v>8</v>
      </c>
      <c r="X33" s="2313" t="s">
        <v>74</v>
      </c>
      <c r="Y33" s="2314" t="s">
        <v>74</v>
      </c>
      <c r="Z33" s="2314" t="s">
        <v>74</v>
      </c>
      <c r="AA33" s="2315" t="s">
        <v>74</v>
      </c>
      <c r="AB33" s="1872"/>
      <c r="AC33" s="1873"/>
      <c r="AD33" s="1872"/>
      <c r="AE33" s="1874"/>
      <c r="AF33" s="1868"/>
      <c r="AG33" s="1874"/>
    </row>
    <row r="34" spans="1:33" ht="30.75" customHeight="1">
      <c r="A34" s="1165"/>
      <c r="B34" s="282"/>
      <c r="C34" s="283"/>
      <c r="D34" s="283"/>
      <c r="E34" s="283"/>
      <c r="F34" s="283"/>
      <c r="G34" s="285" t="s">
        <v>118</v>
      </c>
      <c r="H34" s="285"/>
      <c r="I34" s="283"/>
      <c r="J34" s="283"/>
      <c r="K34" s="283"/>
      <c r="L34" s="283"/>
      <c r="M34" s="283"/>
      <c r="N34" s="283"/>
      <c r="O34" s="283"/>
      <c r="P34" s="283"/>
      <c r="Q34" s="283"/>
      <c r="R34" s="283"/>
      <c r="S34" s="283"/>
      <c r="T34" s="283"/>
      <c r="U34" s="284"/>
      <c r="W34" s="1779"/>
      <c r="X34" s="282"/>
      <c r="Y34" s="283"/>
      <c r="Z34" s="283"/>
      <c r="AA34" s="283"/>
      <c r="AB34" s="283"/>
      <c r="AC34" s="283"/>
      <c r="AD34" s="283"/>
    </row>
    <row r="35" spans="1:33" ht="41.25" customHeight="1">
      <c r="A35" s="1155" t="s">
        <v>7</v>
      </c>
      <c r="B35" s="2291" t="s">
        <v>100</v>
      </c>
      <c r="C35" s="2312"/>
      <c r="D35" s="2312"/>
      <c r="E35" s="2292"/>
      <c r="F35" s="1154" t="s">
        <v>101</v>
      </c>
      <c r="G35" s="1094" t="s">
        <v>1424</v>
      </c>
      <c r="H35" s="1618" t="s">
        <v>1412</v>
      </c>
      <c r="I35" s="2095" t="s">
        <v>119</v>
      </c>
      <c r="J35" s="2095"/>
      <c r="K35" s="2095"/>
      <c r="L35" s="2095"/>
      <c r="M35" s="2095" t="s">
        <v>119</v>
      </c>
      <c r="N35" s="2095"/>
      <c r="O35" s="2095"/>
      <c r="P35" s="2095"/>
      <c r="Q35" s="2095" t="s">
        <v>119</v>
      </c>
      <c r="R35" s="2095"/>
      <c r="S35" s="2095"/>
      <c r="T35" s="2095"/>
      <c r="U35" s="1156"/>
      <c r="W35" s="1781" t="s">
        <v>7</v>
      </c>
      <c r="X35" s="2291" t="s">
        <v>100</v>
      </c>
      <c r="Y35" s="2312"/>
      <c r="Z35" s="2312"/>
      <c r="AA35" s="2292"/>
      <c r="AB35" s="2268" t="s">
        <v>1526</v>
      </c>
      <c r="AC35" s="2130"/>
      <c r="AD35" s="2268" t="s">
        <v>1526</v>
      </c>
      <c r="AE35" s="2130"/>
      <c r="AF35" s="2268" t="s">
        <v>1526</v>
      </c>
      <c r="AG35" s="2130"/>
    </row>
    <row r="36" spans="1:33" ht="39" customHeight="1">
      <c r="A36" s="1165">
        <v>1</v>
      </c>
      <c r="B36" s="2333" t="s">
        <v>253</v>
      </c>
      <c r="C36" s="2334"/>
      <c r="D36" s="2334"/>
      <c r="E36" s="2335"/>
      <c r="F36" s="23" t="s">
        <v>51</v>
      </c>
      <c r="G36" s="295" t="str">
        <f>'XM.GUI MAIL'!$E$62</f>
        <v>100-200</v>
      </c>
      <c r="H36" s="295" t="str">
        <f>'XM.GUI MAIL'!$F$62</f>
        <v>100-200</v>
      </c>
      <c r="I36" s="2119">
        <f>'XM.GUI MAIL'!I62</f>
        <v>0</v>
      </c>
      <c r="J36" s="2120"/>
      <c r="K36" s="2120"/>
      <c r="L36" s="2120"/>
      <c r="M36" s="2119">
        <f>'XM.GUI MAIL'!O62</f>
        <v>0</v>
      </c>
      <c r="N36" s="2120"/>
      <c r="O36" s="2120"/>
      <c r="P36" s="2120"/>
      <c r="Q36" s="2119">
        <f>'XM.GUI MAIL'!U62</f>
        <v>0</v>
      </c>
      <c r="R36" s="2120"/>
      <c r="S36" s="2120"/>
      <c r="T36" s="2120"/>
      <c r="U36" s="1754"/>
      <c r="W36" s="1779">
        <v>1</v>
      </c>
      <c r="X36" s="2333" t="s">
        <v>253</v>
      </c>
      <c r="Y36" s="2334"/>
      <c r="Z36" s="2334"/>
      <c r="AA36" s="2335"/>
      <c r="AB36" s="1872"/>
      <c r="AC36" s="1873"/>
      <c r="AD36" s="1872"/>
      <c r="AE36" s="1873"/>
      <c r="AF36" s="1872"/>
      <c r="AG36" s="1873"/>
    </row>
    <row r="37" spans="1:33" ht="39" customHeight="1">
      <c r="A37" s="1165">
        <v>2</v>
      </c>
      <c r="B37" s="2333" t="s">
        <v>254</v>
      </c>
      <c r="C37" s="2334"/>
      <c r="D37" s="2334"/>
      <c r="E37" s="2335"/>
      <c r="F37" s="23" t="s">
        <v>51</v>
      </c>
      <c r="G37" s="295" t="str">
        <f>'XM.GUI MAIL'!$E$63</f>
        <v>20-50</v>
      </c>
      <c r="H37" s="295" t="str">
        <f>'XM.GUI MAIL'!$F$63</f>
        <v>20-50</v>
      </c>
      <c r="I37" s="2119">
        <f>'XM.GUI MAIL'!I63</f>
        <v>0</v>
      </c>
      <c r="J37" s="2120"/>
      <c r="K37" s="2120"/>
      <c r="L37" s="2120"/>
      <c r="M37" s="2119">
        <f>'XM.GUI MAIL'!O63</f>
        <v>0</v>
      </c>
      <c r="N37" s="2120"/>
      <c r="O37" s="2120"/>
      <c r="P37" s="2120"/>
      <c r="Q37" s="2119">
        <f>'XM.GUI MAIL'!T63</f>
        <v>0</v>
      </c>
      <c r="R37" s="2120"/>
      <c r="S37" s="2120"/>
      <c r="T37" s="2120"/>
      <c r="U37" s="22"/>
      <c r="W37" s="1779">
        <v>2</v>
      </c>
      <c r="X37" s="2333" t="s">
        <v>254</v>
      </c>
      <c r="Y37" s="2334"/>
      <c r="Z37" s="2334"/>
      <c r="AA37" s="2335"/>
      <c r="AB37" s="1872"/>
      <c r="AC37" s="1873"/>
      <c r="AD37" s="1872"/>
      <c r="AE37" s="1874"/>
      <c r="AF37" s="1868"/>
      <c r="AG37" s="1874"/>
    </row>
    <row r="38" spans="1:33" ht="12.75" customHeight="1">
      <c r="A38" s="454"/>
      <c r="B38" s="678"/>
      <c r="C38" s="678"/>
      <c r="D38" s="678"/>
      <c r="E38" s="678"/>
      <c r="F38" s="1002"/>
      <c r="G38" s="1002"/>
      <c r="H38" s="1002"/>
      <c r="I38" s="1002"/>
      <c r="J38" s="1002"/>
      <c r="K38" s="1002"/>
      <c r="L38" s="1002"/>
      <c r="M38" s="1002"/>
      <c r="N38" s="1002"/>
      <c r="O38" s="1002"/>
      <c r="P38" s="1002"/>
      <c r="Q38" s="1002"/>
      <c r="R38" s="1002"/>
      <c r="S38" s="1586"/>
      <c r="T38" s="1586"/>
      <c r="U38" s="1003"/>
    </row>
  </sheetData>
  <sheetProtection formatCells="0" formatColumns="0" formatRows="0" insertColumns="0" insertRows="0" insertHyperlinks="0" deleteColumns="0" deleteRows="0" selectLockedCells="1" sort="0" autoFilter="0" pivotTables="0"/>
  <mergeCells count="169">
    <mergeCell ref="AB4:AC4"/>
    <mergeCell ref="AD4:AE4"/>
    <mergeCell ref="AF4:AG4"/>
    <mergeCell ref="AB25:AC25"/>
    <mergeCell ref="AD25:AE25"/>
    <mergeCell ref="AF25:AG25"/>
    <mergeCell ref="AB35:AC35"/>
    <mergeCell ref="AD35:AE35"/>
    <mergeCell ref="AF35:AG35"/>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B30:E30"/>
    <mergeCell ref="K28:L28"/>
    <mergeCell ref="K30:L30"/>
    <mergeCell ref="K29:L29"/>
    <mergeCell ref="I28:J28"/>
    <mergeCell ref="I29:J29"/>
    <mergeCell ref="I30:J30"/>
    <mergeCell ref="B26:E26"/>
    <mergeCell ref="B27:E27"/>
    <mergeCell ref="K26:L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W2:AD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W8:W9"/>
    <mergeCell ref="X8:Y9"/>
    <mergeCell ref="Z8:AA8"/>
    <mergeCell ref="Z9:AA9"/>
    <mergeCell ref="W10:W11"/>
    <mergeCell ref="X10:Y11"/>
    <mergeCell ref="Z10:AA10"/>
    <mergeCell ref="Z11:AA11"/>
    <mergeCell ref="W12:W13"/>
    <mergeCell ref="X12:Y13"/>
    <mergeCell ref="Z12:AA12"/>
    <mergeCell ref="Z13:AA13"/>
    <mergeCell ref="X14:AA14"/>
    <mergeCell ref="X15:AA15"/>
    <mergeCell ref="W16:W17"/>
    <mergeCell ref="X16:AA17"/>
    <mergeCell ref="X18:AA18"/>
    <mergeCell ref="X19:AA19"/>
    <mergeCell ref="X20:AA20"/>
    <mergeCell ref="X21:AA21"/>
    <mergeCell ref="W22:W23"/>
    <mergeCell ref="X22:AA23"/>
    <mergeCell ref="X35:AA35"/>
    <mergeCell ref="X36:AA36"/>
    <mergeCell ref="X37:AA37"/>
    <mergeCell ref="X25:AA25"/>
    <mergeCell ref="X26:AA26"/>
    <mergeCell ref="X27:AA27"/>
    <mergeCell ref="X28:AA28"/>
    <mergeCell ref="X29:AA29"/>
    <mergeCell ref="X30:AA30"/>
    <mergeCell ref="X31:AA31"/>
    <mergeCell ref="X32:AA32"/>
    <mergeCell ref="X33:AA33"/>
  </mergeCells>
  <phoneticPr fontId="6" type="noConversion"/>
  <conditionalFormatting sqref="I36 M36 Q36">
    <cfRule type="expression" dxfId="3295" priority="1475">
      <formula>I36&lt;100</formula>
    </cfRule>
    <cfRule type="expression" dxfId="3294" priority="1476">
      <formula>I36&gt;200</formula>
    </cfRule>
  </conditionalFormatting>
  <conditionalFormatting sqref="Q37 I37 M37">
    <cfRule type="expression" dxfId="3293" priority="1473">
      <formula>I37&lt;20</formula>
    </cfRule>
    <cfRule type="expression" dxfId="3292" priority="1474">
      <formula>I37&gt;50</formula>
    </cfRule>
  </conditionalFormatting>
  <conditionalFormatting sqref="I6 I8 M6 M8 Q6 Q8">
    <cfRule type="cellIs" dxfId="3291" priority="477" operator="between">
      <formula>60</formula>
      <formula>64.99</formula>
    </cfRule>
    <cfRule type="cellIs" dxfId="3290" priority="478" operator="between">
      <formula>75.1</formula>
      <formula>80</formula>
    </cfRule>
    <cfRule type="expression" dxfId="3289" priority="479">
      <formula>I6&lt;60</formula>
    </cfRule>
    <cfRule type="expression" dxfId="3288" priority="480">
      <formula>I6&gt;80</formula>
    </cfRule>
  </conditionalFormatting>
  <conditionalFormatting sqref="I10 I12 M10 M12 Q10 Q12">
    <cfRule type="cellIs" dxfId="3287" priority="469" operator="between">
      <formula>50</formula>
      <formula>54.99</formula>
    </cfRule>
    <cfRule type="cellIs" dxfId="3286" priority="470" operator="between">
      <formula>65.01</formula>
      <formula>70</formula>
    </cfRule>
    <cfRule type="expression" dxfId="3285" priority="471">
      <formula>I10&lt;50</formula>
    </cfRule>
    <cfRule type="expression" dxfId="3284" priority="472">
      <formula>I10&gt;70</formula>
    </cfRule>
  </conditionalFormatting>
  <conditionalFormatting sqref="I14 M14 Q14">
    <cfRule type="expression" dxfId="3283" priority="464" stopIfTrue="1">
      <formula>I14&lt;130</formula>
    </cfRule>
  </conditionalFormatting>
  <conditionalFormatting sqref="I14 M14 Q14">
    <cfRule type="expression" dxfId="3282" priority="463" stopIfTrue="1">
      <formula>I14&gt;150</formula>
    </cfRule>
  </conditionalFormatting>
  <conditionalFormatting sqref="I15 M15 Q15">
    <cfRule type="cellIs" dxfId="3281" priority="459" operator="between">
      <formula>8</formula>
      <formula>8.99</formula>
    </cfRule>
    <cfRule type="cellIs" dxfId="3280" priority="460" operator="between">
      <formula>11.01</formula>
      <formula>12</formula>
    </cfRule>
    <cfRule type="expression" dxfId="3279" priority="461">
      <formula>I15&lt;8</formula>
    </cfRule>
    <cfRule type="expression" dxfId="3278" priority="462">
      <formula>I15&gt;12</formula>
    </cfRule>
  </conditionalFormatting>
  <conditionalFormatting sqref="I16 M16 Q16">
    <cfRule type="cellIs" dxfId="3277" priority="455" operator="between">
      <formula>6</formula>
      <formula>7.499</formula>
    </cfRule>
    <cfRule type="cellIs" dxfId="3276" priority="456" operator="between">
      <formula>8.51</formula>
      <formula>10</formula>
    </cfRule>
    <cfRule type="expression" dxfId="3275" priority="457">
      <formula>I16&lt;6</formula>
    </cfRule>
    <cfRule type="expression" dxfId="3274" priority="458">
      <formula>I16&gt;10</formula>
    </cfRule>
  </conditionalFormatting>
  <conditionalFormatting sqref="I17 M17 Q17">
    <cfRule type="cellIs" dxfId="3273" priority="451" operator="between">
      <formula>2</formula>
      <formula>2.199</formula>
    </cfRule>
    <cfRule type="cellIs" dxfId="3272" priority="452" operator="between">
      <formula>2.41</formula>
      <formula>2.5</formula>
    </cfRule>
    <cfRule type="expression" dxfId="3271" priority="453">
      <formula>I17&lt;2</formula>
    </cfRule>
    <cfRule type="expression" dxfId="3270" priority="454">
      <formula>I17&gt;2.5</formula>
    </cfRule>
  </conditionalFormatting>
  <conditionalFormatting sqref="I18 M18 Q18">
    <cfRule type="cellIs" dxfId="3269" priority="447" operator="between">
      <formula>30%</formula>
      <formula>39.99%</formula>
    </cfRule>
    <cfRule type="cellIs" dxfId="3268" priority="448" operator="between">
      <formula>50.01%</formula>
      <formula>60%</formula>
    </cfRule>
    <cfRule type="expression" dxfId="3267" priority="449">
      <formula>I18&lt;30%</formula>
    </cfRule>
    <cfRule type="expression" dxfId="3266" priority="450">
      <formula>I18&gt;60%</formula>
    </cfRule>
  </conditionalFormatting>
  <conditionalFormatting sqref="I19 M19 Q19">
    <cfRule type="cellIs" dxfId="3265" priority="443" operator="between">
      <formula>15%</formula>
      <formula>16.99%</formula>
    </cfRule>
    <cfRule type="cellIs" dxfId="3264" priority="444" operator="between">
      <formula>27.01%</formula>
      <formula>30%</formula>
    </cfRule>
    <cfRule type="expression" dxfId="3263" priority="445">
      <formula>I19&lt;15%</formula>
    </cfRule>
    <cfRule type="expression" dxfId="3262" priority="446">
      <formula>I19&gt;30%</formula>
    </cfRule>
  </conditionalFormatting>
  <conditionalFormatting sqref="I21 M21 Q21">
    <cfRule type="cellIs" dxfId="3261" priority="435" operator="between">
      <formula>0.5%</formula>
      <formula>0.799%</formula>
    </cfRule>
    <cfRule type="cellIs" dxfId="3260" priority="436" operator="between">
      <formula>1.21%</formula>
      <formula>1.5%</formula>
    </cfRule>
    <cfRule type="expression" dxfId="3259" priority="437">
      <formula>I21&lt;0.5%</formula>
    </cfRule>
    <cfRule type="expression" dxfId="3258" priority="438">
      <formula>I21&gt;1.5%</formula>
    </cfRule>
  </conditionalFormatting>
  <conditionalFormatting sqref="K33 O33 S33">
    <cfRule type="cellIs" dxfId="3257" priority="201" operator="between">
      <formula>65</formula>
      <formula>66.9</formula>
    </cfRule>
    <cfRule type="cellIs" dxfId="3256" priority="202" operator="between">
      <formula>73.1</formula>
      <formula>75</formula>
    </cfRule>
    <cfRule type="expression" dxfId="3255" priority="203">
      <formula>K33&lt;65</formula>
    </cfRule>
    <cfRule type="expression" dxfId="3254" priority="204">
      <formula>K33&gt;75</formula>
    </cfRule>
  </conditionalFormatting>
  <conditionalFormatting sqref="K32 I32 O32 S32 M32 Q32">
    <cfRule type="cellIs" dxfId="3253" priority="197" operator="between">
      <formula>55</formula>
      <formula>56.9</formula>
    </cfRule>
    <cfRule type="cellIs" dxfId="3252" priority="198" operator="between">
      <formula>63.1</formula>
      <formula>65</formula>
    </cfRule>
    <cfRule type="expression" dxfId="3251" priority="199">
      <formula>I32&lt;55</formula>
    </cfRule>
    <cfRule type="expression" dxfId="3250" priority="200">
      <formula>I32&gt;65</formula>
    </cfRule>
  </conditionalFormatting>
  <conditionalFormatting sqref="K26:K29 I26:I29 O26:O29 S26:S29 M26:M29 Q26:Q29">
    <cfRule type="cellIs" dxfId="3249" priority="193" operator="between">
      <formula>50</formula>
      <formula>56.99</formula>
    </cfRule>
    <cfRule type="cellIs" dxfId="3248" priority="194" operator="between">
      <formula>63.1</formula>
      <formula>70</formula>
    </cfRule>
    <cfRule type="expression" dxfId="3247" priority="195">
      <formula>I26&lt;50</formula>
    </cfRule>
    <cfRule type="expression" dxfId="3246" priority="196">
      <formula>I26&gt;70</formula>
    </cfRule>
  </conditionalFormatting>
  <conditionalFormatting sqref="K30 I30 O30 S30 M30 Q30">
    <cfRule type="cellIs" dxfId="3245" priority="189" operator="between">
      <formula>22</formula>
      <formula>22.99</formula>
    </cfRule>
    <cfRule type="cellIs" dxfId="3244" priority="190" operator="between">
      <formula>25.1</formula>
      <formula>30</formula>
    </cfRule>
    <cfRule type="expression" dxfId="3243" priority="191">
      <formula>I30&lt;22</formula>
    </cfRule>
    <cfRule type="expression" dxfId="3242" priority="192">
      <formula>I30&gt;30</formula>
    </cfRule>
  </conditionalFormatting>
  <conditionalFormatting sqref="K31 I31 O31 S31 M31 Q31">
    <cfRule type="cellIs" dxfId="3241" priority="185" operator="between">
      <formula>30</formula>
      <formula>31.99</formula>
    </cfRule>
    <cfRule type="cellIs" dxfId="3240" priority="186" operator="between">
      <formula>36.1</formula>
      <formula>38</formula>
    </cfRule>
    <cfRule type="expression" dxfId="3239" priority="187">
      <formula>I31&lt;30</formula>
    </cfRule>
    <cfRule type="expression" dxfId="3238" priority="188">
      <formula>I31&gt;38</formula>
    </cfRule>
  </conditionalFormatting>
  <conditionalFormatting sqref="I20">
    <cfRule type="expression" dxfId="3237" priority="11">
      <formula>I20&lt;5%</formula>
    </cfRule>
    <cfRule type="expression" dxfId="3236" priority="12">
      <formula>I20&gt;15%</formula>
    </cfRule>
  </conditionalFormatting>
  <conditionalFormatting sqref="I20">
    <cfRule type="cellIs" dxfId="3235" priority="9" operator="between">
      <formula>5%</formula>
      <formula>6.99%</formula>
    </cfRule>
    <cfRule type="cellIs" dxfId="3234" priority="10" operator="between">
      <formula>13.1%</formula>
      <formula>15%</formula>
    </cfRule>
  </conditionalFormatting>
  <conditionalFormatting sqref="Q20">
    <cfRule type="expression" dxfId="3233" priority="7">
      <formula>Q20&lt;5%</formula>
    </cfRule>
    <cfRule type="expression" dxfId="3232" priority="8">
      <formula>Q20&gt;15%</formula>
    </cfRule>
  </conditionalFormatting>
  <conditionalFormatting sqref="Q20">
    <cfRule type="cellIs" dxfId="3231" priority="5" operator="between">
      <formula>5%</formula>
      <formula>6.99%</formula>
    </cfRule>
    <cfRule type="cellIs" dxfId="3230" priority="6" operator="between">
      <formula>13.1%</formula>
      <formula>15%</formula>
    </cfRule>
  </conditionalFormatting>
  <conditionalFormatting sqref="M20">
    <cfRule type="expression" dxfId="3229" priority="3">
      <formula>M20&lt;5%</formula>
    </cfRule>
    <cfRule type="expression" dxfId="3228" priority="4">
      <formula>M20&gt;15%</formula>
    </cfRule>
  </conditionalFormatting>
  <conditionalFormatting sqref="M20">
    <cfRule type="cellIs" dxfId="3227" priority="1" operator="between">
      <formula>5%</formula>
      <formula>6.99%</formula>
    </cfRule>
    <cfRule type="cellIs" dxfId="3226" priority="2" operator="between">
      <formula>13.1%</formula>
      <formula>15%</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0.xml><?xml version="1.0" encoding="utf-8"?>
<worksheet xmlns="http://schemas.openxmlformats.org/spreadsheetml/2006/main" xmlns:r="http://schemas.openxmlformats.org/officeDocument/2006/relationships">
  <sheetPr>
    <tabColor theme="5" tint="0.39997558519241921"/>
  </sheetPr>
  <dimension ref="A1:AE37"/>
  <sheetViews>
    <sheetView topLeftCell="A4" zoomScale="55" zoomScaleNormal="55" zoomScaleSheetLayoutView="70" workbookViewId="0">
      <selection activeCell="I20" sqref="I20"/>
    </sheetView>
  </sheetViews>
  <sheetFormatPr defaultRowHeight="15"/>
  <cols>
    <col min="1" max="1" width="4.125" style="19" customWidth="1"/>
    <col min="2" max="2" width="7.5" style="32" customWidth="1"/>
    <col min="3" max="3" width="7" style="32" customWidth="1"/>
    <col min="4" max="4" width="2.875" style="32" customWidth="1"/>
    <col min="5" max="5" width="9.5" style="32" customWidth="1"/>
    <col min="6" max="6" width="8" style="19" customWidth="1"/>
    <col min="7" max="7" width="1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hidden="1" customWidth="1"/>
    <col min="14" max="14" width="3.25" style="19" hidden="1" customWidth="1"/>
    <col min="15" max="15" width="8.125" style="19" hidden="1" customWidth="1"/>
    <col min="16" max="16" width="4.25" style="19" hidden="1" customWidth="1"/>
    <col min="17" max="17" width="8.75" style="19" customWidth="1"/>
    <col min="18" max="18" width="3.75" style="19" customWidth="1"/>
    <col min="19" max="19" width="7.75" style="19" customWidth="1"/>
    <col min="20" max="20" width="5" style="19" customWidth="1"/>
    <col min="21" max="21" width="15.375" style="19" customWidth="1"/>
    <col min="22" max="27" width="9" style="19"/>
    <col min="28" max="31" width="23" style="19" customWidth="1"/>
    <col min="32" max="16384" width="9" style="19"/>
  </cols>
  <sheetData>
    <row r="1" spans="1:31" ht="36" customHeight="1">
      <c r="A1" s="2342" t="s">
        <v>604</v>
      </c>
      <c r="B1" s="2342"/>
      <c r="C1" s="2342"/>
      <c r="D1" s="2342"/>
      <c r="E1" s="2342"/>
      <c r="F1" s="2342"/>
      <c r="G1" s="2342"/>
      <c r="H1" s="2342"/>
      <c r="I1" s="2342"/>
      <c r="J1" s="2342"/>
      <c r="K1" s="2342"/>
      <c r="L1" s="2342"/>
      <c r="M1" s="2342"/>
      <c r="N1" s="2342"/>
      <c r="O1" s="2342"/>
      <c r="P1" s="2342"/>
      <c r="Q1" s="2342"/>
      <c r="R1" s="2342"/>
      <c r="S1" s="1137"/>
      <c r="T1" s="1137"/>
      <c r="U1" s="1803" t="s">
        <v>1527</v>
      </c>
      <c r="W1" s="1807"/>
      <c r="X1" s="1807"/>
      <c r="Y1" s="1807"/>
      <c r="Z1" s="1807"/>
      <c r="AA1" s="1807"/>
      <c r="AB1" s="1807"/>
      <c r="AC1" s="1808"/>
      <c r="AE1" s="1808" t="s">
        <v>1528</v>
      </c>
    </row>
    <row r="2" spans="1:31" ht="46.5" customHeight="1">
      <c r="A2" s="2186" t="s">
        <v>237</v>
      </c>
      <c r="B2" s="2186"/>
      <c r="C2" s="2186"/>
      <c r="D2" s="2186"/>
      <c r="E2" s="2186"/>
      <c r="F2" s="2186"/>
      <c r="G2" s="2186"/>
      <c r="H2" s="2186"/>
      <c r="I2" s="2186"/>
      <c r="J2" s="2186"/>
      <c r="K2" s="2186"/>
      <c r="L2" s="2186"/>
      <c r="M2" s="2186"/>
      <c r="N2" s="2186"/>
      <c r="O2" s="2186"/>
      <c r="P2" s="2186"/>
      <c r="Q2" s="2186"/>
      <c r="R2" s="2187"/>
      <c r="S2" s="2268" t="s">
        <v>96</v>
      </c>
      <c r="T2" s="2130"/>
      <c r="U2" s="1787" t="s">
        <v>1522</v>
      </c>
      <c r="W2" s="2186"/>
      <c r="X2" s="2186"/>
      <c r="Y2" s="2186"/>
      <c r="Z2" s="2186"/>
      <c r="AA2" s="2186"/>
      <c r="AB2" s="2186"/>
      <c r="AC2" s="2186"/>
    </row>
    <row r="3" spans="1:31" ht="31.5" customHeight="1">
      <c r="A3" s="58"/>
      <c r="B3" s="2339" t="s">
        <v>233</v>
      </c>
      <c r="C3" s="2339"/>
      <c r="D3" s="2339"/>
      <c r="E3" s="1651"/>
      <c r="F3" s="1651"/>
      <c r="G3" s="1652" t="str">
        <f>'1. XL-1E kh'!$G$3</f>
        <v>2023/03/21</v>
      </c>
      <c r="H3" s="1646"/>
      <c r="I3" s="26"/>
      <c r="J3" s="26"/>
      <c r="K3" s="26"/>
      <c r="L3" s="26"/>
      <c r="M3" s="26"/>
      <c r="N3" s="26"/>
      <c r="O3" s="26"/>
      <c r="P3" s="26"/>
      <c r="Q3" s="26"/>
      <c r="R3" s="56"/>
      <c r="S3" s="2269" t="str">
        <f>MENU!AD7</f>
        <v>L.Yen</v>
      </c>
      <c r="T3" s="2270"/>
      <c r="U3" s="1763"/>
      <c r="W3" s="58"/>
      <c r="X3" s="2339" t="s">
        <v>233</v>
      </c>
      <c r="Y3" s="2339"/>
      <c r="Z3" s="2339"/>
      <c r="AA3" s="1651"/>
      <c r="AB3" s="1805" t="str">
        <f>$G$3</f>
        <v>2023/03/21</v>
      </c>
      <c r="AC3" s="26"/>
    </row>
    <row r="4" spans="1:31" s="59" customFormat="1" ht="35.25" customHeight="1">
      <c r="A4" s="2279" t="s">
        <v>7</v>
      </c>
      <c r="B4" s="2272" t="s">
        <v>79</v>
      </c>
      <c r="C4" s="2273"/>
      <c r="D4" s="2273"/>
      <c r="E4" s="2274"/>
      <c r="F4" s="2278" t="s">
        <v>136</v>
      </c>
      <c r="G4" s="2125" t="s">
        <v>1424</v>
      </c>
      <c r="H4" s="2173" t="s">
        <v>1412</v>
      </c>
      <c r="I4" s="2128">
        <v>0.76041666666666663</v>
      </c>
      <c r="J4" s="2129"/>
      <c r="K4" s="2129"/>
      <c r="L4" s="2130"/>
      <c r="M4" s="2128">
        <v>0.92708333333333337</v>
      </c>
      <c r="N4" s="2129"/>
      <c r="O4" s="2129"/>
      <c r="P4" s="2130"/>
      <c r="Q4" s="2128">
        <v>9.375E-2</v>
      </c>
      <c r="R4" s="2129"/>
      <c r="S4" s="2129"/>
      <c r="T4" s="2130"/>
      <c r="U4" s="2208" t="s">
        <v>98</v>
      </c>
      <c r="W4" s="2279" t="s">
        <v>7</v>
      </c>
      <c r="X4" s="2272" t="s">
        <v>79</v>
      </c>
      <c r="Y4" s="2273"/>
      <c r="Z4" s="2273"/>
      <c r="AA4" s="2274"/>
      <c r="AB4" s="2128">
        <v>0.76041666666666663</v>
      </c>
      <c r="AC4" s="2332"/>
      <c r="AD4" s="2128">
        <v>9.375E-2</v>
      </c>
      <c r="AE4" s="2332"/>
    </row>
    <row r="5" spans="1:31" s="59" customFormat="1" ht="30" customHeight="1">
      <c r="A5" s="2279"/>
      <c r="B5" s="2275"/>
      <c r="C5" s="2276"/>
      <c r="D5" s="2276"/>
      <c r="E5" s="2277"/>
      <c r="F5" s="2279"/>
      <c r="G5" s="2126"/>
      <c r="H5" s="2174"/>
      <c r="I5" s="60" t="s">
        <v>145</v>
      </c>
      <c r="J5" s="2134" t="s">
        <v>1</v>
      </c>
      <c r="K5" s="2135"/>
      <c r="L5" s="2136"/>
      <c r="M5" s="60" t="s">
        <v>145</v>
      </c>
      <c r="N5" s="2134" t="s">
        <v>1</v>
      </c>
      <c r="O5" s="2135"/>
      <c r="P5" s="2136"/>
      <c r="Q5" s="60" t="s">
        <v>145</v>
      </c>
      <c r="R5" s="2134" t="s">
        <v>1</v>
      </c>
      <c r="S5" s="2135"/>
      <c r="T5" s="2136"/>
      <c r="U5" s="2209"/>
      <c r="W5" s="2279"/>
      <c r="X5" s="2275"/>
      <c r="Y5" s="2276"/>
      <c r="Z5" s="2276"/>
      <c r="AA5" s="2277"/>
      <c r="AB5" s="1881" t="s">
        <v>1537</v>
      </c>
      <c r="AC5" s="1873" t="s">
        <v>1538</v>
      </c>
      <c r="AD5" s="1881" t="s">
        <v>1537</v>
      </c>
      <c r="AE5" s="1873" t="s">
        <v>1538</v>
      </c>
    </row>
    <row r="6" spans="1:31" ht="34.5" customHeight="1">
      <c r="A6" s="2319">
        <v>1</v>
      </c>
      <c r="B6" s="2272" t="s">
        <v>147</v>
      </c>
      <c r="C6" s="2322"/>
      <c r="D6" s="2286" t="s">
        <v>258</v>
      </c>
      <c r="E6" s="2287"/>
      <c r="F6" s="1762" t="s">
        <v>4</v>
      </c>
      <c r="G6" s="1000" t="str">
        <f>'XM.GUI MAIL'!$E$37</f>
        <v>60~80</v>
      </c>
      <c r="H6" s="1000" t="str">
        <f>'XM.GUI MAIL'!$F$37</f>
        <v>(70±5)</v>
      </c>
      <c r="I6" s="1657">
        <f>'XM.GUI MAIL'!AA37</f>
        <v>0</v>
      </c>
      <c r="J6" s="1670" t="s">
        <v>8</v>
      </c>
      <c r="K6" s="1558">
        <f>'XM.GUI MAIL'!AD37</f>
        <v>0</v>
      </c>
      <c r="L6" s="1670" t="s">
        <v>9</v>
      </c>
      <c r="M6" s="1657">
        <f>'XM.GUI MAIL'!AG37</f>
        <v>0</v>
      </c>
      <c r="N6" s="1670" t="s">
        <v>8</v>
      </c>
      <c r="O6" s="1558">
        <f>'XM.GUI MAIL'!AJ37</f>
        <v>0</v>
      </c>
      <c r="P6" s="1670" t="s">
        <v>9</v>
      </c>
      <c r="Q6" s="1657">
        <f>'XM.GUI MAIL'!AM37</f>
        <v>0</v>
      </c>
      <c r="R6" s="1670" t="s">
        <v>8</v>
      </c>
      <c r="S6" s="1558">
        <f>'XM.GUI MAIL'!AP37</f>
        <v>0</v>
      </c>
      <c r="T6" s="64" t="s">
        <v>9</v>
      </c>
      <c r="U6" s="300" t="s">
        <v>12</v>
      </c>
      <c r="W6" s="2319">
        <v>1</v>
      </c>
      <c r="X6" s="2272" t="s">
        <v>147</v>
      </c>
      <c r="Y6" s="2322"/>
      <c r="Z6" s="2286" t="s">
        <v>258</v>
      </c>
      <c r="AA6" s="2287"/>
      <c r="AB6" s="1872"/>
      <c r="AC6" s="1873"/>
      <c r="AD6" s="1872"/>
      <c r="AE6" s="1873"/>
    </row>
    <row r="7" spans="1:31" ht="34.5" customHeight="1">
      <c r="A7" s="2338"/>
      <c r="B7" s="2323"/>
      <c r="C7" s="2324"/>
      <c r="D7" s="2286" t="s">
        <v>259</v>
      </c>
      <c r="E7" s="2287"/>
      <c r="F7" s="1138"/>
      <c r="G7" s="1000" t="s">
        <v>1529</v>
      </c>
      <c r="H7" s="1000"/>
      <c r="I7" s="60"/>
      <c r="J7" s="1670"/>
      <c r="K7" s="89">
        <f>K6/25*7.5</f>
        <v>0</v>
      </c>
      <c r="L7" s="1670" t="s">
        <v>10</v>
      </c>
      <c r="M7" s="60"/>
      <c r="N7" s="1670"/>
      <c r="O7" s="89">
        <f>O6/25*7.5</f>
        <v>0</v>
      </c>
      <c r="P7" s="1670" t="s">
        <v>10</v>
      </c>
      <c r="Q7" s="60"/>
      <c r="R7" s="1670"/>
      <c r="S7" s="89">
        <f>S6/25*7.5</f>
        <v>0</v>
      </c>
      <c r="T7" s="64" t="s">
        <v>10</v>
      </c>
      <c r="U7" s="20"/>
      <c r="W7" s="2338"/>
      <c r="X7" s="2323"/>
      <c r="Y7" s="2324"/>
      <c r="Z7" s="2286" t="s">
        <v>259</v>
      </c>
      <c r="AA7" s="2287"/>
      <c r="AB7" s="1872"/>
      <c r="AC7" s="1873"/>
      <c r="AD7" s="1872"/>
      <c r="AE7" s="1873"/>
    </row>
    <row r="8" spans="1:31" ht="34.5" customHeight="1">
      <c r="A8" s="2319">
        <v>2</v>
      </c>
      <c r="B8" s="2272" t="s">
        <v>148</v>
      </c>
      <c r="C8" s="2322"/>
      <c r="D8" s="2286" t="s">
        <v>258</v>
      </c>
      <c r="E8" s="2287"/>
      <c r="F8" s="1762" t="s">
        <v>4</v>
      </c>
      <c r="G8" s="1000" t="str">
        <f>'XM.GUI MAIL'!$E$38</f>
        <v>60~80</v>
      </c>
      <c r="H8" s="1000" t="str">
        <f>'XM.GUI MAIL'!$F$38</f>
        <v>(70±5)</v>
      </c>
      <c r="I8" s="1657">
        <f>'XM.GUI MAIL'!AA38</f>
        <v>0</v>
      </c>
      <c r="J8" s="1670" t="s">
        <v>8</v>
      </c>
      <c r="K8" s="1558">
        <f>'XM.GUI MAIL'!AD38</f>
        <v>0</v>
      </c>
      <c r="L8" s="1670" t="s">
        <v>9</v>
      </c>
      <c r="M8" s="1657">
        <f>'XM.GUI MAIL'!AG38</f>
        <v>0</v>
      </c>
      <c r="N8" s="1670" t="s">
        <v>8</v>
      </c>
      <c r="O8" s="1558">
        <f>'XM.GUI MAIL'!AJ38</f>
        <v>0</v>
      </c>
      <c r="P8" s="1670" t="s">
        <v>9</v>
      </c>
      <c r="Q8" s="1657">
        <f>'XM.GUI MAIL'!AM38</f>
        <v>0</v>
      </c>
      <c r="R8" s="1670" t="s">
        <v>8</v>
      </c>
      <c r="S8" s="1558">
        <f>'XM.GUI MAIL'!AP38</f>
        <v>0</v>
      </c>
      <c r="T8" s="64" t="s">
        <v>9</v>
      </c>
      <c r="U8" s="300" t="s">
        <v>12</v>
      </c>
      <c r="W8" s="2319">
        <v>2</v>
      </c>
      <c r="X8" s="2272" t="s">
        <v>148</v>
      </c>
      <c r="Y8" s="2322"/>
      <c r="Z8" s="2286" t="s">
        <v>258</v>
      </c>
      <c r="AA8" s="2287"/>
      <c r="AB8" s="1872"/>
      <c r="AC8" s="1873"/>
      <c r="AD8" s="1872"/>
      <c r="AE8" s="1873"/>
    </row>
    <row r="9" spans="1:31" ht="34.5" customHeight="1">
      <c r="A9" s="2338"/>
      <c r="B9" s="2323"/>
      <c r="C9" s="2324"/>
      <c r="D9" s="2286" t="s">
        <v>259</v>
      </c>
      <c r="E9" s="2287"/>
      <c r="F9" s="1138"/>
      <c r="G9" s="1000" t="s">
        <v>1003</v>
      </c>
      <c r="H9" s="1000"/>
      <c r="I9" s="60"/>
      <c r="J9" s="1670"/>
      <c r="K9" s="89">
        <f>K8/25*7.5</f>
        <v>0</v>
      </c>
      <c r="L9" s="1670" t="s">
        <v>10</v>
      </c>
      <c r="M9" s="60"/>
      <c r="N9" s="1670"/>
      <c r="O9" s="89">
        <f>O8/25*7.5</f>
        <v>0</v>
      </c>
      <c r="P9" s="1670" t="s">
        <v>10</v>
      </c>
      <c r="Q9" s="60"/>
      <c r="R9" s="1670"/>
      <c r="S9" s="89">
        <f>S8/25*7.5</f>
        <v>0</v>
      </c>
      <c r="T9" s="64" t="s">
        <v>10</v>
      </c>
      <c r="U9" s="20"/>
      <c r="W9" s="2338"/>
      <c r="X9" s="2323"/>
      <c r="Y9" s="2324"/>
      <c r="Z9" s="2286" t="s">
        <v>259</v>
      </c>
      <c r="AA9" s="2287"/>
      <c r="AB9" s="1872"/>
      <c r="AC9" s="1873"/>
      <c r="AD9" s="1872"/>
      <c r="AE9" s="1873"/>
    </row>
    <row r="10" spans="1:31" ht="34.5" customHeight="1">
      <c r="A10" s="2319">
        <v>3</v>
      </c>
      <c r="B10" s="2289" t="s">
        <v>149</v>
      </c>
      <c r="C10" s="2290"/>
      <c r="D10" s="2291" t="s">
        <v>260</v>
      </c>
      <c r="E10" s="2292" t="s">
        <v>260</v>
      </c>
      <c r="F10" s="1762" t="s">
        <v>4</v>
      </c>
      <c r="G10" s="1000" t="str">
        <f>'XM.GUI MAIL'!$E$39</f>
        <v>50~70</v>
      </c>
      <c r="H10" s="1000" t="str">
        <f>'XM.GUI MAIL'!$F$39</f>
        <v>(60±5)</v>
      </c>
      <c r="I10" s="1657">
        <f>'XM.GUI MAIL'!AA39</f>
        <v>0</v>
      </c>
      <c r="J10" s="1670" t="s">
        <v>8</v>
      </c>
      <c r="K10" s="1558">
        <f>'XM.GUI MAIL'!AD39</f>
        <v>0</v>
      </c>
      <c r="L10" s="1670" t="s">
        <v>9</v>
      </c>
      <c r="M10" s="1657">
        <f>'XM.GUI MAIL'!AG39</f>
        <v>0</v>
      </c>
      <c r="N10" s="1670" t="s">
        <v>8</v>
      </c>
      <c r="O10" s="1558">
        <f>'XM.GUI MAIL'!AJ39</f>
        <v>0</v>
      </c>
      <c r="P10" s="1670" t="s">
        <v>9</v>
      </c>
      <c r="Q10" s="1657">
        <f>'XM.GUI MAIL'!AM39</f>
        <v>0</v>
      </c>
      <c r="R10" s="1670" t="s">
        <v>8</v>
      </c>
      <c r="S10" s="1558">
        <f>'XM.GUI MAIL'!AP39</f>
        <v>0</v>
      </c>
      <c r="T10" s="64" t="s">
        <v>9</v>
      </c>
      <c r="U10" s="300" t="s">
        <v>12</v>
      </c>
      <c r="W10" s="2319">
        <v>3</v>
      </c>
      <c r="X10" s="2289" t="s">
        <v>149</v>
      </c>
      <c r="Y10" s="2290"/>
      <c r="Z10" s="2291" t="s">
        <v>260</v>
      </c>
      <c r="AA10" s="2292" t="s">
        <v>260</v>
      </c>
      <c r="AB10" s="1872"/>
      <c r="AC10" s="1873"/>
      <c r="AD10" s="1872"/>
      <c r="AE10" s="1873"/>
    </row>
    <row r="11" spans="1:31" ht="34.5" customHeight="1">
      <c r="A11" s="2320"/>
      <c r="B11" s="2290"/>
      <c r="C11" s="2290"/>
      <c r="D11" s="2291" t="s">
        <v>261</v>
      </c>
      <c r="E11" s="2292" t="s">
        <v>261</v>
      </c>
      <c r="F11" s="1138"/>
      <c r="G11" s="1000" t="s">
        <v>1048</v>
      </c>
      <c r="H11" s="1000"/>
      <c r="I11" s="60"/>
      <c r="J11" s="1670"/>
      <c r="K11" s="89">
        <f>K10/25*7</f>
        <v>0</v>
      </c>
      <c r="L11" s="1670" t="s">
        <v>10</v>
      </c>
      <c r="M11" s="60"/>
      <c r="N11" s="1670"/>
      <c r="O11" s="89">
        <f>O10/25*7</f>
        <v>0</v>
      </c>
      <c r="P11" s="1670" t="s">
        <v>10</v>
      </c>
      <c r="Q11" s="60"/>
      <c r="R11" s="1670"/>
      <c r="S11" s="89">
        <f>S10/25*7</f>
        <v>0</v>
      </c>
      <c r="T11" s="64" t="s">
        <v>10</v>
      </c>
      <c r="U11" s="20"/>
      <c r="W11" s="2320"/>
      <c r="X11" s="2290"/>
      <c r="Y11" s="2290"/>
      <c r="Z11" s="2291" t="s">
        <v>261</v>
      </c>
      <c r="AA11" s="2292" t="s">
        <v>261</v>
      </c>
      <c r="AB11" s="1872"/>
      <c r="AC11" s="1873"/>
      <c r="AD11" s="1872"/>
      <c r="AE11" s="1873"/>
    </row>
    <row r="12" spans="1:31" ht="34.5" customHeight="1">
      <c r="A12" s="2319">
        <v>4</v>
      </c>
      <c r="B12" s="2289" t="s">
        <v>150</v>
      </c>
      <c r="C12" s="2290"/>
      <c r="D12" s="2291" t="s">
        <v>260</v>
      </c>
      <c r="E12" s="2292" t="s">
        <v>260</v>
      </c>
      <c r="F12" s="1762" t="s">
        <v>4</v>
      </c>
      <c r="G12" s="1000" t="str">
        <f>'XM.GUI MAIL'!$E$40</f>
        <v>50~70</v>
      </c>
      <c r="H12" s="1000" t="str">
        <f>'XM.GUI MAIL'!$F$40</f>
        <v>(60±5)</v>
      </c>
      <c r="I12" s="1657">
        <f>'XM.GUI MAIL'!AA40</f>
        <v>0</v>
      </c>
      <c r="J12" s="1670" t="s">
        <v>8</v>
      </c>
      <c r="K12" s="1558">
        <f>'XM.GUI MAIL'!AD40</f>
        <v>0</v>
      </c>
      <c r="L12" s="1670" t="s">
        <v>9</v>
      </c>
      <c r="M12" s="1657">
        <f>'XM.GUI MAIL'!AG40</f>
        <v>0</v>
      </c>
      <c r="N12" s="1670" t="s">
        <v>8</v>
      </c>
      <c r="O12" s="1558">
        <f>'XM.GUI MAIL'!AJ40</f>
        <v>0</v>
      </c>
      <c r="P12" s="1670" t="s">
        <v>9</v>
      </c>
      <c r="Q12" s="1657">
        <f>'XM.GUI MAIL'!AM40</f>
        <v>0</v>
      </c>
      <c r="R12" s="1670" t="s">
        <v>8</v>
      </c>
      <c r="S12" s="1558">
        <f>'XM.GUI MAIL'!AP40</f>
        <v>0</v>
      </c>
      <c r="T12" s="64" t="s">
        <v>9</v>
      </c>
      <c r="U12" s="300" t="s">
        <v>12</v>
      </c>
      <c r="W12" s="2319">
        <v>4</v>
      </c>
      <c r="X12" s="2289" t="s">
        <v>150</v>
      </c>
      <c r="Y12" s="2290"/>
      <c r="Z12" s="2291" t="s">
        <v>260</v>
      </c>
      <c r="AA12" s="2292" t="s">
        <v>260</v>
      </c>
      <c r="AB12" s="1872"/>
      <c r="AC12" s="1873"/>
      <c r="AD12" s="1872"/>
      <c r="AE12" s="1873"/>
    </row>
    <row r="13" spans="1:31" ht="34.5" customHeight="1">
      <c r="A13" s="2320"/>
      <c r="B13" s="2290"/>
      <c r="C13" s="2290"/>
      <c r="D13" s="2291" t="s">
        <v>261</v>
      </c>
      <c r="E13" s="2292" t="s">
        <v>261</v>
      </c>
      <c r="F13" s="1138"/>
      <c r="G13" s="1000" t="s">
        <v>1048</v>
      </c>
      <c r="H13" s="1000"/>
      <c r="I13" s="60"/>
      <c r="J13" s="1670"/>
      <c r="K13" s="89">
        <f>K12/25*7</f>
        <v>0</v>
      </c>
      <c r="L13" s="1670" t="s">
        <v>10</v>
      </c>
      <c r="M13" s="60"/>
      <c r="N13" s="1670"/>
      <c r="O13" s="89">
        <f>O12/25*7</f>
        <v>0</v>
      </c>
      <c r="P13" s="1670" t="s">
        <v>10</v>
      </c>
      <c r="Q13" s="60"/>
      <c r="R13" s="1670"/>
      <c r="S13" s="89">
        <f>S12/25*7</f>
        <v>0</v>
      </c>
      <c r="T13" s="64" t="s">
        <v>10</v>
      </c>
      <c r="U13" s="20"/>
      <c r="W13" s="2320"/>
      <c r="X13" s="2290"/>
      <c r="Y13" s="2290"/>
      <c r="Z13" s="2291" t="s">
        <v>261</v>
      </c>
      <c r="AA13" s="2292" t="s">
        <v>261</v>
      </c>
      <c r="AB13" s="1872"/>
      <c r="AC13" s="1873"/>
      <c r="AD13" s="1872"/>
      <c r="AE13" s="1873"/>
    </row>
    <row r="14" spans="1:31" ht="34.5" customHeight="1">
      <c r="A14" s="1762">
        <v>5</v>
      </c>
      <c r="B14" s="2291" t="s">
        <v>82</v>
      </c>
      <c r="C14" s="2312"/>
      <c r="D14" s="2312"/>
      <c r="E14" s="2292"/>
      <c r="F14" s="1762" t="s">
        <v>4</v>
      </c>
      <c r="G14" s="1133" t="str">
        <f>'XM.GUI MAIL'!$E$41</f>
        <v>130 - 150</v>
      </c>
      <c r="H14" s="1133" t="str">
        <f>'XM.GUI MAIL'!$F$41</f>
        <v>(140±10)</v>
      </c>
      <c r="I14" s="1694">
        <f>'XM.GUI MAIL'!AA41</f>
        <v>0</v>
      </c>
      <c r="J14" s="1670" t="s">
        <v>8</v>
      </c>
      <c r="K14" s="1558">
        <f>'XM.GUI MAIL'!AD41</f>
        <v>0</v>
      </c>
      <c r="L14" s="1670" t="s">
        <v>9</v>
      </c>
      <c r="M14" s="1694">
        <f>'XM.GUI MAIL'!AG41</f>
        <v>0</v>
      </c>
      <c r="N14" s="1670" t="s">
        <v>8</v>
      </c>
      <c r="O14" s="1558">
        <f>'XM.GUI MAIL'!AJ41</f>
        <v>0</v>
      </c>
      <c r="P14" s="1670" t="s">
        <v>9</v>
      </c>
      <c r="Q14" s="1694">
        <f>'XM.GUI MAIL'!AM41</f>
        <v>0</v>
      </c>
      <c r="R14" s="1670" t="s">
        <v>8</v>
      </c>
      <c r="S14" s="1558">
        <f>'XM.GUI MAIL'!AP41</f>
        <v>0</v>
      </c>
      <c r="T14" s="64" t="s">
        <v>9</v>
      </c>
      <c r="U14" s="300" t="s">
        <v>13</v>
      </c>
      <c r="W14" s="1779">
        <v>5</v>
      </c>
      <c r="X14" s="2291" t="s">
        <v>82</v>
      </c>
      <c r="Y14" s="2312"/>
      <c r="Z14" s="2312"/>
      <c r="AA14" s="2292"/>
      <c r="AB14" s="1872"/>
      <c r="AC14" s="1873"/>
      <c r="AD14" s="1872"/>
      <c r="AE14" s="1873"/>
    </row>
    <row r="15" spans="1:31" ht="34.5" customHeight="1">
      <c r="A15" s="1762">
        <v>6</v>
      </c>
      <c r="B15" s="2291" t="s">
        <v>60</v>
      </c>
      <c r="C15" s="2312"/>
      <c r="D15" s="2312"/>
      <c r="E15" s="2292"/>
      <c r="F15" s="1762" t="s">
        <v>4</v>
      </c>
      <c r="G15" s="1133" t="str">
        <f>'XM.GUI MAIL'!$E$42</f>
        <v>8~12</v>
      </c>
      <c r="H15" s="1133" t="str">
        <f>'XM.GUI MAIL'!$F$42</f>
        <v>(10±1)</v>
      </c>
      <c r="I15" s="664">
        <f>'XM.GUI MAIL'!AA42</f>
        <v>0</v>
      </c>
      <c r="J15" s="1670" t="s">
        <v>8</v>
      </c>
      <c r="K15" s="1558">
        <f>'XM.GUI MAIL'!AD42</f>
        <v>0</v>
      </c>
      <c r="L15" s="1670" t="s">
        <v>9</v>
      </c>
      <c r="M15" s="664">
        <f>'XM.GUI MAIL'!AG42</f>
        <v>0</v>
      </c>
      <c r="N15" s="1670" t="s">
        <v>8</v>
      </c>
      <c r="O15" s="1558">
        <f>'XM.GUI MAIL'!AJ42</f>
        <v>0</v>
      </c>
      <c r="P15" s="1670" t="s">
        <v>9</v>
      </c>
      <c r="Q15" s="664">
        <f>'XM.GUI MAIL'!AM42</f>
        <v>0</v>
      </c>
      <c r="R15" s="1670" t="s">
        <v>8</v>
      </c>
      <c r="S15" s="1558">
        <f>'XM.GUI MAIL'!AP42</f>
        <v>0</v>
      </c>
      <c r="T15" s="64" t="s">
        <v>9</v>
      </c>
      <c r="U15" s="300" t="s">
        <v>14</v>
      </c>
      <c r="W15" s="1779">
        <v>6</v>
      </c>
      <c r="X15" s="2291" t="s">
        <v>60</v>
      </c>
      <c r="Y15" s="2312"/>
      <c r="Z15" s="2312"/>
      <c r="AA15" s="2292"/>
      <c r="AB15" s="1872"/>
      <c r="AC15" s="1873"/>
      <c r="AD15" s="1872"/>
      <c r="AE15" s="1873"/>
    </row>
    <row r="16" spans="1:31" ht="34.5" customHeight="1">
      <c r="A16" s="2319">
        <v>7</v>
      </c>
      <c r="B16" s="2272" t="s">
        <v>1039</v>
      </c>
      <c r="C16" s="2273"/>
      <c r="D16" s="2273"/>
      <c r="E16" s="2274"/>
      <c r="F16" s="1762" t="s">
        <v>3</v>
      </c>
      <c r="G16" s="1133" t="str">
        <f>'XM.GUI MAIL'!$E$43</f>
        <v xml:space="preserve">6~10 </v>
      </c>
      <c r="H16" s="1133" t="str">
        <f>'XM.GUI MAIL'!$F$43</f>
        <v>(8±0.5)</v>
      </c>
      <c r="I16" s="664">
        <f>'XM.GUI MAIL'!AA43</f>
        <v>-1.0461</v>
      </c>
      <c r="J16" s="1670" t="s">
        <v>8</v>
      </c>
      <c r="K16" s="1558">
        <f>'XM.GUI MAIL'!AD43</f>
        <v>0</v>
      </c>
      <c r="L16" s="1670" t="s">
        <v>10</v>
      </c>
      <c r="M16" s="664">
        <f>'XM.GUI MAIL'!AG43</f>
        <v>-1.0461</v>
      </c>
      <c r="N16" s="1670" t="s">
        <v>8</v>
      </c>
      <c r="O16" s="1558">
        <f>'XM.GUI MAIL'!AJ43</f>
        <v>0</v>
      </c>
      <c r="P16" s="1670" t="s">
        <v>10</v>
      </c>
      <c r="Q16" s="664">
        <f>'XM.GUI MAIL'!AM43</f>
        <v>-1.0461</v>
      </c>
      <c r="R16" s="1670" t="s">
        <v>8</v>
      </c>
      <c r="S16" s="1558">
        <f>'XM.GUI MAIL'!AP43</f>
        <v>0</v>
      </c>
      <c r="T16" s="64" t="s">
        <v>10</v>
      </c>
      <c r="U16" s="300"/>
      <c r="W16" s="2319">
        <v>7</v>
      </c>
      <c r="X16" s="2272" t="s">
        <v>1039</v>
      </c>
      <c r="Y16" s="2273"/>
      <c r="Z16" s="2273"/>
      <c r="AA16" s="2274"/>
      <c r="AB16" s="1872"/>
      <c r="AC16" s="1873"/>
      <c r="AD16" s="1872"/>
      <c r="AE16" s="1873"/>
    </row>
    <row r="17" spans="1:31" ht="34.5" customHeight="1">
      <c r="A17" s="2320"/>
      <c r="B17" s="2275"/>
      <c r="C17" s="2336"/>
      <c r="D17" s="2336"/>
      <c r="E17" s="2337"/>
      <c r="F17" s="1762" t="s">
        <v>5</v>
      </c>
      <c r="G17" s="1133" t="str">
        <f>'XM.GUI MAIL'!$E$44</f>
        <v>2~2.5</v>
      </c>
      <c r="H17" s="1133" t="str">
        <f>'XM.GUI MAIL'!$F$44</f>
        <v>(2.3±0.1 )</v>
      </c>
      <c r="I17" s="664">
        <f>'XM.GUI MAIL'!AA44</f>
        <v>0</v>
      </c>
      <c r="J17" s="1670"/>
      <c r="K17" s="1558">
        <f>'XM.GUI MAIL'!AD44</f>
        <v>0</v>
      </c>
      <c r="L17" s="1670"/>
      <c r="M17" s="664">
        <f>'XM.GUI MAIL'!AG44</f>
        <v>0</v>
      </c>
      <c r="N17" s="1670"/>
      <c r="O17" s="1558">
        <f>'XM.GUI MAIL'!AJ44</f>
        <v>0</v>
      </c>
      <c r="P17" s="1670"/>
      <c r="Q17" s="664">
        <f>'XM.GUI MAIL'!AM44</f>
        <v>0</v>
      </c>
      <c r="R17" s="1670"/>
      <c r="S17" s="1558">
        <f>'XM.GUI MAIL'!AP44</f>
        <v>0</v>
      </c>
      <c r="T17" s="64"/>
      <c r="U17" s="20"/>
      <c r="W17" s="2320"/>
      <c r="X17" s="2275"/>
      <c r="Y17" s="2336"/>
      <c r="Z17" s="2336"/>
      <c r="AA17" s="2337"/>
      <c r="AB17" s="1872"/>
      <c r="AC17" s="1873"/>
      <c r="AD17" s="1872"/>
      <c r="AE17" s="1873"/>
    </row>
    <row r="18" spans="1:31" ht="34.5" customHeight="1">
      <c r="A18" s="1762">
        <v>8</v>
      </c>
      <c r="B18" s="2291" t="s">
        <v>61</v>
      </c>
      <c r="C18" s="2312"/>
      <c r="D18" s="2312"/>
      <c r="E18" s="2292"/>
      <c r="F18" s="1772" t="s">
        <v>6</v>
      </c>
      <c r="G18" s="1133" t="str">
        <f>'XM.GUI MAIL'!$E$45</f>
        <v xml:space="preserve">30~60 </v>
      </c>
      <c r="H18" s="1133" t="str">
        <f>'XM.GUI MAIL'!$F$45</f>
        <v>(45±5)</v>
      </c>
      <c r="I18" s="337">
        <f>'XM.GUI MAIL'!AA45</f>
        <v>0</v>
      </c>
      <c r="J18" s="1670" t="s">
        <v>8</v>
      </c>
      <c r="K18" s="1558">
        <f>'XM.GUI MAIL'!AD45</f>
        <v>0</v>
      </c>
      <c r="L18" s="1670" t="s">
        <v>10</v>
      </c>
      <c r="M18" s="337">
        <f>'XM.GUI MAIL'!AG45</f>
        <v>0</v>
      </c>
      <c r="N18" s="1670" t="s">
        <v>8</v>
      </c>
      <c r="O18" s="1558">
        <f>'XM.GUI MAIL'!AJ45</f>
        <v>0</v>
      </c>
      <c r="P18" s="1670" t="s">
        <v>10</v>
      </c>
      <c r="Q18" s="337">
        <f>'XM.GUI MAIL'!AM45</f>
        <v>0</v>
      </c>
      <c r="R18" s="1670" t="s">
        <v>8</v>
      </c>
      <c r="S18" s="1558">
        <f>'XM.GUI MAIL'!AP45</f>
        <v>0</v>
      </c>
      <c r="T18" s="64" t="s">
        <v>10</v>
      </c>
      <c r="U18" s="300" t="s">
        <v>15</v>
      </c>
      <c r="W18" s="1779">
        <v>8</v>
      </c>
      <c r="X18" s="2291" t="s">
        <v>61</v>
      </c>
      <c r="Y18" s="2312"/>
      <c r="Z18" s="2312"/>
      <c r="AA18" s="2292"/>
      <c r="AB18" s="1872"/>
      <c r="AC18" s="1873"/>
      <c r="AD18" s="1872"/>
      <c r="AE18" s="1873"/>
    </row>
    <row r="19" spans="1:31" ht="34.5" customHeight="1">
      <c r="A19" s="1762">
        <v>9</v>
      </c>
      <c r="B19" s="2291" t="s">
        <v>62</v>
      </c>
      <c r="C19" s="2312"/>
      <c r="D19" s="2312"/>
      <c r="E19" s="2292"/>
      <c r="F19" s="1772" t="s">
        <v>6</v>
      </c>
      <c r="G19" s="1133" t="str">
        <f>'XM.GUI MAIL'!$E$46</f>
        <v>15~30</v>
      </c>
      <c r="H19" s="1133" t="str">
        <f>'XM.GUI MAIL'!$F$46</f>
        <v>(22±5 )</v>
      </c>
      <c r="I19" s="337">
        <f>'XM.GUI MAIL'!AA46</f>
        <v>0</v>
      </c>
      <c r="J19" s="1670" t="s">
        <v>8</v>
      </c>
      <c r="K19" s="1558">
        <f>'XM.GUI MAIL'!AD46</f>
        <v>0</v>
      </c>
      <c r="L19" s="1670" t="s">
        <v>10</v>
      </c>
      <c r="M19" s="337">
        <f>'XM.GUI MAIL'!AG46</f>
        <v>0</v>
      </c>
      <c r="N19" s="1670" t="s">
        <v>8</v>
      </c>
      <c r="O19" s="1558">
        <f>'XM.GUI MAIL'!AJ46</f>
        <v>0</v>
      </c>
      <c r="P19" s="1670" t="s">
        <v>10</v>
      </c>
      <c r="Q19" s="337">
        <f>'XM.GUI MAIL'!AM46</f>
        <v>0</v>
      </c>
      <c r="R19" s="1670" t="s">
        <v>8</v>
      </c>
      <c r="S19" s="1558">
        <f>'XM.GUI MAIL'!AP46</f>
        <v>0</v>
      </c>
      <c r="T19" s="64" t="s">
        <v>10</v>
      </c>
      <c r="U19" s="300" t="s">
        <v>15</v>
      </c>
      <c r="W19" s="1779">
        <v>9</v>
      </c>
      <c r="X19" s="2291" t="s">
        <v>62</v>
      </c>
      <c r="Y19" s="2312"/>
      <c r="Z19" s="2312"/>
      <c r="AA19" s="2292"/>
      <c r="AB19" s="1872"/>
      <c r="AC19" s="1873"/>
      <c r="AD19" s="1872"/>
      <c r="AE19" s="1873"/>
    </row>
    <row r="20" spans="1:31" ht="34.5" customHeight="1">
      <c r="A20" s="1762">
        <v>11</v>
      </c>
      <c r="B20" s="2291" t="s">
        <v>116</v>
      </c>
      <c r="C20" s="2312"/>
      <c r="D20" s="2312"/>
      <c r="E20" s="2292"/>
      <c r="F20" s="1772" t="s">
        <v>6</v>
      </c>
      <c r="G20" s="1133" t="str">
        <f>'XM.GUI MAIL'!$E$47</f>
        <v>5~15</v>
      </c>
      <c r="H20" s="1133" t="str">
        <f>'XM.GUI MAIL'!$F$47</f>
        <v>(10±3)</v>
      </c>
      <c r="I20" s="337">
        <f>'XM.GUI MAIL'!AA47</f>
        <v>0</v>
      </c>
      <c r="J20" s="1670" t="s">
        <v>8</v>
      </c>
      <c r="K20" s="1558">
        <f>'XM.GUI MAIL'!AD47</f>
        <v>0</v>
      </c>
      <c r="L20" s="1670" t="s">
        <v>10</v>
      </c>
      <c r="M20" s="337">
        <f>'XM.GUI MAIL'!AG47</f>
        <v>0</v>
      </c>
      <c r="N20" s="1670" t="s">
        <v>8</v>
      </c>
      <c r="O20" s="1558">
        <f>'XM.GUI MAIL'!AJ47</f>
        <v>0</v>
      </c>
      <c r="P20" s="1670" t="s">
        <v>10</v>
      </c>
      <c r="Q20" s="337">
        <f>'XM.GUI MAIL'!AM47</f>
        <v>0</v>
      </c>
      <c r="R20" s="1670" t="s">
        <v>8</v>
      </c>
      <c r="S20" s="1558">
        <f>'XM.GUI MAIL'!AP47</f>
        <v>0</v>
      </c>
      <c r="T20" s="64" t="s">
        <v>10</v>
      </c>
      <c r="U20" s="300" t="s">
        <v>16</v>
      </c>
      <c r="W20" s="1779">
        <v>11</v>
      </c>
      <c r="X20" s="2291" t="s">
        <v>116</v>
      </c>
      <c r="Y20" s="2312"/>
      <c r="Z20" s="2312"/>
      <c r="AA20" s="2292"/>
      <c r="AB20" s="1872"/>
      <c r="AC20" s="1873"/>
      <c r="AD20" s="1872"/>
      <c r="AE20" s="1873"/>
    </row>
    <row r="21" spans="1:31" ht="34.5" customHeight="1">
      <c r="A21" s="1762">
        <v>12</v>
      </c>
      <c r="B21" s="2291" t="s">
        <v>115</v>
      </c>
      <c r="C21" s="2312"/>
      <c r="D21" s="2312"/>
      <c r="E21" s="2292"/>
      <c r="F21" s="1772" t="s">
        <v>3</v>
      </c>
      <c r="G21" s="1133" t="str">
        <f>'XM.GUI MAIL'!$E$48</f>
        <v>0.5~1.5</v>
      </c>
      <c r="H21" s="1133" t="str">
        <f>'XM.GUI MAIL'!$F$48</f>
        <v>(1±0.2)</v>
      </c>
      <c r="I21" s="340">
        <f>'XM.GUI MAIL'!AA48</f>
        <v>0</v>
      </c>
      <c r="J21" s="1670" t="s">
        <v>8</v>
      </c>
      <c r="K21" s="89">
        <f>'XM.GUI MAIL'!AD48</f>
        <v>0</v>
      </c>
      <c r="L21" s="1670" t="s">
        <v>10</v>
      </c>
      <c r="M21" s="340">
        <f>'XM.GUI MAIL'!AG48</f>
        <v>0</v>
      </c>
      <c r="N21" s="1670" t="s">
        <v>8</v>
      </c>
      <c r="O21" s="89">
        <f>'XM.GUI MAIL'!AJ48</f>
        <v>0</v>
      </c>
      <c r="P21" s="1670" t="s">
        <v>10</v>
      </c>
      <c r="Q21" s="340">
        <f>'XM.GUI MAIL'!AM48</f>
        <v>0</v>
      </c>
      <c r="R21" s="1670" t="s">
        <v>8</v>
      </c>
      <c r="S21" s="89">
        <f>'XM.GUI MAIL'!AP48</f>
        <v>0</v>
      </c>
      <c r="T21" s="64" t="s">
        <v>10</v>
      </c>
      <c r="U21" s="300" t="s">
        <v>16</v>
      </c>
      <c r="W21" s="1779">
        <v>12</v>
      </c>
      <c r="X21" s="2291" t="s">
        <v>115</v>
      </c>
      <c r="Y21" s="2312"/>
      <c r="Z21" s="2312"/>
      <c r="AA21" s="2292"/>
      <c r="AB21" s="1872"/>
      <c r="AC21" s="1873"/>
      <c r="AD21" s="1872"/>
      <c r="AE21" s="1873"/>
    </row>
    <row r="22" spans="1:31" ht="30.75" customHeight="1">
      <c r="A22" s="2319">
        <v>13</v>
      </c>
      <c r="B22" s="2272" t="s">
        <v>262</v>
      </c>
      <c r="C22" s="2273"/>
      <c r="D22" s="2273"/>
      <c r="E22" s="2274"/>
      <c r="F22" s="1762" t="s">
        <v>3</v>
      </c>
      <c r="G22" s="1133" t="str">
        <f>'XM.GUI MAIL'!$E$49</f>
        <v>5~8</v>
      </c>
      <c r="H22" s="1133" t="str">
        <f>'XM.GUI MAIL'!$F$49</f>
        <v>(6%±0.5)</v>
      </c>
      <c r="I22" s="1673" t="str">
        <f>'XM.GUI MAIL'!AA49</f>
        <v/>
      </c>
      <c r="J22" s="1670" t="s">
        <v>8</v>
      </c>
      <c r="K22" s="1558" t="str">
        <f>'XM.GUI MAIL'!AD49</f>
        <v/>
      </c>
      <c r="L22" s="1671" t="s">
        <v>10</v>
      </c>
      <c r="M22" s="1673" t="str">
        <f>'XM.GUI MAIL'!AG49</f>
        <v/>
      </c>
      <c r="N22" s="1670" t="s">
        <v>8</v>
      </c>
      <c r="O22" s="1558" t="str">
        <f>'XM.GUI MAIL'!AJ49</f>
        <v/>
      </c>
      <c r="P22" s="1671" t="s">
        <v>10</v>
      </c>
      <c r="Q22" s="1673" t="str">
        <f>'XM.GUI MAIL'!AM49</f>
        <v/>
      </c>
      <c r="R22" s="1670" t="s">
        <v>8</v>
      </c>
      <c r="S22" s="1558" t="str">
        <f>'XM.GUI MAIL'!AP49</f>
        <v/>
      </c>
      <c r="T22" s="64" t="s">
        <v>10</v>
      </c>
      <c r="U22" s="300"/>
      <c r="W22" s="2319">
        <v>13</v>
      </c>
      <c r="X22" s="2272" t="s">
        <v>262</v>
      </c>
      <c r="Y22" s="2273"/>
      <c r="Z22" s="2273"/>
      <c r="AA22" s="2274"/>
      <c r="AB22" s="1872"/>
      <c r="AC22" s="1873"/>
      <c r="AD22" s="1872"/>
      <c r="AE22" s="1873"/>
    </row>
    <row r="23" spans="1:31" ht="30.75" customHeight="1">
      <c r="A23" s="2320"/>
      <c r="B23" s="2275"/>
      <c r="C23" s="2276"/>
      <c r="D23" s="2276"/>
      <c r="E23" s="2277"/>
      <c r="F23" s="1762" t="s">
        <v>5</v>
      </c>
      <c r="G23" s="1133" t="str">
        <f>'XM.GUI MAIL'!$E$50</f>
        <v>1.8~2.4</v>
      </c>
      <c r="H23" s="1133" t="str">
        <f>'XM.GUI MAIL'!$F$50</f>
        <v>(2.1±0.1 )</v>
      </c>
      <c r="I23" s="1673">
        <f>'XM.GUI MAIL'!AA50</f>
        <v>0</v>
      </c>
      <c r="J23" s="1670"/>
      <c r="K23" s="1558">
        <f>'XM.GUI MAIL'!AD50</f>
        <v>0</v>
      </c>
      <c r="L23" s="1671"/>
      <c r="M23" s="1673">
        <f>'XM.GUI MAIL'!AG50</f>
        <v>0</v>
      </c>
      <c r="N23" s="1670"/>
      <c r="O23" s="1558">
        <f>'XM.GUI MAIL'!AJ50</f>
        <v>0</v>
      </c>
      <c r="P23" s="1671"/>
      <c r="Q23" s="1673">
        <f>'XM.GUI MAIL'!AM50</f>
        <v>0</v>
      </c>
      <c r="R23" s="1670"/>
      <c r="S23" s="1558">
        <f>'XM.GUI MAIL'!AP50</f>
        <v>0</v>
      </c>
      <c r="T23" s="64"/>
      <c r="U23" s="300"/>
      <c r="W23" s="2320"/>
      <c r="X23" s="2275"/>
      <c r="Y23" s="2276"/>
      <c r="Z23" s="2276"/>
      <c r="AA23" s="2277"/>
      <c r="AB23" s="1872"/>
      <c r="AC23" s="1873"/>
      <c r="AD23" s="1872"/>
      <c r="AE23" s="1873"/>
    </row>
    <row r="24" spans="1:31" ht="33" customHeight="1">
      <c r="A24" s="1762"/>
      <c r="B24" s="282"/>
      <c r="C24" s="283"/>
      <c r="D24" s="283"/>
      <c r="E24" s="283"/>
      <c r="F24" s="283"/>
      <c r="G24" s="285" t="s">
        <v>117</v>
      </c>
      <c r="H24" s="285"/>
      <c r="I24" s="283"/>
      <c r="J24" s="283"/>
      <c r="K24" s="283"/>
      <c r="L24" s="283"/>
      <c r="M24" s="283"/>
      <c r="N24" s="283"/>
      <c r="O24" s="283"/>
      <c r="P24" s="283"/>
      <c r="Q24" s="283"/>
      <c r="R24" s="283"/>
      <c r="S24" s="283"/>
      <c r="T24" s="283"/>
      <c r="U24" s="284"/>
      <c r="W24" s="1779"/>
      <c r="X24" s="282"/>
      <c r="Y24" s="283"/>
      <c r="Z24" s="283"/>
      <c r="AA24" s="283"/>
      <c r="AB24" s="283"/>
      <c r="AC24" s="283"/>
      <c r="AD24" s="283"/>
      <c r="AE24" s="283"/>
    </row>
    <row r="25" spans="1:31" ht="33" customHeight="1">
      <c r="A25" s="1772" t="s">
        <v>7</v>
      </c>
      <c r="B25" s="2291" t="s">
        <v>64</v>
      </c>
      <c r="C25" s="2312"/>
      <c r="D25" s="2312"/>
      <c r="E25" s="2292"/>
      <c r="F25" s="1761" t="s">
        <v>66</v>
      </c>
      <c r="G25" s="1094" t="s">
        <v>1424</v>
      </c>
      <c r="H25" s="1768" t="s">
        <v>1412</v>
      </c>
      <c r="I25" s="2340" t="s">
        <v>48</v>
      </c>
      <c r="J25" s="2341"/>
      <c r="K25" s="2340" t="s">
        <v>65</v>
      </c>
      <c r="L25" s="2341"/>
      <c r="M25" s="2340" t="s">
        <v>48</v>
      </c>
      <c r="N25" s="2341"/>
      <c r="O25" s="2340" t="s">
        <v>65</v>
      </c>
      <c r="P25" s="2341"/>
      <c r="Q25" s="2340" t="s">
        <v>48</v>
      </c>
      <c r="R25" s="2341"/>
      <c r="S25" s="2340" t="s">
        <v>65</v>
      </c>
      <c r="T25" s="2341"/>
      <c r="U25" s="1769"/>
      <c r="W25" s="1781" t="s">
        <v>7</v>
      </c>
      <c r="X25" s="2291" t="s">
        <v>64</v>
      </c>
      <c r="Y25" s="2312"/>
      <c r="Z25" s="2312"/>
      <c r="AA25" s="2292"/>
      <c r="AB25" s="2268" t="s">
        <v>1526</v>
      </c>
      <c r="AC25" s="2130"/>
      <c r="AD25" s="2268" t="s">
        <v>1526</v>
      </c>
      <c r="AE25" s="2130"/>
    </row>
    <row r="26" spans="1:31" ht="34.5" customHeight="1">
      <c r="A26" s="1772">
        <v>1</v>
      </c>
      <c r="B26" s="2291" t="s">
        <v>68</v>
      </c>
      <c r="C26" s="2312"/>
      <c r="D26" s="2312"/>
      <c r="E26" s="2292"/>
      <c r="F26" s="21" t="s">
        <v>113</v>
      </c>
      <c r="G26" s="1134" t="str">
        <f>'XM.GUI MAIL'!$E$53</f>
        <v>50~70</v>
      </c>
      <c r="H26" s="1134" t="str">
        <f>'XM.GUI MAIL'!$F$53</f>
        <v>(60±3)</v>
      </c>
      <c r="I26" s="2088">
        <f>'XM.GUI MAIL'!AA53</f>
        <v>0</v>
      </c>
      <c r="J26" s="2089"/>
      <c r="K26" s="2088">
        <f>'XM.GUI MAIL'!AD53</f>
        <v>0</v>
      </c>
      <c r="L26" s="2089"/>
      <c r="M26" s="2088">
        <f>'XM.GUI MAIL'!AG53</f>
        <v>0</v>
      </c>
      <c r="N26" s="2089"/>
      <c r="O26" s="2088">
        <f>'XM.GUI MAIL'!AJ53</f>
        <v>0</v>
      </c>
      <c r="P26" s="2089"/>
      <c r="Q26" s="2088">
        <f>'XM.GUI MAIL'!AM53</f>
        <v>0</v>
      </c>
      <c r="R26" s="2089"/>
      <c r="S26" s="2088">
        <f>'XM.GUI MAIL'!AP53</f>
        <v>0</v>
      </c>
      <c r="T26" s="2089"/>
      <c r="U26" s="20"/>
      <c r="W26" s="1781">
        <v>1</v>
      </c>
      <c r="X26" s="2291" t="s">
        <v>68</v>
      </c>
      <c r="Y26" s="2312"/>
      <c r="Z26" s="2312"/>
      <c r="AA26" s="2292"/>
      <c r="AB26" s="1872"/>
      <c r="AC26" s="1873"/>
      <c r="AD26" s="1872"/>
      <c r="AE26" s="1873"/>
    </row>
    <row r="27" spans="1:31" ht="34.5" customHeight="1">
      <c r="A27" s="1772">
        <v>2</v>
      </c>
      <c r="B27" s="2291" t="s">
        <v>69</v>
      </c>
      <c r="C27" s="2312" t="s">
        <v>69</v>
      </c>
      <c r="D27" s="2312" t="s">
        <v>69</v>
      </c>
      <c r="E27" s="2292" t="s">
        <v>69</v>
      </c>
      <c r="F27" s="21" t="s">
        <v>113</v>
      </c>
      <c r="G27" s="1134" t="str">
        <f>'XM.GUI MAIL'!$E$54</f>
        <v>50~70</v>
      </c>
      <c r="H27" s="1134" t="str">
        <f>'XM.GUI MAIL'!$F$54</f>
        <v>(60±3)</v>
      </c>
      <c r="I27" s="2088">
        <f>'XM.GUI MAIL'!AA54</f>
        <v>0</v>
      </c>
      <c r="J27" s="2089"/>
      <c r="K27" s="2088">
        <f>'XM.GUI MAIL'!AD54</f>
        <v>0</v>
      </c>
      <c r="L27" s="2089"/>
      <c r="M27" s="2088">
        <f>'XM.GUI MAIL'!AG54</f>
        <v>0</v>
      </c>
      <c r="N27" s="2089"/>
      <c r="O27" s="2088">
        <f>'XM.GUI MAIL'!AJ54</f>
        <v>0</v>
      </c>
      <c r="P27" s="2089"/>
      <c r="Q27" s="2088">
        <f>'XM.GUI MAIL'!AM54</f>
        <v>0</v>
      </c>
      <c r="R27" s="2089"/>
      <c r="S27" s="2088">
        <f>'XM.GUI MAIL'!AP54</f>
        <v>0</v>
      </c>
      <c r="T27" s="2089"/>
      <c r="U27" s="20"/>
      <c r="W27" s="1781">
        <v>2</v>
      </c>
      <c r="X27" s="2291" t="s">
        <v>69</v>
      </c>
      <c r="Y27" s="2312" t="s">
        <v>69</v>
      </c>
      <c r="Z27" s="2312" t="s">
        <v>69</v>
      </c>
      <c r="AA27" s="2292" t="s">
        <v>69</v>
      </c>
      <c r="AB27" s="1872"/>
      <c r="AC27" s="1873"/>
      <c r="AD27" s="1872"/>
      <c r="AE27" s="1873"/>
    </row>
    <row r="28" spans="1:31" ht="34.5" customHeight="1">
      <c r="A28" s="1772">
        <v>3</v>
      </c>
      <c r="B28" s="2291" t="s">
        <v>71</v>
      </c>
      <c r="C28" s="2312" t="s">
        <v>71</v>
      </c>
      <c r="D28" s="2312" t="s">
        <v>71</v>
      </c>
      <c r="E28" s="2292" t="s">
        <v>71</v>
      </c>
      <c r="F28" s="21" t="s">
        <v>113</v>
      </c>
      <c r="G28" s="1134" t="str">
        <f>'XM.GUI MAIL'!$E$55</f>
        <v>50~70</v>
      </c>
      <c r="H28" s="1134" t="str">
        <f>'XM.GUI MAIL'!$F$55</f>
        <v>(60±3)</v>
      </c>
      <c r="I28" s="2088">
        <f>'XM.GUI MAIL'!AA55</f>
        <v>0</v>
      </c>
      <c r="J28" s="2089"/>
      <c r="K28" s="2088">
        <f>'XM.GUI MAIL'!AD55</f>
        <v>0</v>
      </c>
      <c r="L28" s="2089"/>
      <c r="M28" s="2088">
        <f>'XM.GUI MAIL'!AG55</f>
        <v>0</v>
      </c>
      <c r="N28" s="2089"/>
      <c r="O28" s="2088">
        <f>'XM.GUI MAIL'!AJ55</f>
        <v>0</v>
      </c>
      <c r="P28" s="2089"/>
      <c r="Q28" s="2088">
        <f>'XM.GUI MAIL'!AM55</f>
        <v>0</v>
      </c>
      <c r="R28" s="2089"/>
      <c r="S28" s="2088">
        <f>'XM.GUI MAIL'!AP55</f>
        <v>0</v>
      </c>
      <c r="T28" s="2089"/>
      <c r="U28" s="20"/>
      <c r="W28" s="1781">
        <v>3</v>
      </c>
      <c r="X28" s="2291" t="s">
        <v>71</v>
      </c>
      <c r="Y28" s="2312" t="s">
        <v>71</v>
      </c>
      <c r="Z28" s="2312" t="s">
        <v>71</v>
      </c>
      <c r="AA28" s="2292" t="s">
        <v>71</v>
      </c>
      <c r="AB28" s="1872"/>
      <c r="AC28" s="1873"/>
      <c r="AD28" s="1872"/>
      <c r="AE28" s="1873"/>
    </row>
    <row r="29" spans="1:31" ht="34.5" customHeight="1">
      <c r="A29" s="1772">
        <v>4</v>
      </c>
      <c r="B29" s="2291" t="s">
        <v>70</v>
      </c>
      <c r="C29" s="2312" t="s">
        <v>70</v>
      </c>
      <c r="D29" s="2312" t="s">
        <v>70</v>
      </c>
      <c r="E29" s="2292" t="s">
        <v>70</v>
      </c>
      <c r="F29" s="21" t="s">
        <v>113</v>
      </c>
      <c r="G29" s="1134" t="str">
        <f>'XM.GUI MAIL'!$E$56</f>
        <v>50~70</v>
      </c>
      <c r="H29" s="1134" t="str">
        <f>'XM.GUI MAIL'!$F$56</f>
        <v>(60±3)</v>
      </c>
      <c r="I29" s="2088">
        <f>'XM.GUI MAIL'!AA56</f>
        <v>0</v>
      </c>
      <c r="J29" s="2089"/>
      <c r="K29" s="2088">
        <f>'XM.GUI MAIL'!AD56</f>
        <v>0</v>
      </c>
      <c r="L29" s="2089"/>
      <c r="M29" s="2088">
        <f>'XM.GUI MAIL'!AG56</f>
        <v>0</v>
      </c>
      <c r="N29" s="2089"/>
      <c r="O29" s="2088">
        <f>'XM.GUI MAIL'!AJ56</f>
        <v>0</v>
      </c>
      <c r="P29" s="2089"/>
      <c r="Q29" s="2088">
        <f>'XM.GUI MAIL'!AM56</f>
        <v>0</v>
      </c>
      <c r="R29" s="2089"/>
      <c r="S29" s="2088">
        <f>'XM.GUI MAIL'!AP56</f>
        <v>0</v>
      </c>
      <c r="T29" s="2089"/>
      <c r="U29" s="20"/>
      <c r="W29" s="1781">
        <v>4</v>
      </c>
      <c r="X29" s="2291" t="s">
        <v>70</v>
      </c>
      <c r="Y29" s="2312" t="s">
        <v>70</v>
      </c>
      <c r="Z29" s="2312" t="s">
        <v>70</v>
      </c>
      <c r="AA29" s="2292" t="s">
        <v>70</v>
      </c>
      <c r="AB29" s="1872"/>
      <c r="AC29" s="1873"/>
      <c r="AD29" s="1872"/>
      <c r="AE29" s="1873"/>
    </row>
    <row r="30" spans="1:31" ht="34.5" customHeight="1">
      <c r="A30" s="1772">
        <v>5</v>
      </c>
      <c r="B30" s="2291" t="s">
        <v>72</v>
      </c>
      <c r="C30" s="2312" t="s">
        <v>72</v>
      </c>
      <c r="D30" s="2312" t="s">
        <v>72</v>
      </c>
      <c r="E30" s="2292" t="s">
        <v>72</v>
      </c>
      <c r="F30" s="21" t="s">
        <v>113</v>
      </c>
      <c r="G30" s="1134" t="str">
        <f>'XM.GUI MAIL'!$E$57</f>
        <v>22~30</v>
      </c>
      <c r="H30" s="1134" t="str">
        <f>'XM.GUI MAIL'!$F$57</f>
        <v>(24±1)</v>
      </c>
      <c r="I30" s="2088">
        <f>'XM.GUI MAIL'!AA57</f>
        <v>0</v>
      </c>
      <c r="J30" s="2089"/>
      <c r="K30" s="2088">
        <f>'XM.GUI MAIL'!AD57</f>
        <v>0</v>
      </c>
      <c r="L30" s="2089"/>
      <c r="M30" s="2088">
        <f>'XM.GUI MAIL'!AG57</f>
        <v>0</v>
      </c>
      <c r="N30" s="2089"/>
      <c r="O30" s="2088">
        <f>'XM.GUI MAIL'!AJ57</f>
        <v>0</v>
      </c>
      <c r="P30" s="2089"/>
      <c r="Q30" s="2088">
        <f>'XM.GUI MAIL'!AM57</f>
        <v>0</v>
      </c>
      <c r="R30" s="2089"/>
      <c r="S30" s="2088">
        <f>'XM.GUI MAIL'!AP57</f>
        <v>0</v>
      </c>
      <c r="T30" s="2089"/>
      <c r="U30" s="20"/>
      <c r="W30" s="1781">
        <v>5</v>
      </c>
      <c r="X30" s="2291" t="s">
        <v>72</v>
      </c>
      <c r="Y30" s="2312" t="s">
        <v>72</v>
      </c>
      <c r="Z30" s="2312" t="s">
        <v>72</v>
      </c>
      <c r="AA30" s="2292" t="s">
        <v>72</v>
      </c>
      <c r="AB30" s="1872"/>
      <c r="AC30" s="1873"/>
      <c r="AD30" s="1872"/>
      <c r="AE30" s="1873"/>
    </row>
    <row r="31" spans="1:31" ht="34.5" customHeight="1">
      <c r="A31" s="1772">
        <v>6</v>
      </c>
      <c r="B31" s="2291" t="s">
        <v>1040</v>
      </c>
      <c r="C31" s="2312" t="s">
        <v>1040</v>
      </c>
      <c r="D31" s="2312" t="s">
        <v>1040</v>
      </c>
      <c r="E31" s="2292" t="s">
        <v>1040</v>
      </c>
      <c r="F31" s="21" t="s">
        <v>113</v>
      </c>
      <c r="G31" s="1134" t="str">
        <f>'XM.GUI MAIL'!$E$58</f>
        <v>30-38</v>
      </c>
      <c r="H31" s="1134" t="str">
        <f>'XM.GUI MAIL'!$F$58</f>
        <v>(34±2)</v>
      </c>
      <c r="I31" s="2088">
        <f>'XM.GUI MAIL'!AA58</f>
        <v>0</v>
      </c>
      <c r="J31" s="2089"/>
      <c r="K31" s="2088">
        <f>'XM.GUI MAIL'!AD58</f>
        <v>0</v>
      </c>
      <c r="L31" s="2089"/>
      <c r="M31" s="2088">
        <f>'XM.GUI MAIL'!AG58</f>
        <v>0</v>
      </c>
      <c r="N31" s="2089"/>
      <c r="O31" s="2088">
        <f>'XM.GUI MAIL'!AJ58</f>
        <v>0</v>
      </c>
      <c r="P31" s="2089"/>
      <c r="Q31" s="2088">
        <f>'XM.GUI MAIL'!AM58</f>
        <v>0</v>
      </c>
      <c r="R31" s="2089"/>
      <c r="S31" s="2088">
        <f>'XM.GUI MAIL'!AP58</f>
        <v>0</v>
      </c>
      <c r="T31" s="2089"/>
      <c r="U31" s="22"/>
      <c r="W31" s="1781">
        <v>6</v>
      </c>
      <c r="X31" s="2291" t="s">
        <v>1040</v>
      </c>
      <c r="Y31" s="2312" t="s">
        <v>1040</v>
      </c>
      <c r="Z31" s="2312" t="s">
        <v>1040</v>
      </c>
      <c r="AA31" s="2292" t="s">
        <v>1040</v>
      </c>
      <c r="AB31" s="1872"/>
      <c r="AC31" s="1873"/>
      <c r="AD31" s="1872"/>
      <c r="AE31" s="1873"/>
    </row>
    <row r="32" spans="1:31" ht="34.5" customHeight="1">
      <c r="A32" s="1772">
        <v>7</v>
      </c>
      <c r="B32" s="2291" t="s">
        <v>73</v>
      </c>
      <c r="C32" s="2312" t="s">
        <v>73</v>
      </c>
      <c r="D32" s="2312" t="s">
        <v>73</v>
      </c>
      <c r="E32" s="2292" t="s">
        <v>73</v>
      </c>
      <c r="F32" s="21" t="s">
        <v>113</v>
      </c>
      <c r="G32" s="1134" t="str">
        <f>'XM.GUI MAIL'!$E$59</f>
        <v>55~65</v>
      </c>
      <c r="H32" s="1134" t="str">
        <f>'XM.GUI MAIL'!$F$59</f>
        <v>(60±3)</v>
      </c>
      <c r="I32" s="2088">
        <f>'XM.GUI MAIL'!AA59</f>
        <v>0</v>
      </c>
      <c r="J32" s="2089"/>
      <c r="K32" s="2088">
        <f>'XM.GUI MAIL'!AD59</f>
        <v>0</v>
      </c>
      <c r="L32" s="2089"/>
      <c r="M32" s="2088">
        <f>'XM.GUI MAIL'!AG59</f>
        <v>0</v>
      </c>
      <c r="N32" s="2089"/>
      <c r="O32" s="2088">
        <f>'XM.GUI MAIL'!AJ59</f>
        <v>0</v>
      </c>
      <c r="P32" s="2089"/>
      <c r="Q32" s="2088">
        <f>'XM.GUI MAIL'!AM59</f>
        <v>0</v>
      </c>
      <c r="R32" s="2089"/>
      <c r="S32" s="2088">
        <f>'XM.GUI MAIL'!AP59</f>
        <v>0</v>
      </c>
      <c r="T32" s="2089"/>
      <c r="U32" s="20"/>
      <c r="W32" s="1781">
        <v>7</v>
      </c>
      <c r="X32" s="2291" t="s">
        <v>73</v>
      </c>
      <c r="Y32" s="2312" t="s">
        <v>73</v>
      </c>
      <c r="Z32" s="2312" t="s">
        <v>73</v>
      </c>
      <c r="AA32" s="2292" t="s">
        <v>73</v>
      </c>
      <c r="AB32" s="1872"/>
      <c r="AC32" s="1873"/>
      <c r="AD32" s="1872"/>
      <c r="AE32" s="1873"/>
    </row>
    <row r="33" spans="1:31" ht="34.5" customHeight="1">
      <c r="A33" s="1772">
        <v>8</v>
      </c>
      <c r="B33" s="2313" t="s">
        <v>74</v>
      </c>
      <c r="C33" s="2314" t="s">
        <v>74</v>
      </c>
      <c r="D33" s="2314" t="s">
        <v>74</v>
      </c>
      <c r="E33" s="2315" t="s">
        <v>74</v>
      </c>
      <c r="F33" s="21" t="s">
        <v>113</v>
      </c>
      <c r="G33" s="1134" t="str">
        <f>'XM.GUI MAIL'!$E$60</f>
        <v>65~75</v>
      </c>
      <c r="H33" s="1134" t="str">
        <f>'XM.GUI MAIL'!$F$60</f>
        <v>(70±3)</v>
      </c>
      <c r="I33" s="2340" t="s">
        <v>50</v>
      </c>
      <c r="J33" s="2341"/>
      <c r="K33" s="2088">
        <f>'XM.GUI MAIL'!AD60</f>
        <v>0</v>
      </c>
      <c r="L33" s="2089"/>
      <c r="M33" s="2340" t="s">
        <v>50</v>
      </c>
      <c r="N33" s="2341"/>
      <c r="O33" s="2088">
        <f>'XM.GUI MAIL'!AJ60</f>
        <v>0</v>
      </c>
      <c r="P33" s="2089"/>
      <c r="Q33" s="2340" t="s">
        <v>50</v>
      </c>
      <c r="R33" s="2341"/>
      <c r="S33" s="2088">
        <f>'XM.GUI MAIL'!AP60</f>
        <v>0</v>
      </c>
      <c r="T33" s="2089"/>
      <c r="U33" s="20"/>
      <c r="W33" s="1781">
        <v>8</v>
      </c>
      <c r="X33" s="2313" t="s">
        <v>74</v>
      </c>
      <c r="Y33" s="2314" t="s">
        <v>74</v>
      </c>
      <c r="Z33" s="2314" t="s">
        <v>74</v>
      </c>
      <c r="AA33" s="2315" t="s">
        <v>74</v>
      </c>
      <c r="AB33" s="1872"/>
      <c r="AC33" s="1873"/>
      <c r="AD33" s="1872"/>
      <c r="AE33" s="1873"/>
    </row>
    <row r="34" spans="1:31" ht="36.75" customHeight="1">
      <c r="A34" s="1762"/>
      <c r="B34" s="282"/>
      <c r="C34" s="283"/>
      <c r="D34" s="283"/>
      <c r="E34" s="283"/>
      <c r="F34" s="283"/>
      <c r="G34" s="285" t="s">
        <v>118</v>
      </c>
      <c r="H34" s="285"/>
      <c r="I34" s="283"/>
      <c r="J34" s="283"/>
      <c r="K34" s="283"/>
      <c r="L34" s="283"/>
      <c r="M34" s="283"/>
      <c r="N34" s="283"/>
      <c r="O34" s="283"/>
      <c r="P34" s="283"/>
      <c r="Q34" s="283"/>
      <c r="R34" s="283"/>
      <c r="S34" s="283"/>
      <c r="T34" s="283"/>
      <c r="U34" s="284"/>
      <c r="W34" s="1779"/>
      <c r="X34" s="282"/>
      <c r="Y34" s="283"/>
      <c r="Z34" s="283"/>
      <c r="AA34" s="283"/>
      <c r="AB34" s="283"/>
      <c r="AC34" s="283"/>
      <c r="AD34" s="283"/>
      <c r="AE34" s="283"/>
    </row>
    <row r="35" spans="1:31" ht="35.25" customHeight="1">
      <c r="A35" s="1772" t="s">
        <v>7</v>
      </c>
      <c r="B35" s="2291" t="s">
        <v>100</v>
      </c>
      <c r="C35" s="2312"/>
      <c r="D35" s="2312"/>
      <c r="E35" s="2292"/>
      <c r="F35" s="1771" t="s">
        <v>101</v>
      </c>
      <c r="G35" s="1094" t="s">
        <v>1424</v>
      </c>
      <c r="H35" s="1768" t="s">
        <v>1412</v>
      </c>
      <c r="I35" s="2313" t="s">
        <v>119</v>
      </c>
      <c r="J35" s="2314"/>
      <c r="K35" s="2314"/>
      <c r="L35" s="2315"/>
      <c r="M35" s="2313" t="s">
        <v>119</v>
      </c>
      <c r="N35" s="2314"/>
      <c r="O35" s="2314"/>
      <c r="P35" s="2315"/>
      <c r="Q35" s="2313" t="s">
        <v>119</v>
      </c>
      <c r="R35" s="2314"/>
      <c r="S35" s="2314"/>
      <c r="T35" s="2315"/>
      <c r="U35" s="1769"/>
      <c r="W35" s="1781" t="s">
        <v>7</v>
      </c>
      <c r="X35" s="2291" t="s">
        <v>100</v>
      </c>
      <c r="Y35" s="2312"/>
      <c r="Z35" s="2312"/>
      <c r="AA35" s="2292"/>
      <c r="AB35" s="2268" t="s">
        <v>1526</v>
      </c>
      <c r="AC35" s="2130"/>
      <c r="AD35" s="2268" t="s">
        <v>1526</v>
      </c>
      <c r="AE35" s="2130"/>
    </row>
    <row r="36" spans="1:31" ht="42.75" customHeight="1">
      <c r="A36" s="1762">
        <v>1</v>
      </c>
      <c r="B36" s="2333" t="s">
        <v>253</v>
      </c>
      <c r="C36" s="2334"/>
      <c r="D36" s="2334"/>
      <c r="E36" s="2335"/>
      <c r="F36" s="23" t="s">
        <v>51</v>
      </c>
      <c r="G36" s="295" t="str">
        <f>'XM.GUI MAIL'!$E$62</f>
        <v>100-200</v>
      </c>
      <c r="H36" s="295" t="str">
        <f>'XM.GUI MAIL'!$F$62</f>
        <v>100-200</v>
      </c>
      <c r="I36" s="2119">
        <f>'XM.GUI MAIL'!AA62</f>
        <v>0</v>
      </c>
      <c r="J36" s="2120"/>
      <c r="K36" s="2120"/>
      <c r="L36" s="2120"/>
      <c r="M36" s="2119">
        <f>'XM.GUI MAIL'!AG62</f>
        <v>0</v>
      </c>
      <c r="N36" s="2120"/>
      <c r="O36" s="2120"/>
      <c r="P36" s="2120"/>
      <c r="Q36" s="2119">
        <f>'XM.GUI MAIL'!AM62</f>
        <v>0</v>
      </c>
      <c r="R36" s="2120"/>
      <c r="S36" s="2120"/>
      <c r="T36" s="2120"/>
      <c r="U36" s="22"/>
      <c r="W36" s="1779">
        <v>1</v>
      </c>
      <c r="X36" s="2333" t="s">
        <v>253</v>
      </c>
      <c r="Y36" s="2334"/>
      <c r="Z36" s="2334"/>
      <c r="AA36" s="2335"/>
      <c r="AB36" s="1872"/>
      <c r="AC36" s="1873"/>
      <c r="AD36" s="1872"/>
      <c r="AE36" s="1873"/>
    </row>
    <row r="37" spans="1:31" ht="42.75" customHeight="1">
      <c r="A37" s="1762">
        <v>2</v>
      </c>
      <c r="B37" s="2333" t="s">
        <v>254</v>
      </c>
      <c r="C37" s="2334"/>
      <c r="D37" s="2334"/>
      <c r="E37" s="2335"/>
      <c r="F37" s="23" t="s">
        <v>51</v>
      </c>
      <c r="G37" s="295" t="str">
        <f>'XM.GUI MAIL'!$E$63</f>
        <v>20-50</v>
      </c>
      <c r="H37" s="295" t="str">
        <f>'XM.GUI MAIL'!$F$63</f>
        <v>20-50</v>
      </c>
      <c r="I37" s="2119">
        <f>'XM.GUI MAIL'!AA63</f>
        <v>0</v>
      </c>
      <c r="J37" s="2120"/>
      <c r="K37" s="2120"/>
      <c r="L37" s="2120"/>
      <c r="M37" s="2119">
        <f>'XM.GUI MAIL'!AG63</f>
        <v>0</v>
      </c>
      <c r="N37" s="2120"/>
      <c r="O37" s="2120"/>
      <c r="P37" s="2120"/>
      <c r="Q37" s="2119">
        <f>'XM.GUI MAIL'!AM63</f>
        <v>0</v>
      </c>
      <c r="R37" s="2120"/>
      <c r="S37" s="2120"/>
      <c r="T37" s="2120"/>
      <c r="U37" s="22"/>
      <c r="W37" s="1779">
        <v>2</v>
      </c>
      <c r="X37" s="2333" t="s">
        <v>254</v>
      </c>
      <c r="Y37" s="2334"/>
      <c r="Z37" s="2334"/>
      <c r="AA37" s="2335"/>
      <c r="AB37" s="1868"/>
      <c r="AC37" s="1874"/>
      <c r="AD37" s="1868"/>
      <c r="AE37" s="1874"/>
    </row>
  </sheetData>
  <sheetProtection formatCells="0" formatColumns="0" formatRows="0" insertColumns="0" insertRows="0" insertHyperlinks="0" deleteColumns="0" deleteRows="0" selectLockedCells="1" sort="0" autoFilter="0" pivotTables="0"/>
  <mergeCells count="166">
    <mergeCell ref="AB25:AC25"/>
    <mergeCell ref="AD25:AE25"/>
    <mergeCell ref="AB35:AC35"/>
    <mergeCell ref="AD35:AE35"/>
    <mergeCell ref="AB4:AC4"/>
    <mergeCell ref="AD4:AE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O25:P25"/>
    <mergeCell ref="Q25:R25"/>
    <mergeCell ref="S25:T25"/>
    <mergeCell ref="B26:E26"/>
    <mergeCell ref="I26:J26"/>
    <mergeCell ref="K26:L26"/>
    <mergeCell ref="M26:N26"/>
    <mergeCell ref="O26:P26"/>
    <mergeCell ref="Q26:R26"/>
    <mergeCell ref="S26:T26"/>
    <mergeCell ref="A22:A23"/>
    <mergeCell ref="B22:E23"/>
    <mergeCell ref="B25:E25"/>
    <mergeCell ref="I25:J25"/>
    <mergeCell ref="K25:L25"/>
    <mergeCell ref="M25:N25"/>
    <mergeCell ref="A16:A17"/>
    <mergeCell ref="B16:E17"/>
    <mergeCell ref="B18:E18"/>
    <mergeCell ref="B19:E19"/>
    <mergeCell ref="B20:E20"/>
    <mergeCell ref="B21:E21"/>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S3:T3"/>
    <mergeCell ref="A4:A5"/>
    <mergeCell ref="B4:E5"/>
    <mergeCell ref="F4:F5"/>
    <mergeCell ref="G4:G5"/>
    <mergeCell ref="H4:H5"/>
    <mergeCell ref="I4:L4"/>
    <mergeCell ref="M4:P4"/>
    <mergeCell ref="Q4:T4"/>
    <mergeCell ref="W6:W7"/>
    <mergeCell ref="X6:Y7"/>
    <mergeCell ref="Z6:AA6"/>
    <mergeCell ref="Z7:AA7"/>
    <mergeCell ref="W8:W9"/>
    <mergeCell ref="X8:Y9"/>
    <mergeCell ref="Z8:AA8"/>
    <mergeCell ref="Z9:AA9"/>
    <mergeCell ref="A1:R1"/>
    <mergeCell ref="A2:R2"/>
    <mergeCell ref="S2:T2"/>
    <mergeCell ref="W2:AC2"/>
    <mergeCell ref="X3:Z3"/>
    <mergeCell ref="W4:W5"/>
    <mergeCell ref="X4:AA5"/>
    <mergeCell ref="U4:U5"/>
    <mergeCell ref="J5:L5"/>
    <mergeCell ref="N5:P5"/>
    <mergeCell ref="R5:T5"/>
    <mergeCell ref="A6:A7"/>
    <mergeCell ref="B6:C7"/>
    <mergeCell ref="D6:E6"/>
    <mergeCell ref="D7:E7"/>
    <mergeCell ref="B3:D3"/>
    <mergeCell ref="W10:W11"/>
    <mergeCell ref="X10:Y11"/>
    <mergeCell ref="Z10:AA10"/>
    <mergeCell ref="Z11:AA11"/>
    <mergeCell ref="W12:W13"/>
    <mergeCell ref="X12:Y13"/>
    <mergeCell ref="Z12:AA12"/>
    <mergeCell ref="Z13:AA13"/>
    <mergeCell ref="X14:AA14"/>
    <mergeCell ref="X25:AA25"/>
    <mergeCell ref="X26:AA26"/>
    <mergeCell ref="X15:AA15"/>
    <mergeCell ref="W16:W17"/>
    <mergeCell ref="X16:AA17"/>
    <mergeCell ref="X18:AA18"/>
    <mergeCell ref="X19:AA19"/>
    <mergeCell ref="X20:AA20"/>
    <mergeCell ref="X21:AA21"/>
    <mergeCell ref="W22:W23"/>
    <mergeCell ref="X22:AA23"/>
    <mergeCell ref="X36:AA36"/>
    <mergeCell ref="X37:AA37"/>
    <mergeCell ref="X33:AA33"/>
    <mergeCell ref="X35:AA35"/>
    <mergeCell ref="X31:AA31"/>
    <mergeCell ref="X32:AA32"/>
    <mergeCell ref="X29:AA29"/>
    <mergeCell ref="X30:AA30"/>
    <mergeCell ref="X27:AA27"/>
    <mergeCell ref="X28:AA28"/>
  </mergeCells>
  <conditionalFormatting sqref="I36 M36 Q36">
    <cfRule type="expression" dxfId="3225" priority="717">
      <formula>I36&lt;100</formula>
    </cfRule>
    <cfRule type="expression" dxfId="3224" priority="718">
      <formula>I36&gt;200</formula>
    </cfRule>
  </conditionalFormatting>
  <conditionalFormatting sqref="I37 M37 Q37">
    <cfRule type="expression" dxfId="3223" priority="715">
      <formula>I37&lt;20</formula>
    </cfRule>
    <cfRule type="expression" dxfId="3222" priority="716">
      <formula>I37&gt;50</formula>
    </cfRule>
  </conditionalFormatting>
  <conditionalFormatting sqref="I6 I8 M6 M8 Q6 Q8">
    <cfRule type="cellIs" dxfId="3221" priority="569" operator="between">
      <formula>60</formula>
      <formula>64.99</formula>
    </cfRule>
    <cfRule type="cellIs" dxfId="3220" priority="570" operator="between">
      <formula>75.1</formula>
      <formula>80</formula>
    </cfRule>
    <cfRule type="expression" dxfId="3219" priority="571">
      <formula>I6&lt;60</formula>
    </cfRule>
    <cfRule type="expression" dxfId="3218" priority="572">
      <formula>I6&gt;80</formula>
    </cfRule>
  </conditionalFormatting>
  <conditionalFormatting sqref="I10 I12 M10 M12 Q10 Q12">
    <cfRule type="cellIs" dxfId="3217" priority="561" operator="between">
      <formula>50</formula>
      <formula>54.99</formula>
    </cfRule>
    <cfRule type="cellIs" dxfId="3216" priority="562" operator="between">
      <formula>65.01</formula>
      <formula>70</formula>
    </cfRule>
    <cfRule type="expression" dxfId="3215" priority="563">
      <formula>I10&lt;50</formula>
    </cfRule>
    <cfRule type="expression" dxfId="3214" priority="564">
      <formula>I10&gt;70</formula>
    </cfRule>
  </conditionalFormatting>
  <conditionalFormatting sqref="I14 M14 Q14">
    <cfRule type="expression" dxfId="3213" priority="556" stopIfTrue="1">
      <formula>I14&lt;130</formula>
    </cfRule>
  </conditionalFormatting>
  <conditionalFormatting sqref="I14 M14 Q14">
    <cfRule type="expression" dxfId="3212" priority="555" stopIfTrue="1">
      <formula>I14&gt;150</formula>
    </cfRule>
  </conditionalFormatting>
  <conditionalFormatting sqref="I15 M15 Q15">
    <cfRule type="cellIs" dxfId="3211" priority="551" operator="between">
      <formula>8</formula>
      <formula>8.99</formula>
    </cfRule>
    <cfRule type="cellIs" dxfId="3210" priority="552" operator="between">
      <formula>11.01</formula>
      <formula>12</formula>
    </cfRule>
    <cfRule type="expression" dxfId="3209" priority="553">
      <formula>I15&lt;8</formula>
    </cfRule>
    <cfRule type="expression" dxfId="3208" priority="554">
      <formula>I15&gt;12</formula>
    </cfRule>
  </conditionalFormatting>
  <conditionalFormatting sqref="I16 M16 Q16">
    <cfRule type="cellIs" dxfId="3207" priority="547" operator="between">
      <formula>6</formula>
      <formula>7.499</formula>
    </cfRule>
    <cfRule type="cellIs" dxfId="3206" priority="548" operator="between">
      <formula>8.51</formula>
      <formula>10</formula>
    </cfRule>
    <cfRule type="expression" dxfId="3205" priority="549">
      <formula>I16&lt;6</formula>
    </cfRule>
    <cfRule type="expression" dxfId="3204" priority="550">
      <formula>I16&gt;10</formula>
    </cfRule>
  </conditionalFormatting>
  <conditionalFormatting sqref="I17 M17 Q17">
    <cfRule type="cellIs" dxfId="3203" priority="543" operator="between">
      <formula>2</formula>
      <formula>2.199</formula>
    </cfRule>
    <cfRule type="cellIs" dxfId="3202" priority="544" operator="between">
      <formula>2.41</formula>
      <formula>2.5</formula>
    </cfRule>
    <cfRule type="expression" dxfId="3201" priority="545">
      <formula>I17&lt;2</formula>
    </cfRule>
    <cfRule type="expression" dxfId="3200" priority="546">
      <formula>I17&gt;2.5</formula>
    </cfRule>
  </conditionalFormatting>
  <conditionalFormatting sqref="I18 M18 Q18">
    <cfRule type="cellIs" dxfId="3199" priority="539" operator="between">
      <formula>30%</formula>
      <formula>39.99%</formula>
    </cfRule>
    <cfRule type="cellIs" dxfId="3198" priority="540" operator="between">
      <formula>50.01%</formula>
      <formula>60%</formula>
    </cfRule>
    <cfRule type="expression" dxfId="3197" priority="541">
      <formula>I18&lt;30%</formula>
    </cfRule>
    <cfRule type="expression" dxfId="3196" priority="542">
      <formula>I18&gt;60%</formula>
    </cfRule>
  </conditionalFormatting>
  <conditionalFormatting sqref="I19 M19 Q19">
    <cfRule type="cellIs" dxfId="3195" priority="535" operator="between">
      <formula>15%</formula>
      <formula>16.99%</formula>
    </cfRule>
    <cfRule type="cellIs" dxfId="3194" priority="536" operator="between">
      <formula>27.01%</formula>
      <formula>30%</formula>
    </cfRule>
    <cfRule type="expression" dxfId="3193" priority="537">
      <formula>I19&lt;15%</formula>
    </cfRule>
    <cfRule type="expression" dxfId="3192" priority="538">
      <formula>I19&gt;30%</formula>
    </cfRule>
  </conditionalFormatting>
  <conditionalFormatting sqref="M20">
    <cfRule type="cellIs" dxfId="3191" priority="531" operator="between">
      <formula>5%</formula>
      <formula>6.99%</formula>
    </cfRule>
    <cfRule type="cellIs" dxfId="3190" priority="532" operator="between">
      <formula>12.99%</formula>
      <formula>15%</formula>
    </cfRule>
    <cfRule type="expression" dxfId="3189" priority="533">
      <formula>M20&lt;5%</formula>
    </cfRule>
    <cfRule type="expression" dxfId="3188" priority="534">
      <formula>M20&gt;15%</formula>
    </cfRule>
  </conditionalFormatting>
  <conditionalFormatting sqref="I21 M21 Q21">
    <cfRule type="cellIs" dxfId="3187" priority="527" operator="between">
      <formula>0.5%</formula>
      <formula>0.799%</formula>
    </cfRule>
    <cfRule type="cellIs" dxfId="3186" priority="528" operator="between">
      <formula>1.21%</formula>
      <formula>1.5%</formula>
    </cfRule>
    <cfRule type="expression" dxfId="3185" priority="529">
      <formula>I21&lt;0.5%</formula>
    </cfRule>
    <cfRule type="expression" dxfId="3184" priority="530">
      <formula>I21&gt;1.5%</formula>
    </cfRule>
  </conditionalFormatting>
  <conditionalFormatting sqref="K33 O33 S33">
    <cfRule type="cellIs" dxfId="3183" priority="431" operator="between">
      <formula>65</formula>
      <formula>66.9</formula>
    </cfRule>
    <cfRule type="cellIs" dxfId="3182" priority="432" operator="between">
      <formula>73.1</formula>
      <formula>75</formula>
    </cfRule>
    <cfRule type="expression" dxfId="3181" priority="433">
      <formula>K33&lt;65</formula>
    </cfRule>
    <cfRule type="expression" dxfId="3180" priority="434">
      <formula>K33&gt;75</formula>
    </cfRule>
  </conditionalFormatting>
  <conditionalFormatting sqref="K32 I32 O32 S32 M32 Q32">
    <cfRule type="cellIs" dxfId="3179" priority="427" operator="between">
      <formula>55</formula>
      <formula>56.9</formula>
    </cfRule>
    <cfRule type="cellIs" dxfId="3178" priority="428" operator="between">
      <formula>63.1</formula>
      <formula>65</formula>
    </cfRule>
    <cfRule type="expression" dxfId="3177" priority="429">
      <formula>I32&lt;55</formula>
    </cfRule>
    <cfRule type="expression" dxfId="3176" priority="430">
      <formula>I32&gt;65</formula>
    </cfRule>
  </conditionalFormatting>
  <conditionalFormatting sqref="K26:K29 I26:I29 O26:O29 S26:S29 M26:M29 Q26:Q29">
    <cfRule type="cellIs" dxfId="3175" priority="423" operator="between">
      <formula>50</formula>
      <formula>56.99</formula>
    </cfRule>
    <cfRule type="cellIs" dxfId="3174" priority="424" operator="between">
      <formula>63.1</formula>
      <formula>70</formula>
    </cfRule>
    <cfRule type="expression" dxfId="3173" priority="425">
      <formula>I26&lt;50</formula>
    </cfRule>
    <cfRule type="expression" dxfId="3172" priority="426">
      <formula>I26&gt;70</formula>
    </cfRule>
  </conditionalFormatting>
  <conditionalFormatting sqref="K30 I30 O30 S30 M30 Q30">
    <cfRule type="cellIs" dxfId="3171" priority="419" operator="between">
      <formula>22</formula>
      <formula>22.99</formula>
    </cfRule>
    <cfRule type="cellIs" dxfId="3170" priority="420" operator="between">
      <formula>25.1</formula>
      <formula>30</formula>
    </cfRule>
    <cfRule type="expression" dxfId="3169" priority="421">
      <formula>I30&lt;22</formula>
    </cfRule>
    <cfRule type="expression" dxfId="3168" priority="422">
      <formula>I30&gt;30</formula>
    </cfRule>
  </conditionalFormatting>
  <conditionalFormatting sqref="K31 I31 O31 S31 M31 Q31">
    <cfRule type="cellIs" dxfId="3167" priority="415" operator="between">
      <formula>30</formula>
      <formula>31.99</formula>
    </cfRule>
    <cfRule type="cellIs" dxfId="3166" priority="416" operator="between">
      <formula>36.1</formula>
      <formula>38</formula>
    </cfRule>
    <cfRule type="expression" dxfId="3165" priority="417">
      <formula>I31&lt;30</formula>
    </cfRule>
    <cfRule type="expression" dxfId="3164" priority="418">
      <formula>I31&gt;38</formula>
    </cfRule>
  </conditionalFormatting>
  <conditionalFormatting sqref="I20">
    <cfRule type="expression" dxfId="3163" priority="7">
      <formula>I20&lt;5%</formula>
    </cfRule>
    <cfRule type="expression" dxfId="3162" priority="8">
      <formula>I20&gt;15%</formula>
    </cfRule>
  </conditionalFormatting>
  <conditionalFormatting sqref="I20">
    <cfRule type="cellIs" dxfId="3161" priority="5" operator="between">
      <formula>5%</formula>
      <formula>6.99%</formula>
    </cfRule>
    <cfRule type="cellIs" dxfId="3160" priority="6" operator="between">
      <formula>13.1%</formula>
      <formula>15%</formula>
    </cfRule>
  </conditionalFormatting>
  <conditionalFormatting sqref="Q20">
    <cfRule type="expression" dxfId="3159" priority="3">
      <formula>Q20&lt;5%</formula>
    </cfRule>
    <cfRule type="expression" dxfId="3158" priority="4">
      <formula>Q20&gt;15%</formula>
    </cfRule>
  </conditionalFormatting>
  <conditionalFormatting sqref="Q20">
    <cfRule type="cellIs" dxfId="3157" priority="1" operator="between">
      <formula>5%</formula>
      <formula>6.99%</formula>
    </cfRule>
    <cfRule type="cellIs" dxfId="3156" priority="2" operator="between">
      <formula>13.1%</formula>
      <formula>15%</formula>
    </cfRule>
  </conditionalFormatting>
  <pageMargins left="0.76"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codeName="Sheet10">
    <tabColor rgb="FFFF0000"/>
  </sheetPr>
  <dimension ref="A1:AH43"/>
  <sheetViews>
    <sheetView tabSelected="1" zoomScale="55" zoomScaleNormal="55" workbookViewId="0">
      <selection activeCell="B3" sqref="B3:L23"/>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5" style="8" customWidth="1"/>
    <col min="24" max="24" width="10.75" style="31" customWidth="1"/>
    <col min="25" max="25" width="8.125" style="31" customWidth="1"/>
    <col min="26" max="26" width="9.75" style="31" customWidth="1"/>
    <col min="27" max="27" width="3.25" style="31" customWidth="1"/>
    <col min="28" max="33" width="20.5" style="8" customWidth="1"/>
    <col min="34" max="16384" width="9" style="8"/>
  </cols>
  <sheetData>
    <row r="1" spans="1:33" ht="28.5" customHeight="1">
      <c r="A1" s="2231" t="s">
        <v>151</v>
      </c>
      <c r="B1" s="2231"/>
      <c r="C1" s="2231"/>
      <c r="D1" s="2231"/>
      <c r="E1" s="2231"/>
      <c r="F1" s="2231"/>
      <c r="G1" s="2231"/>
      <c r="H1" s="2231"/>
      <c r="I1" s="2231"/>
      <c r="J1" s="2231"/>
      <c r="K1" s="2231"/>
      <c r="L1" s="2231"/>
      <c r="M1" s="2231"/>
      <c r="N1" s="2231"/>
      <c r="O1" s="2231"/>
      <c r="P1" s="2231"/>
      <c r="Q1" s="2231"/>
      <c r="R1" s="2231"/>
      <c r="S1" s="1152"/>
      <c r="T1" s="1152"/>
      <c r="U1" s="1803" t="s">
        <v>1527</v>
      </c>
      <c r="W1" s="2231"/>
      <c r="X1" s="2231"/>
      <c r="Y1" s="2231"/>
      <c r="Z1" s="2231"/>
      <c r="AA1" s="2231"/>
      <c r="AG1" s="1804" t="s">
        <v>1528</v>
      </c>
    </row>
    <row r="2" spans="1:33" ht="48.75" customHeight="1">
      <c r="A2" s="2232" t="s">
        <v>152</v>
      </c>
      <c r="B2" s="2232"/>
      <c r="C2" s="2232"/>
      <c r="D2" s="2232"/>
      <c r="E2" s="2232"/>
      <c r="F2" s="2232"/>
      <c r="G2" s="2232"/>
      <c r="H2" s="2232"/>
      <c r="I2" s="2232"/>
      <c r="J2" s="2232"/>
      <c r="K2" s="2232"/>
      <c r="L2" s="2232"/>
      <c r="M2" s="2232"/>
      <c r="N2" s="2232"/>
      <c r="O2" s="2232"/>
      <c r="P2" s="2232"/>
      <c r="Q2" s="2232"/>
      <c r="R2" s="2267"/>
      <c r="S2" s="2268" t="s">
        <v>96</v>
      </c>
      <c r="T2" s="2130"/>
      <c r="U2" s="1787" t="s">
        <v>1522</v>
      </c>
      <c r="W2" s="2232"/>
      <c r="X2" s="2232"/>
      <c r="Y2" s="2232"/>
      <c r="Z2" s="2232"/>
      <c r="AA2" s="2232"/>
      <c r="AE2" s="1131"/>
      <c r="AF2" s="1131"/>
      <c r="AG2" s="1131"/>
    </row>
    <row r="3" spans="1:33" ht="28.5" customHeight="1">
      <c r="A3" s="9"/>
      <c r="B3" s="1701" t="s">
        <v>1579</v>
      </c>
      <c r="C3" s="1702"/>
      <c r="D3" s="1641"/>
      <c r="E3" s="1642"/>
      <c r="F3" s="1640" t="str">
        <f>'1. XL-1E kh'!$G$3</f>
        <v>2023/03/21</v>
      </c>
      <c r="G3" s="1638"/>
      <c r="H3" s="1639"/>
      <c r="J3" s="1644"/>
      <c r="K3" s="1644"/>
      <c r="L3" s="29"/>
      <c r="M3" s="29"/>
      <c r="N3" s="29"/>
      <c r="O3" s="29"/>
      <c r="P3" s="29"/>
      <c r="Q3" s="29"/>
      <c r="R3" s="29"/>
      <c r="S3" s="2269" t="str">
        <f>'1. XL-1E kh'!$AD$3</f>
        <v>Trang</v>
      </c>
      <c r="T3" s="2270"/>
      <c r="U3" s="1763"/>
      <c r="W3" s="9"/>
      <c r="X3" s="1701" t="s">
        <v>143</v>
      </c>
      <c r="Y3" s="1702"/>
      <c r="Z3" s="1641"/>
      <c r="AA3" s="1642"/>
      <c r="AB3" s="1640" t="str">
        <f>F3</f>
        <v>2023/03/21</v>
      </c>
      <c r="AC3" s="1806"/>
      <c r="AD3" s="26"/>
    </row>
    <row r="4" spans="1:33" s="71" customFormat="1" ht="34.5" customHeight="1">
      <c r="A4" s="2271" t="s">
        <v>7</v>
      </c>
      <c r="B4" s="2272" t="s">
        <v>79</v>
      </c>
      <c r="C4" s="2273"/>
      <c r="D4" s="2273"/>
      <c r="E4" s="2274"/>
      <c r="F4" s="2278" t="s">
        <v>136</v>
      </c>
      <c r="G4" s="2125" t="s">
        <v>1424</v>
      </c>
      <c r="H4" s="2173" t="s">
        <v>1412</v>
      </c>
      <c r="I4" s="2128">
        <v>0.26041666666666669</v>
      </c>
      <c r="J4" s="2129"/>
      <c r="K4" s="2129"/>
      <c r="L4" s="2130"/>
      <c r="M4" s="2128">
        <v>0.42708333333333331</v>
      </c>
      <c r="N4" s="2129"/>
      <c r="O4" s="2129"/>
      <c r="P4" s="2130"/>
      <c r="Q4" s="2128">
        <v>0.59375</v>
      </c>
      <c r="R4" s="2129"/>
      <c r="S4" s="2129"/>
      <c r="T4" s="2130"/>
      <c r="U4" s="2208" t="s">
        <v>41</v>
      </c>
      <c r="W4" s="2271" t="s">
        <v>7</v>
      </c>
      <c r="X4" s="2272" t="s">
        <v>79</v>
      </c>
      <c r="Y4" s="2273"/>
      <c r="Z4" s="2273"/>
      <c r="AA4" s="2274"/>
      <c r="AB4" s="2128">
        <v>0.26041666666666669</v>
      </c>
      <c r="AC4" s="2332"/>
      <c r="AD4" s="2128">
        <v>0.42708333333333331</v>
      </c>
      <c r="AE4" s="2332"/>
      <c r="AF4" s="2128">
        <v>0.59375</v>
      </c>
      <c r="AG4" s="2332"/>
    </row>
    <row r="5" spans="1:33" s="71" customFormat="1" ht="34.5" customHeight="1">
      <c r="A5" s="2271"/>
      <c r="B5" s="2275"/>
      <c r="C5" s="2276"/>
      <c r="D5" s="2276"/>
      <c r="E5" s="2277"/>
      <c r="F5" s="2279"/>
      <c r="G5" s="2126"/>
      <c r="H5" s="2174"/>
      <c r="I5" s="60" t="s">
        <v>145</v>
      </c>
      <c r="J5" s="2134" t="s">
        <v>1</v>
      </c>
      <c r="K5" s="2135"/>
      <c r="L5" s="2136"/>
      <c r="M5" s="60" t="s">
        <v>145</v>
      </c>
      <c r="N5" s="2134" t="s">
        <v>1</v>
      </c>
      <c r="O5" s="2135"/>
      <c r="P5" s="2136"/>
      <c r="Q5" s="60" t="s">
        <v>145</v>
      </c>
      <c r="R5" s="2134" t="s">
        <v>1</v>
      </c>
      <c r="S5" s="2135"/>
      <c r="T5" s="2136"/>
      <c r="U5" s="2209"/>
      <c r="W5" s="2271"/>
      <c r="X5" s="2275"/>
      <c r="Y5" s="2276"/>
      <c r="Z5" s="2276"/>
      <c r="AA5" s="2277"/>
      <c r="AB5" s="1881" t="s">
        <v>1537</v>
      </c>
      <c r="AC5" s="1873" t="s">
        <v>1538</v>
      </c>
      <c r="AD5" s="1881" t="s">
        <v>1537</v>
      </c>
      <c r="AE5" s="1873" t="s">
        <v>1538</v>
      </c>
      <c r="AF5" s="1881" t="s">
        <v>1537</v>
      </c>
      <c r="AG5" s="1873" t="s">
        <v>1538</v>
      </c>
    </row>
    <row r="6" spans="1:33" ht="36.75" customHeight="1">
      <c r="A6" s="2280">
        <v>1</v>
      </c>
      <c r="B6" s="2282" t="s">
        <v>154</v>
      </c>
      <c r="C6" s="2283"/>
      <c r="D6" s="2286" t="s">
        <v>258</v>
      </c>
      <c r="E6" s="2287"/>
      <c r="F6" s="1165" t="s">
        <v>4</v>
      </c>
      <c r="G6" s="1000" t="str">
        <f>'XM.GUI MAIL'!$E$68</f>
        <v>40~60</v>
      </c>
      <c r="H6" s="1000" t="str">
        <f>'XM.GUI MAIL'!$F$68</f>
        <v>(50±5)</v>
      </c>
      <c r="I6" s="1657">
        <f>'XM.GUI MAIL'!I68</f>
        <v>87.290499999999994</v>
      </c>
      <c r="J6" s="62" t="s">
        <v>8</v>
      </c>
      <c r="K6" s="63">
        <f>'XM.GUI MAIL'!L68</f>
        <v>0</v>
      </c>
      <c r="L6" s="64" t="s">
        <v>9</v>
      </c>
      <c r="M6" s="1657">
        <f>'XM.GUI MAIL'!O68</f>
        <v>0</v>
      </c>
      <c r="N6" s="62" t="s">
        <v>8</v>
      </c>
      <c r="O6" s="63">
        <f>'XM.GUI MAIL'!R68</f>
        <v>0</v>
      </c>
      <c r="P6" s="64" t="s">
        <v>9</v>
      </c>
      <c r="Q6" s="1657">
        <f>'XM.GUI MAIL'!U68</f>
        <v>0</v>
      </c>
      <c r="R6" s="72" t="s">
        <v>8</v>
      </c>
      <c r="S6" s="73">
        <f>'XM.GUI MAIL'!X68</f>
        <v>0</v>
      </c>
      <c r="T6" s="30" t="s">
        <v>9</v>
      </c>
      <c r="U6" s="1151" t="s">
        <v>42</v>
      </c>
      <c r="W6" s="2280">
        <v>1</v>
      </c>
      <c r="X6" s="2282" t="s">
        <v>154</v>
      </c>
      <c r="Y6" s="2283"/>
      <c r="Z6" s="2286" t="s">
        <v>258</v>
      </c>
      <c r="AA6" s="2287"/>
      <c r="AB6" s="1872"/>
      <c r="AC6" s="1873"/>
      <c r="AD6" s="1872"/>
      <c r="AE6" s="1873"/>
      <c r="AF6" s="1872"/>
      <c r="AG6" s="1873"/>
    </row>
    <row r="7" spans="1:33" ht="36.75" customHeight="1">
      <c r="A7" s="2281"/>
      <c r="B7" s="2284"/>
      <c r="C7" s="2285"/>
      <c r="D7" s="2286" t="s">
        <v>259</v>
      </c>
      <c r="E7" s="2287"/>
      <c r="F7" s="1132"/>
      <c r="G7" s="1000" t="s">
        <v>1370</v>
      </c>
      <c r="H7" s="1000"/>
      <c r="I7" s="60"/>
      <c r="J7" s="62"/>
      <c r="K7" s="65">
        <f>K6/25*8.5</f>
        <v>0</v>
      </c>
      <c r="L7" s="64" t="s">
        <v>10</v>
      </c>
      <c r="M7" s="60"/>
      <c r="N7" s="62"/>
      <c r="O7" s="65">
        <f>O6/25*8.5</f>
        <v>0</v>
      </c>
      <c r="P7" s="64" t="s">
        <v>10</v>
      </c>
      <c r="Q7" s="60"/>
      <c r="R7" s="62"/>
      <c r="S7" s="65">
        <f>S6/25*8.5</f>
        <v>0</v>
      </c>
      <c r="T7" s="64" t="s">
        <v>10</v>
      </c>
      <c r="U7" s="1151"/>
      <c r="W7" s="2281"/>
      <c r="X7" s="2284"/>
      <c r="Y7" s="2285"/>
      <c r="Z7" s="2286" t="s">
        <v>259</v>
      </c>
      <c r="AA7" s="2287"/>
      <c r="AB7" s="1872"/>
      <c r="AC7" s="1873"/>
      <c r="AD7" s="1872"/>
      <c r="AE7" s="1873"/>
      <c r="AF7" s="1872"/>
      <c r="AG7" s="1873"/>
    </row>
    <row r="8" spans="1:33" ht="36.75" hidden="1" customHeight="1">
      <c r="A8" s="2280">
        <v>2</v>
      </c>
      <c r="B8" s="2282" t="s">
        <v>155</v>
      </c>
      <c r="C8" s="2283"/>
      <c r="D8" s="2286" t="s">
        <v>258</v>
      </c>
      <c r="E8" s="2287"/>
      <c r="F8" s="1165" t="s">
        <v>4</v>
      </c>
      <c r="G8" s="1000" t="str">
        <f>'XM.GUI MAIL'!$E$69</f>
        <v>40~60</v>
      </c>
      <c r="H8" s="1000" t="str">
        <f>'XM.GUI MAIL'!$F$69</f>
        <v>(50±5)</v>
      </c>
      <c r="I8" s="1657">
        <f>'XM.GUI MAIL'!I69</f>
        <v>0</v>
      </c>
      <c r="J8" s="62" t="s">
        <v>8</v>
      </c>
      <c r="K8" s="63">
        <f>'XM.GUI MAIL'!L69</f>
        <v>0</v>
      </c>
      <c r="L8" s="64" t="s">
        <v>9</v>
      </c>
      <c r="M8" s="1657">
        <f>'XM.GUI MAIL'!O69</f>
        <v>0</v>
      </c>
      <c r="N8" s="62" t="s">
        <v>8</v>
      </c>
      <c r="O8" s="63">
        <f>'XM.GUI MAIL'!R69</f>
        <v>0</v>
      </c>
      <c r="P8" s="64" t="s">
        <v>9</v>
      </c>
      <c r="Q8" s="1657">
        <f>'XM.GUI MAIL'!U69</f>
        <v>0</v>
      </c>
      <c r="R8" s="72" t="s">
        <v>8</v>
      </c>
      <c r="S8" s="73">
        <f>'XM.GUI MAIL'!X69</f>
        <v>0</v>
      </c>
      <c r="T8" s="30" t="s">
        <v>9</v>
      </c>
      <c r="U8" s="1151" t="s">
        <v>42</v>
      </c>
      <c r="W8" s="2280">
        <v>2</v>
      </c>
      <c r="X8" s="2282" t="s">
        <v>155</v>
      </c>
      <c r="Y8" s="2283"/>
      <c r="Z8" s="2286" t="s">
        <v>258</v>
      </c>
      <c r="AA8" s="2287"/>
      <c r="AB8" s="1872"/>
      <c r="AC8" s="1873"/>
      <c r="AD8" s="1872"/>
      <c r="AE8" s="1873"/>
      <c r="AF8" s="1872"/>
      <c r="AG8" s="1873"/>
    </row>
    <row r="9" spans="1:33" ht="36.75" hidden="1" customHeight="1">
      <c r="A9" s="2281"/>
      <c r="B9" s="2284"/>
      <c r="C9" s="2285"/>
      <c r="D9" s="2286" t="s">
        <v>259</v>
      </c>
      <c r="E9" s="2287"/>
      <c r="F9" s="1132"/>
      <c r="G9" s="1000" t="s">
        <v>1370</v>
      </c>
      <c r="H9" s="1000"/>
      <c r="I9" s="60"/>
      <c r="J9" s="62"/>
      <c r="K9" s="65">
        <f>K8/25*8.5</f>
        <v>0</v>
      </c>
      <c r="L9" s="64" t="s">
        <v>10</v>
      </c>
      <c r="M9" s="60"/>
      <c r="N9" s="62"/>
      <c r="O9" s="65">
        <f>O8/25*8.5</f>
        <v>0</v>
      </c>
      <c r="P9" s="64" t="s">
        <v>10</v>
      </c>
      <c r="Q9" s="60"/>
      <c r="R9" s="62"/>
      <c r="S9" s="65">
        <f>S8/25*8.5</f>
        <v>0</v>
      </c>
      <c r="T9" s="64" t="s">
        <v>10</v>
      </c>
      <c r="U9" s="1151"/>
      <c r="W9" s="2281"/>
      <c r="X9" s="2284"/>
      <c r="Y9" s="2285"/>
      <c r="Z9" s="2286" t="s">
        <v>259</v>
      </c>
      <c r="AA9" s="2287"/>
      <c r="AB9" s="1872"/>
      <c r="AC9" s="1873"/>
      <c r="AD9" s="1872"/>
      <c r="AE9" s="1873"/>
      <c r="AF9" s="1872"/>
      <c r="AG9" s="1873"/>
    </row>
    <row r="10" spans="1:33" ht="36.75" customHeight="1">
      <c r="A10" s="2280">
        <v>3</v>
      </c>
      <c r="B10" s="2289" t="s">
        <v>156</v>
      </c>
      <c r="C10" s="2290"/>
      <c r="D10" s="2291" t="s">
        <v>260</v>
      </c>
      <c r="E10" s="2292" t="s">
        <v>260</v>
      </c>
      <c r="F10" s="1165" t="s">
        <v>4</v>
      </c>
      <c r="G10" s="1000" t="str">
        <f>'XM.GUI MAIL'!$E$70</f>
        <v>50~70</v>
      </c>
      <c r="H10" s="1000" t="str">
        <f>'XM.GUI MAIL'!$F$70</f>
        <v>(60±5)</v>
      </c>
      <c r="I10" s="1657">
        <f>'XM.GUI MAIL'!I70</f>
        <v>57.75</v>
      </c>
      <c r="J10" s="62" t="s">
        <v>8</v>
      </c>
      <c r="K10" s="63">
        <f>'XM.GUI MAIL'!L70</f>
        <v>18.45</v>
      </c>
      <c r="L10" s="64" t="s">
        <v>9</v>
      </c>
      <c r="M10" s="1657">
        <f>'XM.GUI MAIL'!O70</f>
        <v>0</v>
      </c>
      <c r="N10" s="62" t="s">
        <v>8</v>
      </c>
      <c r="O10" s="63">
        <f>'XM.GUI MAIL'!R70</f>
        <v>0</v>
      </c>
      <c r="P10" s="64" t="s">
        <v>9</v>
      </c>
      <c r="Q10" s="1657">
        <f>'XM.GUI MAIL'!U70</f>
        <v>0</v>
      </c>
      <c r="R10" s="62" t="s">
        <v>8</v>
      </c>
      <c r="S10" s="63">
        <f>'XM.GUI MAIL'!X70</f>
        <v>0</v>
      </c>
      <c r="T10" s="64" t="s">
        <v>9</v>
      </c>
      <c r="U10" s="1151" t="s">
        <v>42</v>
      </c>
      <c r="W10" s="2280">
        <v>3</v>
      </c>
      <c r="X10" s="2289" t="s">
        <v>156</v>
      </c>
      <c r="Y10" s="2290"/>
      <c r="Z10" s="2291" t="s">
        <v>260</v>
      </c>
      <c r="AA10" s="2292" t="s">
        <v>260</v>
      </c>
      <c r="AB10" s="1872"/>
      <c r="AC10" s="1873"/>
      <c r="AD10" s="1872"/>
      <c r="AE10" s="1873"/>
      <c r="AF10" s="1872"/>
      <c r="AG10" s="1873"/>
    </row>
    <row r="11" spans="1:33" ht="36.75" customHeight="1">
      <c r="A11" s="2288"/>
      <c r="B11" s="2290"/>
      <c r="C11" s="2290"/>
      <c r="D11" s="2291" t="s">
        <v>261</v>
      </c>
      <c r="E11" s="2292" t="s">
        <v>261</v>
      </c>
      <c r="F11" s="1132"/>
      <c r="G11" s="1000" t="s">
        <v>1371</v>
      </c>
      <c r="H11" s="1000"/>
      <c r="I11" s="60"/>
      <c r="J11" s="62"/>
      <c r="K11" s="65">
        <f>K10/25*8</f>
        <v>5.9039999999999999</v>
      </c>
      <c r="L11" s="64" t="s">
        <v>10</v>
      </c>
      <c r="M11" s="60"/>
      <c r="N11" s="62"/>
      <c r="O11" s="65">
        <f>O10/25*8</f>
        <v>0</v>
      </c>
      <c r="P11" s="64" t="s">
        <v>10</v>
      </c>
      <c r="Q11" s="60"/>
      <c r="R11" s="62"/>
      <c r="S11" s="65">
        <f>S10/25*8</f>
        <v>0</v>
      </c>
      <c r="T11" s="64" t="s">
        <v>10</v>
      </c>
      <c r="U11" s="1151"/>
      <c r="W11" s="2288"/>
      <c r="X11" s="2290"/>
      <c r="Y11" s="2290"/>
      <c r="Z11" s="2291" t="s">
        <v>261</v>
      </c>
      <c r="AA11" s="2292" t="s">
        <v>261</v>
      </c>
      <c r="AB11" s="1872"/>
      <c r="AC11" s="1873"/>
      <c r="AD11" s="1872"/>
      <c r="AE11" s="1873"/>
      <c r="AF11" s="1872"/>
      <c r="AG11" s="1873"/>
    </row>
    <row r="12" spans="1:33" ht="36.75" hidden="1" customHeight="1">
      <c r="A12" s="2280">
        <v>4</v>
      </c>
      <c r="B12" s="2289" t="s">
        <v>157</v>
      </c>
      <c r="C12" s="2290"/>
      <c r="D12" s="2291" t="s">
        <v>260</v>
      </c>
      <c r="E12" s="2292" t="s">
        <v>260</v>
      </c>
      <c r="F12" s="1165" t="s">
        <v>4</v>
      </c>
      <c r="G12" s="1000" t="str">
        <f>'XM.GUI MAIL'!$E$71</f>
        <v>50~70</v>
      </c>
      <c r="H12" s="1000" t="str">
        <f>'XM.GUI MAIL'!$F$71</f>
        <v>(60±5)</v>
      </c>
      <c r="I12" s="1657">
        <f>'XM.GUI MAIL'!I71</f>
        <v>0</v>
      </c>
      <c r="J12" s="62" t="s">
        <v>8</v>
      </c>
      <c r="K12" s="63">
        <f>'XM.GUI MAIL'!L71</f>
        <v>0</v>
      </c>
      <c r="L12" s="64" t="s">
        <v>9</v>
      </c>
      <c r="M12" s="1657">
        <f>'XM.GUI MAIL'!O71</f>
        <v>0</v>
      </c>
      <c r="N12" s="62" t="s">
        <v>8</v>
      </c>
      <c r="O12" s="63">
        <f>'XM.GUI MAIL'!R71</f>
        <v>0</v>
      </c>
      <c r="P12" s="64" t="s">
        <v>9</v>
      </c>
      <c r="Q12" s="1657">
        <f>'XM.GUI MAIL'!U71</f>
        <v>0</v>
      </c>
      <c r="R12" s="62" t="s">
        <v>8</v>
      </c>
      <c r="S12" s="63">
        <f>'XM.GUI MAIL'!X71</f>
        <v>0</v>
      </c>
      <c r="T12" s="64" t="s">
        <v>9</v>
      </c>
      <c r="U12" s="1151" t="s">
        <v>42</v>
      </c>
      <c r="W12" s="2280">
        <v>4</v>
      </c>
      <c r="X12" s="2289" t="s">
        <v>157</v>
      </c>
      <c r="Y12" s="2290"/>
      <c r="Z12" s="2291" t="s">
        <v>260</v>
      </c>
      <c r="AA12" s="2292" t="s">
        <v>260</v>
      </c>
      <c r="AB12" s="1872"/>
      <c r="AC12" s="1873"/>
      <c r="AD12" s="1872"/>
      <c r="AE12" s="1873"/>
      <c r="AF12" s="1872"/>
      <c r="AG12" s="1873"/>
    </row>
    <row r="13" spans="1:33" ht="36.75" hidden="1" customHeight="1">
      <c r="A13" s="2288"/>
      <c r="B13" s="2290"/>
      <c r="C13" s="2290"/>
      <c r="D13" s="2291" t="s">
        <v>261</v>
      </c>
      <c r="E13" s="2292" t="s">
        <v>261</v>
      </c>
      <c r="F13" s="1132"/>
      <c r="G13" s="1000" t="s">
        <v>1371</v>
      </c>
      <c r="H13" s="1000"/>
      <c r="I13" s="60"/>
      <c r="J13" s="62"/>
      <c r="K13" s="65">
        <f>K12/25*8</f>
        <v>0</v>
      </c>
      <c r="L13" s="64" t="s">
        <v>10</v>
      </c>
      <c r="M13" s="60"/>
      <c r="N13" s="62"/>
      <c r="O13" s="65">
        <f>O12/25*8</f>
        <v>0</v>
      </c>
      <c r="P13" s="64" t="s">
        <v>10</v>
      </c>
      <c r="Q13" s="60"/>
      <c r="R13" s="62"/>
      <c r="S13" s="65">
        <f>S12/25*8</f>
        <v>0</v>
      </c>
      <c r="T13" s="64" t="s">
        <v>10</v>
      </c>
      <c r="U13" s="1151"/>
      <c r="W13" s="2288"/>
      <c r="X13" s="2290"/>
      <c r="Y13" s="2290"/>
      <c r="Z13" s="2291" t="s">
        <v>261</v>
      </c>
      <c r="AA13" s="2292" t="s">
        <v>261</v>
      </c>
      <c r="AB13" s="1872"/>
      <c r="AC13" s="1873"/>
      <c r="AD13" s="1872"/>
      <c r="AE13" s="1873"/>
      <c r="AF13" s="1872"/>
      <c r="AG13" s="1873"/>
    </row>
    <row r="14" spans="1:33" ht="36.75" customHeight="1">
      <c r="A14" s="2280">
        <v>5</v>
      </c>
      <c r="B14" s="2358" t="s">
        <v>121</v>
      </c>
      <c r="C14" s="2360" t="s">
        <v>21</v>
      </c>
      <c r="D14" s="2361"/>
      <c r="E14" s="2362"/>
      <c r="F14" s="1165" t="s">
        <v>4</v>
      </c>
      <c r="G14" s="1578" t="str">
        <f>'XM.GUI MAIL'!$E$72</f>
        <v>135~ 145</v>
      </c>
      <c r="H14" s="1619" t="str">
        <f>'XM.GUI MAIL'!$F$72</f>
        <v>(140±5)</v>
      </c>
      <c r="I14" s="88">
        <f>'XM.GUI MAIL'!I72</f>
        <v>138.4</v>
      </c>
      <c r="J14" s="62" t="s">
        <v>8</v>
      </c>
      <c r="K14" s="63">
        <f>'XM.GUI MAIL'!L72</f>
        <v>84.905599999999694</v>
      </c>
      <c r="L14" s="64" t="s">
        <v>9</v>
      </c>
      <c r="M14" s="88">
        <f>'XM.GUI MAIL'!O72</f>
        <v>0</v>
      </c>
      <c r="N14" s="1199" t="s">
        <v>8</v>
      </c>
      <c r="O14" s="63">
        <f>'XM.GUI MAIL'!R72</f>
        <v>0</v>
      </c>
      <c r="P14" s="64" t="s">
        <v>9</v>
      </c>
      <c r="Q14" s="88">
        <f>'XM.GUI MAIL'!U72</f>
        <v>0</v>
      </c>
      <c r="R14" s="1199" t="s">
        <v>8</v>
      </c>
      <c r="S14" s="63">
        <f>'XM.GUI MAIL'!X72</f>
        <v>0</v>
      </c>
      <c r="T14" s="64" t="s">
        <v>9</v>
      </c>
      <c r="U14" s="1200" t="s">
        <v>43</v>
      </c>
      <c r="W14" s="2280">
        <v>5</v>
      </c>
      <c r="X14" s="2358" t="s">
        <v>121</v>
      </c>
      <c r="Y14" s="2360" t="s">
        <v>21</v>
      </c>
      <c r="Z14" s="2361"/>
      <c r="AA14" s="2362"/>
      <c r="AB14" s="1872"/>
      <c r="AC14" s="1873"/>
      <c r="AD14" s="1872"/>
      <c r="AE14" s="1873"/>
      <c r="AF14" s="1872"/>
      <c r="AG14" s="1873"/>
    </row>
    <row r="15" spans="1:33" ht="36.75" customHeight="1">
      <c r="A15" s="2288"/>
      <c r="B15" s="2359"/>
      <c r="C15" s="2360" t="s">
        <v>22</v>
      </c>
      <c r="D15" s="2361"/>
      <c r="E15" s="2362"/>
      <c r="F15" s="1132"/>
      <c r="G15" s="1578" t="str">
        <f>'XM.GUI MAIL'!$E$73</f>
        <v>6~8</v>
      </c>
      <c r="H15" s="1619" t="str">
        <f>'XM.GUI MAIL'!$F$73</f>
        <v>(7±0.5)</v>
      </c>
      <c r="I15" s="664">
        <f>'XM.GUI MAIL'!I73</f>
        <v>5.8500000000000005</v>
      </c>
      <c r="J15" s="72" t="s">
        <v>8</v>
      </c>
      <c r="K15" s="905">
        <f>'XM.GUI MAIL'!L73</f>
        <v>61.025899999999972</v>
      </c>
      <c r="L15" s="1201" t="s">
        <v>9</v>
      </c>
      <c r="M15" s="664">
        <f>'XM.GUI MAIL'!O73</f>
        <v>0</v>
      </c>
      <c r="N15" s="904" t="s">
        <v>8</v>
      </c>
      <c r="O15" s="905">
        <f>'XM.GUI MAIL'!R73</f>
        <v>0</v>
      </c>
      <c r="P15" s="1201" t="s">
        <v>9</v>
      </c>
      <c r="Q15" s="664">
        <f>'XM.GUI MAIL'!U73</f>
        <v>0</v>
      </c>
      <c r="R15" s="904" t="s">
        <v>8</v>
      </c>
      <c r="S15" s="905">
        <f>'XM.GUI MAIL'!X73</f>
        <v>0</v>
      </c>
      <c r="T15" s="1201" t="s">
        <v>9</v>
      </c>
      <c r="U15" s="1200" t="s">
        <v>44</v>
      </c>
      <c r="W15" s="2288"/>
      <c r="X15" s="2359"/>
      <c r="Y15" s="2360" t="s">
        <v>22</v>
      </c>
      <c r="Z15" s="2361"/>
      <c r="AA15" s="2362"/>
      <c r="AB15" s="1872"/>
      <c r="AC15" s="1873"/>
      <c r="AD15" s="1872"/>
      <c r="AE15" s="1873"/>
      <c r="AF15" s="1872"/>
      <c r="AG15" s="1873"/>
    </row>
    <row r="16" spans="1:33" s="7" customFormat="1" ht="36.75" hidden="1" customHeight="1">
      <c r="A16" s="2280">
        <v>6</v>
      </c>
      <c r="B16" s="2352" t="s">
        <v>1237</v>
      </c>
      <c r="C16" s="2353"/>
      <c r="D16" s="2353"/>
      <c r="E16" s="2356"/>
      <c r="F16" s="87" t="s">
        <v>3</v>
      </c>
      <c r="G16" s="1578" t="str">
        <f>'XM.GUI MAIL'!$E$74</f>
        <v>5~8</v>
      </c>
      <c r="H16" s="1619" t="str">
        <f>'XM.GUI MAIL'!$F$74</f>
        <v>(6±0.5)</v>
      </c>
      <c r="I16" s="664">
        <f>'XM.GUI MAIL'!I74</f>
        <v>-1.0461</v>
      </c>
      <c r="J16" s="62" t="s">
        <v>8</v>
      </c>
      <c r="K16" s="63">
        <f>'XM.GUI MAIL'!L74</f>
        <v>0</v>
      </c>
      <c r="L16" s="64" t="s">
        <v>10</v>
      </c>
      <c r="M16" s="664">
        <f>'XM.GUI MAIL'!O74</f>
        <v>-1.0461</v>
      </c>
      <c r="N16" s="1199" t="s">
        <v>8</v>
      </c>
      <c r="O16" s="63">
        <f>'XM.GUI MAIL'!R74</f>
        <v>0</v>
      </c>
      <c r="P16" s="64" t="s">
        <v>10</v>
      </c>
      <c r="Q16" s="664">
        <f>'XM.GUI MAIL'!U74</f>
        <v>-1.0461</v>
      </c>
      <c r="R16" s="904" t="s">
        <v>8</v>
      </c>
      <c r="S16" s="905">
        <f>'XM.GUI MAIL'!X74</f>
        <v>0</v>
      </c>
      <c r="T16" s="1202" t="s">
        <v>10</v>
      </c>
      <c r="U16" s="1200" t="s">
        <v>45</v>
      </c>
      <c r="V16" s="8"/>
      <c r="W16" s="2280">
        <v>6</v>
      </c>
      <c r="X16" s="2352" t="s">
        <v>1237</v>
      </c>
      <c r="Y16" s="2353"/>
      <c r="Z16" s="2353"/>
      <c r="AA16" s="2356"/>
      <c r="AB16" s="1872"/>
      <c r="AC16" s="1873"/>
      <c r="AD16" s="1872"/>
      <c r="AE16" s="1873"/>
      <c r="AF16" s="1872"/>
      <c r="AG16" s="1873"/>
    </row>
    <row r="17" spans="1:33" ht="36.75" hidden="1" customHeight="1">
      <c r="A17" s="2288"/>
      <c r="B17" s="2354"/>
      <c r="C17" s="2355"/>
      <c r="D17" s="2355"/>
      <c r="E17" s="2357"/>
      <c r="F17" s="87" t="s">
        <v>5</v>
      </c>
      <c r="G17" s="1578" t="str">
        <f>'XM.GUI MAIL'!$E$75</f>
        <v>2.0~2.4</v>
      </c>
      <c r="H17" s="1619" t="str">
        <f>'XM.GUI MAIL'!$F$75</f>
        <v>(2.2±0.2 )</v>
      </c>
      <c r="I17" s="664">
        <f>'XM.GUI MAIL'!I75</f>
        <v>0</v>
      </c>
      <c r="J17" s="904"/>
      <c r="K17" s="905"/>
      <c r="L17" s="1202"/>
      <c r="M17" s="664">
        <f>'XM.GUI MAIL'!O75</f>
        <v>0</v>
      </c>
      <c r="N17" s="904"/>
      <c r="O17" s="905"/>
      <c r="P17" s="1202"/>
      <c r="Q17" s="664">
        <f>'XM.GUI MAIL'!U75</f>
        <v>0</v>
      </c>
      <c r="R17" s="904"/>
      <c r="S17" s="905"/>
      <c r="T17" s="1202"/>
      <c r="U17" s="109"/>
      <c r="W17" s="2288"/>
      <c r="X17" s="2354"/>
      <c r="Y17" s="2355"/>
      <c r="Z17" s="2355"/>
      <c r="AA17" s="2357"/>
      <c r="AB17" s="1872"/>
      <c r="AC17" s="1873"/>
      <c r="AD17" s="1872"/>
      <c r="AE17" s="1873"/>
      <c r="AF17" s="1872"/>
      <c r="AG17" s="1873"/>
    </row>
    <row r="18" spans="1:33" ht="36.75" customHeight="1">
      <c r="A18" s="1153">
        <v>7</v>
      </c>
      <c r="B18" s="2300" t="s">
        <v>1036</v>
      </c>
      <c r="C18" s="2301"/>
      <c r="D18" s="2301"/>
      <c r="E18" s="2302"/>
      <c r="F18" s="87" t="s">
        <v>6</v>
      </c>
      <c r="G18" s="1134" t="str">
        <f>'XM.GUI MAIL'!$E$76</f>
        <v>40~50</v>
      </c>
      <c r="H18" s="1134" t="str">
        <f>'XM.GUI MAIL'!$F$76</f>
        <v>(45±5)</v>
      </c>
      <c r="I18" s="68">
        <f>'XM.GUI MAIL'!I76</f>
        <v>0.3969375</v>
      </c>
      <c r="J18" s="72"/>
      <c r="K18" s="73">
        <f>'XM.GUI MAIL'!L76</f>
        <v>356.73918750000007</v>
      </c>
      <c r="L18" s="30"/>
      <c r="M18" s="68">
        <f>'XM.GUI MAIL'!O76</f>
        <v>0</v>
      </c>
      <c r="N18" s="72"/>
      <c r="O18" s="73">
        <f>'XM.GUI MAIL'!R76</f>
        <v>0</v>
      </c>
      <c r="P18" s="30"/>
      <c r="Q18" s="68">
        <f>'XM.GUI MAIL'!U76</f>
        <v>0</v>
      </c>
      <c r="R18" s="72"/>
      <c r="S18" s="73">
        <f>'XM.GUI MAIL'!X76</f>
        <v>0</v>
      </c>
      <c r="T18" s="30"/>
      <c r="U18" s="1151"/>
      <c r="W18" s="1780">
        <v>7</v>
      </c>
      <c r="X18" s="2300" t="s">
        <v>1036</v>
      </c>
      <c r="Y18" s="2301"/>
      <c r="Z18" s="2301"/>
      <c r="AA18" s="2302"/>
      <c r="AB18" s="1872"/>
      <c r="AC18" s="1873"/>
      <c r="AD18" s="1872"/>
      <c r="AE18" s="1873"/>
      <c r="AF18" s="1872"/>
      <c r="AG18" s="1873"/>
    </row>
    <row r="19" spans="1:33" ht="36.75" hidden="1" customHeight="1">
      <c r="A19" s="1153">
        <v>8</v>
      </c>
      <c r="B19" s="2300" t="s">
        <v>1037</v>
      </c>
      <c r="C19" s="2301"/>
      <c r="D19" s="2301"/>
      <c r="E19" s="2302"/>
      <c r="F19" s="87" t="s">
        <v>6</v>
      </c>
      <c r="G19" s="1134" t="str">
        <f>'XM.GUI MAIL'!$E$77</f>
        <v>40~50</v>
      </c>
      <c r="H19" s="1134" t="str">
        <f>'XM.GUI MAIL'!$F$77</f>
        <v>(45±5)</v>
      </c>
      <c r="I19" s="68">
        <f>'XM.GUI MAIL'!I77</f>
        <v>0</v>
      </c>
      <c r="J19" s="72" t="s">
        <v>8</v>
      </c>
      <c r="K19" s="73">
        <f>'XM.GUI MAIL'!L77</f>
        <v>0</v>
      </c>
      <c r="L19" s="30" t="s">
        <v>10</v>
      </c>
      <c r="M19" s="68">
        <f>'XM.GUI MAIL'!O77</f>
        <v>0</v>
      </c>
      <c r="N19" s="72" t="s">
        <v>8</v>
      </c>
      <c r="O19" s="73">
        <f>'XM.GUI MAIL'!R77</f>
        <v>0</v>
      </c>
      <c r="P19" s="30" t="s">
        <v>10</v>
      </c>
      <c r="Q19" s="68">
        <f>'XM.GUI MAIL'!U77</f>
        <v>0</v>
      </c>
      <c r="R19" s="72" t="s">
        <v>8</v>
      </c>
      <c r="S19" s="73">
        <f>'XM.GUI MAIL'!X77</f>
        <v>0</v>
      </c>
      <c r="T19" s="30" t="s">
        <v>10</v>
      </c>
      <c r="U19" s="1135" t="s">
        <v>46</v>
      </c>
      <c r="W19" s="1780">
        <v>8</v>
      </c>
      <c r="X19" s="2300" t="s">
        <v>1037</v>
      </c>
      <c r="Y19" s="2301"/>
      <c r="Z19" s="2301"/>
      <c r="AA19" s="2302"/>
      <c r="AB19" s="1872"/>
      <c r="AC19" s="1873"/>
      <c r="AD19" s="1872"/>
      <c r="AE19" s="1873"/>
      <c r="AF19" s="1872"/>
      <c r="AG19" s="1873"/>
    </row>
    <row r="20" spans="1:33" ht="36.75" customHeight="1">
      <c r="A20" s="1153">
        <v>9</v>
      </c>
      <c r="B20" s="2293" t="s">
        <v>86</v>
      </c>
      <c r="C20" s="2294"/>
      <c r="D20" s="2294"/>
      <c r="E20" s="2295"/>
      <c r="F20" s="87" t="s">
        <v>6</v>
      </c>
      <c r="G20" s="1134" t="str">
        <f>'XM.GUI MAIL'!$E$78</f>
        <v>20~40</v>
      </c>
      <c r="H20" s="1134" t="str">
        <f>'XM.GUI MAIL'!$F$78</f>
        <v>(30±5)</v>
      </c>
      <c r="I20" s="337">
        <f>'XM.GUI MAIL'!I78</f>
        <v>8.212499999999999E-2</v>
      </c>
      <c r="J20" s="72" t="s">
        <v>8</v>
      </c>
      <c r="K20" s="73">
        <f>'XM.GUI MAIL'!L78</f>
        <v>704.6077499999999</v>
      </c>
      <c r="L20" s="30" t="s">
        <v>10</v>
      </c>
      <c r="M20" s="337">
        <f>'XM.GUI MAIL'!O78</f>
        <v>0</v>
      </c>
      <c r="N20" s="72" t="s">
        <v>8</v>
      </c>
      <c r="O20" s="73">
        <f>'XM.GUI MAIL'!R78</f>
        <v>0</v>
      </c>
      <c r="P20" s="30" t="s">
        <v>10</v>
      </c>
      <c r="Q20" s="337">
        <f>'XM.GUI MAIL'!U78</f>
        <v>0</v>
      </c>
      <c r="R20" s="72" t="s">
        <v>8</v>
      </c>
      <c r="S20" s="73">
        <f>'XM.GUI MAIL'!X78</f>
        <v>0</v>
      </c>
      <c r="T20" s="30" t="s">
        <v>10</v>
      </c>
      <c r="U20" s="1151" t="s">
        <v>47</v>
      </c>
      <c r="W20" s="1780">
        <v>9</v>
      </c>
      <c r="X20" s="2293" t="s">
        <v>86</v>
      </c>
      <c r="Y20" s="2294"/>
      <c r="Z20" s="2294"/>
      <c r="AA20" s="2295"/>
      <c r="AB20" s="1872"/>
      <c r="AC20" s="1873"/>
      <c r="AD20" s="1872"/>
      <c r="AE20" s="1873"/>
      <c r="AF20" s="1872"/>
      <c r="AG20" s="1873"/>
    </row>
    <row r="21" spans="1:33" ht="36.75" hidden="1" customHeight="1">
      <c r="A21" s="1153">
        <v>10</v>
      </c>
      <c r="B21" s="2293" t="s">
        <v>1038</v>
      </c>
      <c r="C21" s="2294" t="s">
        <v>1038</v>
      </c>
      <c r="D21" s="2294" t="s">
        <v>1038</v>
      </c>
      <c r="E21" s="2295" t="s">
        <v>1038</v>
      </c>
      <c r="F21" s="87" t="s">
        <v>6</v>
      </c>
      <c r="G21" s="1134" t="str">
        <f>'XM.GUI MAIL'!$E$79</f>
        <v>0.5~1.5</v>
      </c>
      <c r="H21" s="1134" t="str">
        <f>'XM.GUI MAIL'!$F$79</f>
        <v>(1±0.4)</v>
      </c>
      <c r="I21" s="340">
        <f>'XM.GUI MAIL'!I79</f>
        <v>0</v>
      </c>
      <c r="J21" s="72" t="s">
        <v>8</v>
      </c>
      <c r="K21" s="76">
        <f>'XM.GUI MAIL'!L79</f>
        <v>0</v>
      </c>
      <c r="L21" s="78" t="s">
        <v>10</v>
      </c>
      <c r="M21" s="340">
        <f>'XM.GUI MAIL'!O79</f>
        <v>0</v>
      </c>
      <c r="N21" s="72" t="s">
        <v>8</v>
      </c>
      <c r="O21" s="76">
        <f>'XM.GUI MAIL'!R79</f>
        <v>0</v>
      </c>
      <c r="P21" s="78" t="s">
        <v>10</v>
      </c>
      <c r="Q21" s="340">
        <f>'XM.GUI MAIL'!U79</f>
        <v>0</v>
      </c>
      <c r="R21" s="72" t="s">
        <v>8</v>
      </c>
      <c r="S21" s="76">
        <f>'XM.GUI MAIL'!X79</f>
        <v>0</v>
      </c>
      <c r="T21" s="78" t="s">
        <v>10</v>
      </c>
      <c r="U21" s="1151" t="s">
        <v>47</v>
      </c>
      <c r="W21" s="1780">
        <v>10</v>
      </c>
      <c r="X21" s="2293" t="s">
        <v>1038</v>
      </c>
      <c r="Y21" s="2294" t="s">
        <v>1038</v>
      </c>
      <c r="Z21" s="2294" t="s">
        <v>1038</v>
      </c>
      <c r="AA21" s="2295" t="s">
        <v>1038</v>
      </c>
      <c r="AB21" s="1872"/>
      <c r="AC21" s="1873"/>
      <c r="AD21" s="1872"/>
      <c r="AE21" s="1873"/>
      <c r="AF21" s="1872"/>
      <c r="AG21" s="1873"/>
    </row>
    <row r="22" spans="1:33" s="19" customFormat="1" ht="30" customHeight="1">
      <c r="A22" s="2319">
        <v>11</v>
      </c>
      <c r="B22" s="2272" t="s">
        <v>77</v>
      </c>
      <c r="C22" s="2273"/>
      <c r="D22" s="2273"/>
      <c r="E22" s="2274"/>
      <c r="F22" s="2" t="s">
        <v>3</v>
      </c>
      <c r="G22" s="1000" t="str">
        <f>'XM.GUI MAIL'!$E$80</f>
        <v>3~9</v>
      </c>
      <c r="H22" s="1000" t="str">
        <f>'XM.GUI MAIL'!$F$80</f>
        <v>(6±1)</v>
      </c>
      <c r="I22" s="302">
        <f>'XM.GUI MAIL'!I80</f>
        <v>4.24</v>
      </c>
      <c r="J22" s="72" t="s">
        <v>8</v>
      </c>
      <c r="K22" s="73">
        <f>'XM.GUI MAIL'!L80</f>
        <v>65.897364210526305</v>
      </c>
      <c r="L22" s="78" t="s">
        <v>10</v>
      </c>
      <c r="M22" s="302" t="str">
        <f>'XM.GUI MAIL'!O80</f>
        <v/>
      </c>
      <c r="N22" s="72" t="s">
        <v>8</v>
      </c>
      <c r="O22" s="73" t="str">
        <f>'XM.GUI MAIL'!R80</f>
        <v/>
      </c>
      <c r="P22" s="78" t="s">
        <v>10</v>
      </c>
      <c r="Q22" s="302" t="str">
        <f>'XM.GUI MAIL'!U80</f>
        <v/>
      </c>
      <c r="R22" s="72" t="s">
        <v>8</v>
      </c>
      <c r="S22" s="73" t="str">
        <f>'XM.GUI MAIL'!X80</f>
        <v/>
      </c>
      <c r="T22" s="78" t="s">
        <v>10</v>
      </c>
      <c r="U22" s="300"/>
      <c r="V22" s="8"/>
      <c r="W22" s="2319">
        <v>11</v>
      </c>
      <c r="X22" s="2272" t="s">
        <v>77</v>
      </c>
      <c r="Y22" s="2273"/>
      <c r="Z22" s="2273"/>
      <c r="AA22" s="2274"/>
      <c r="AB22" s="1872"/>
      <c r="AC22" s="1873"/>
      <c r="AD22" s="1872"/>
      <c r="AE22" s="1873"/>
      <c r="AF22" s="1872"/>
      <c r="AG22" s="1873"/>
    </row>
    <row r="23" spans="1:33" s="19" customFormat="1" ht="30" customHeight="1">
      <c r="A23" s="2320"/>
      <c r="B23" s="2275"/>
      <c r="C23" s="2276"/>
      <c r="D23" s="2276"/>
      <c r="E23" s="2277"/>
      <c r="F23" s="2" t="s">
        <v>5</v>
      </c>
      <c r="G23" s="1000" t="str">
        <f>'XM.GUI MAIL'!$E$81</f>
        <v>1.8~2.4</v>
      </c>
      <c r="H23" s="1000" t="str">
        <f>'XM.GUI MAIL'!$F$81</f>
        <v>(2.0±0.1)</v>
      </c>
      <c r="I23" s="303">
        <f>'XM.GUI MAIL'!I81</f>
        <v>1.88</v>
      </c>
      <c r="J23" s="72" t="s">
        <v>8</v>
      </c>
      <c r="K23" s="76"/>
      <c r="L23" s="78"/>
      <c r="M23" s="303">
        <f>'XM.GUI MAIL'!O81</f>
        <v>0</v>
      </c>
      <c r="N23" s="72" t="s">
        <v>8</v>
      </c>
      <c r="O23" s="76"/>
      <c r="P23" s="78"/>
      <c r="Q23" s="303">
        <f>'XM.GUI MAIL'!U81</f>
        <v>0</v>
      </c>
      <c r="R23" s="72" t="s">
        <v>8</v>
      </c>
      <c r="S23" s="76"/>
      <c r="T23" s="78"/>
      <c r="U23" s="300"/>
      <c r="W23" s="2320"/>
      <c r="X23" s="2275"/>
      <c r="Y23" s="2276"/>
      <c r="Z23" s="2276"/>
      <c r="AA23" s="2277"/>
      <c r="AB23" s="1872"/>
      <c r="AC23" s="1873"/>
      <c r="AD23" s="1872"/>
      <c r="AE23" s="1874"/>
      <c r="AF23" s="1868"/>
      <c r="AG23" s="1874"/>
    </row>
    <row r="24" spans="1:33" s="19" customFormat="1" ht="33.75" hidden="1" customHeight="1">
      <c r="A24" s="1353"/>
      <c r="B24" s="2346" t="s">
        <v>1238</v>
      </c>
      <c r="C24" s="2347"/>
      <c r="D24" s="2347"/>
      <c r="E24" s="2348"/>
      <c r="F24" s="1352" t="s">
        <v>3</v>
      </c>
      <c r="G24" s="1519" t="str">
        <f>'XM.GUI MAIL'!$E$82</f>
        <v>8~16 %</v>
      </c>
      <c r="H24" s="1519"/>
      <c r="I24" s="1342" t="str">
        <f>'XM.GUI MAIL'!I82</f>
        <v/>
      </c>
      <c r="J24" s="1354" t="s">
        <v>8</v>
      </c>
      <c r="K24" s="1355" t="str">
        <f>'XM.GUI MAIL'!L82</f>
        <v/>
      </c>
      <c r="L24" s="1356"/>
      <c r="M24" s="1342" t="str">
        <f>'XM.GUI MAIL'!O82</f>
        <v/>
      </c>
      <c r="N24" s="1354" t="s">
        <v>8</v>
      </c>
      <c r="O24" s="1355" t="str">
        <f>'XM.GUI MAIL'!R82</f>
        <v/>
      </c>
      <c r="P24" s="1356"/>
      <c r="Q24" s="1342" t="str">
        <f>'XM.GUI MAIL'!U82</f>
        <v/>
      </c>
      <c r="R24" s="1354" t="s">
        <v>8</v>
      </c>
      <c r="S24" s="1355" t="str">
        <f>'XM.GUI MAIL'!X82</f>
        <v/>
      </c>
      <c r="T24" s="1202"/>
      <c r="U24" s="109"/>
      <c r="W24" s="1353"/>
      <c r="X24" s="2346" t="s">
        <v>1238</v>
      </c>
      <c r="Y24" s="2347"/>
      <c r="Z24" s="2347"/>
      <c r="AA24" s="2348"/>
      <c r="AB24" s="1800"/>
      <c r="AC24" s="1800"/>
      <c r="AD24" s="1800"/>
    </row>
    <row r="25" spans="1:33" s="19" customFormat="1" ht="33.75" hidden="1" customHeight="1">
      <c r="A25" s="1353"/>
      <c r="B25" s="2349"/>
      <c r="C25" s="2350"/>
      <c r="D25" s="2350"/>
      <c r="E25" s="2351"/>
      <c r="F25" s="1352" t="s">
        <v>5</v>
      </c>
      <c r="G25" s="1519" t="str">
        <f>'XM.GUI MAIL'!$E$83</f>
        <v>1.8~2.4</v>
      </c>
      <c r="H25" s="1519"/>
      <c r="I25" s="1360">
        <f>'XM.GUI MAIL'!I83</f>
        <v>0</v>
      </c>
      <c r="J25" s="1354" t="s">
        <v>8</v>
      </c>
      <c r="K25" s="1357">
        <f>'XM.GUI MAIL'!L83</f>
        <v>0</v>
      </c>
      <c r="L25" s="1356"/>
      <c r="M25" s="1360">
        <f>'XM.GUI MAIL'!O83</f>
        <v>0</v>
      </c>
      <c r="N25" s="1354" t="s">
        <v>8</v>
      </c>
      <c r="O25" s="1357">
        <f>'XM.GUI MAIL'!R83</f>
        <v>0</v>
      </c>
      <c r="P25" s="1356"/>
      <c r="Q25" s="1360">
        <f>'XM.GUI MAIL'!U83</f>
        <v>0</v>
      </c>
      <c r="R25" s="1354" t="s">
        <v>8</v>
      </c>
      <c r="S25" s="1358"/>
      <c r="T25" s="1202"/>
      <c r="U25" s="109"/>
      <c r="W25" s="1353"/>
      <c r="X25" s="2349"/>
      <c r="Y25" s="2350"/>
      <c r="Z25" s="2350"/>
      <c r="AA25" s="2351"/>
      <c r="AB25" s="1800"/>
      <c r="AC25" s="1800"/>
      <c r="AD25" s="1800"/>
    </row>
    <row r="26" spans="1:33" ht="36.75" customHeight="1">
      <c r="A26" s="1153"/>
      <c r="B26" s="278"/>
      <c r="C26" s="279"/>
      <c r="D26" s="279"/>
      <c r="E26" s="279"/>
      <c r="F26" s="279"/>
      <c r="G26" s="1653" t="s">
        <v>2</v>
      </c>
      <c r="H26" s="1106"/>
      <c r="I26" s="281"/>
      <c r="J26" s="279"/>
      <c r="K26" s="279"/>
      <c r="L26" s="279"/>
      <c r="M26" s="279"/>
      <c r="N26" s="279"/>
      <c r="O26" s="279"/>
      <c r="P26" s="279"/>
      <c r="Q26" s="279"/>
      <c r="R26" s="279"/>
      <c r="S26" s="279"/>
      <c r="T26" s="279"/>
      <c r="U26" s="280"/>
      <c r="W26" s="1780"/>
      <c r="X26" s="278"/>
      <c r="Y26" s="279"/>
      <c r="Z26" s="279"/>
      <c r="AA26" s="279"/>
      <c r="AB26" s="279"/>
      <c r="AC26" s="279"/>
      <c r="AD26" s="279"/>
    </row>
    <row r="27" spans="1:33" ht="36.75" customHeight="1">
      <c r="A27" s="1153" t="s">
        <v>7</v>
      </c>
      <c r="B27" s="2297" t="s">
        <v>23</v>
      </c>
      <c r="C27" s="2298"/>
      <c r="D27" s="2298"/>
      <c r="E27" s="2299"/>
      <c r="F27" s="85" t="s">
        <v>24</v>
      </c>
      <c r="G27" s="1094" t="s">
        <v>1424</v>
      </c>
      <c r="H27" s="1618" t="s">
        <v>1412</v>
      </c>
      <c r="I27" s="2229" t="s">
        <v>26</v>
      </c>
      <c r="J27" s="2230"/>
      <c r="K27" s="2229" t="s">
        <v>27</v>
      </c>
      <c r="L27" s="2230"/>
      <c r="M27" s="2229" t="s">
        <v>26</v>
      </c>
      <c r="N27" s="2230"/>
      <c r="O27" s="2229" t="s">
        <v>27</v>
      </c>
      <c r="P27" s="2230"/>
      <c r="Q27" s="2229" t="s">
        <v>26</v>
      </c>
      <c r="R27" s="2230"/>
      <c r="S27" s="2229" t="s">
        <v>27</v>
      </c>
      <c r="T27" s="2230"/>
      <c r="U27" s="10"/>
      <c r="W27" s="1780" t="s">
        <v>7</v>
      </c>
      <c r="X27" s="2297" t="s">
        <v>23</v>
      </c>
      <c r="Y27" s="2298"/>
      <c r="Z27" s="2298"/>
      <c r="AA27" s="2299"/>
      <c r="AB27" s="2268" t="s">
        <v>1526</v>
      </c>
      <c r="AC27" s="2130"/>
      <c r="AD27" s="2268" t="s">
        <v>1526</v>
      </c>
      <c r="AE27" s="2130"/>
      <c r="AF27" s="2268" t="s">
        <v>1526</v>
      </c>
      <c r="AG27" s="2130"/>
    </row>
    <row r="28" spans="1:33" ht="36.75" customHeight="1">
      <c r="A28" s="1153">
        <v>1</v>
      </c>
      <c r="B28" s="2297" t="s">
        <v>36</v>
      </c>
      <c r="C28" s="2298"/>
      <c r="D28" s="2298"/>
      <c r="E28" s="2299"/>
      <c r="F28" s="11" t="s">
        <v>28</v>
      </c>
      <c r="G28" s="1136" t="str">
        <f>'XM.GUI MAIL'!$E$91</f>
        <v>65~75</v>
      </c>
      <c r="H28" s="1136" t="str">
        <f>'XM.GUI MAIL'!$F$91</f>
        <v>(70±3)</v>
      </c>
      <c r="I28" s="2088">
        <f>'XM.GUI MAIL'!I91</f>
        <v>0</v>
      </c>
      <c r="J28" s="2089"/>
      <c r="K28" s="2088">
        <f>'XM.GUI MAIL'!L91</f>
        <v>0</v>
      </c>
      <c r="L28" s="2089"/>
      <c r="M28" s="2088">
        <f>'XM.GUI MAIL'!O91</f>
        <v>0</v>
      </c>
      <c r="N28" s="2089"/>
      <c r="O28" s="2088">
        <f>'XM.GUI MAIL'!R91</f>
        <v>0</v>
      </c>
      <c r="P28" s="2089"/>
      <c r="Q28" s="2088">
        <f>'XM.GUI MAIL'!U91</f>
        <v>0</v>
      </c>
      <c r="R28" s="2089"/>
      <c r="S28" s="2088">
        <f>'XM.GUI MAIL'!X91</f>
        <v>0</v>
      </c>
      <c r="T28" s="2089"/>
      <c r="U28" s="1153"/>
      <c r="W28" s="1780">
        <v>1</v>
      </c>
      <c r="X28" s="2297" t="s">
        <v>36</v>
      </c>
      <c r="Y28" s="2298"/>
      <c r="Z28" s="2298"/>
      <c r="AA28" s="2299"/>
      <c r="AB28" s="1872"/>
      <c r="AC28" s="1873"/>
      <c r="AD28" s="1872"/>
      <c r="AE28" s="1873"/>
      <c r="AF28" s="1872"/>
      <c r="AG28" s="1873"/>
    </row>
    <row r="29" spans="1:33" ht="36.75" customHeight="1">
      <c r="A29" s="1153">
        <v>2</v>
      </c>
      <c r="B29" s="2297" t="s">
        <v>37</v>
      </c>
      <c r="C29" s="2298"/>
      <c r="D29" s="2298"/>
      <c r="E29" s="2299"/>
      <c r="F29" s="11" t="s">
        <v>28</v>
      </c>
      <c r="G29" s="1136" t="str">
        <f>'XM.GUI MAIL'!$E$92</f>
        <v>65~75</v>
      </c>
      <c r="H29" s="1136" t="str">
        <f>'XM.GUI MAIL'!$F$92</f>
        <v>(70±3)</v>
      </c>
      <c r="I29" s="2088">
        <f>'XM.GUI MAIL'!I92</f>
        <v>0</v>
      </c>
      <c r="J29" s="2089"/>
      <c r="K29" s="2088">
        <f>'XM.GUI MAIL'!L92</f>
        <v>0</v>
      </c>
      <c r="L29" s="2089"/>
      <c r="M29" s="2088">
        <f>'XM.GUI MAIL'!O92</f>
        <v>0</v>
      </c>
      <c r="N29" s="2089"/>
      <c r="O29" s="2088">
        <f>'XM.GUI MAIL'!R92</f>
        <v>0</v>
      </c>
      <c r="P29" s="2089"/>
      <c r="Q29" s="2088">
        <f>'XM.GUI MAIL'!U92</f>
        <v>0</v>
      </c>
      <c r="R29" s="2089"/>
      <c r="S29" s="2088">
        <f>'XM.GUI MAIL'!X92</f>
        <v>0</v>
      </c>
      <c r="T29" s="2089"/>
      <c r="U29" s="1153"/>
      <c r="W29" s="1780">
        <v>2</v>
      </c>
      <c r="X29" s="2297" t="s">
        <v>37</v>
      </c>
      <c r="Y29" s="2298"/>
      <c r="Z29" s="2298"/>
      <c r="AA29" s="2299"/>
      <c r="AB29" s="1872"/>
      <c r="AC29" s="1873"/>
      <c r="AD29" s="1872"/>
      <c r="AE29" s="1873"/>
      <c r="AF29" s="1872"/>
      <c r="AG29" s="1873"/>
    </row>
    <row r="30" spans="1:33" ht="36.75" customHeight="1">
      <c r="A30" s="1153">
        <v>3</v>
      </c>
      <c r="B30" s="2297" t="s">
        <v>29</v>
      </c>
      <c r="C30" s="2298"/>
      <c r="D30" s="2298"/>
      <c r="E30" s="2299"/>
      <c r="F30" s="11" t="s">
        <v>28</v>
      </c>
      <c r="G30" s="1136" t="str">
        <f>'XM.GUI MAIL'!$E$93</f>
        <v>60~70</v>
      </c>
      <c r="H30" s="1136" t="str">
        <f>'XM.GUI MAIL'!$F$93</f>
        <v>(65±3)</v>
      </c>
      <c r="I30" s="2088">
        <f>'XM.GUI MAIL'!I93</f>
        <v>0</v>
      </c>
      <c r="J30" s="2089"/>
      <c r="K30" s="2088">
        <f>'XM.GUI MAIL'!L93</f>
        <v>0</v>
      </c>
      <c r="L30" s="2089"/>
      <c r="M30" s="2088">
        <f>'XM.GUI MAIL'!O93</f>
        <v>0</v>
      </c>
      <c r="N30" s="2089"/>
      <c r="O30" s="2088">
        <f>'XM.GUI MAIL'!R93</f>
        <v>0</v>
      </c>
      <c r="P30" s="2089"/>
      <c r="Q30" s="2088">
        <f>'XM.GUI MAIL'!U93</f>
        <v>0</v>
      </c>
      <c r="R30" s="2089"/>
      <c r="S30" s="2088">
        <f>'XM.GUI MAIL'!X93</f>
        <v>0</v>
      </c>
      <c r="T30" s="2089"/>
      <c r="U30" s="1153"/>
      <c r="W30" s="1780">
        <v>3</v>
      </c>
      <c r="X30" s="2297" t="s">
        <v>29</v>
      </c>
      <c r="Y30" s="2298"/>
      <c r="Z30" s="2298"/>
      <c r="AA30" s="2299"/>
      <c r="AB30" s="1872"/>
      <c r="AC30" s="1873"/>
      <c r="AD30" s="1872"/>
      <c r="AE30" s="1873"/>
      <c r="AF30" s="1872"/>
      <c r="AG30" s="1873"/>
    </row>
    <row r="31" spans="1:33" ht="36.75" customHeight="1">
      <c r="A31" s="1153">
        <v>4</v>
      </c>
      <c r="B31" s="2297" t="s">
        <v>30</v>
      </c>
      <c r="C31" s="2298"/>
      <c r="D31" s="2298"/>
      <c r="E31" s="2299"/>
      <c r="F31" s="11" t="s">
        <v>28</v>
      </c>
      <c r="G31" s="1136" t="str">
        <f>'XM.GUI MAIL'!$E$94</f>
        <v>60~70</v>
      </c>
      <c r="H31" s="1136" t="str">
        <f>'XM.GUI MAIL'!$F$94</f>
        <v>(65±3)</v>
      </c>
      <c r="I31" s="2088">
        <f>'XM.GUI MAIL'!I94</f>
        <v>0</v>
      </c>
      <c r="J31" s="2089"/>
      <c r="K31" s="2088">
        <f>'XM.GUI MAIL'!L94</f>
        <v>0</v>
      </c>
      <c r="L31" s="2089"/>
      <c r="M31" s="2088">
        <f>'XM.GUI MAIL'!O94</f>
        <v>0</v>
      </c>
      <c r="N31" s="2089"/>
      <c r="O31" s="2088">
        <f>'XM.GUI MAIL'!R94</f>
        <v>0</v>
      </c>
      <c r="P31" s="2089"/>
      <c r="Q31" s="2088">
        <f>'XM.GUI MAIL'!U94</f>
        <v>0</v>
      </c>
      <c r="R31" s="2089"/>
      <c r="S31" s="2088">
        <f>'XM.GUI MAIL'!X94</f>
        <v>0</v>
      </c>
      <c r="T31" s="2089"/>
      <c r="U31" s="1153"/>
      <c r="W31" s="1780">
        <v>4</v>
      </c>
      <c r="X31" s="2297" t="s">
        <v>30</v>
      </c>
      <c r="Y31" s="2298"/>
      <c r="Z31" s="2298"/>
      <c r="AA31" s="2299"/>
      <c r="AB31" s="1872"/>
      <c r="AC31" s="1873"/>
      <c r="AD31" s="1872"/>
      <c r="AE31" s="1873"/>
      <c r="AF31" s="1872"/>
      <c r="AG31" s="1873"/>
    </row>
    <row r="32" spans="1:33" ht="36.75" customHeight="1">
      <c r="A32" s="1153">
        <v>5</v>
      </c>
      <c r="B32" s="2297" t="s">
        <v>31</v>
      </c>
      <c r="C32" s="2298"/>
      <c r="D32" s="2298"/>
      <c r="E32" s="2299"/>
      <c r="F32" s="11" t="s">
        <v>28</v>
      </c>
      <c r="G32" s="1136" t="str">
        <f>'XM.GUI MAIL'!$E$95</f>
        <v>24~26</v>
      </c>
      <c r="H32" s="1136" t="str">
        <f>'XM.GUI MAIL'!$F$95</f>
        <v>(25)</v>
      </c>
      <c r="I32" s="2119">
        <f>'XM.GUI MAIL'!I95</f>
        <v>0</v>
      </c>
      <c r="J32" s="2120"/>
      <c r="K32" s="2119">
        <f>'XM.GUI MAIL'!L95</f>
        <v>0</v>
      </c>
      <c r="L32" s="2120"/>
      <c r="M32" s="2119">
        <f>'XM.GUI MAIL'!O95</f>
        <v>0</v>
      </c>
      <c r="N32" s="2120"/>
      <c r="O32" s="2119">
        <f>'XM.GUI MAIL'!R95</f>
        <v>0</v>
      </c>
      <c r="P32" s="2120"/>
      <c r="Q32" s="2119">
        <f>'XM.GUI MAIL'!U95</f>
        <v>0</v>
      </c>
      <c r="R32" s="2120"/>
      <c r="S32" s="2119">
        <f>'XM.GUI MAIL'!X95</f>
        <v>0</v>
      </c>
      <c r="T32" s="2120"/>
      <c r="U32" s="1153"/>
      <c r="W32" s="1780">
        <v>5</v>
      </c>
      <c r="X32" s="2297" t="s">
        <v>31</v>
      </c>
      <c r="Y32" s="2298"/>
      <c r="Z32" s="2298"/>
      <c r="AA32" s="2299"/>
      <c r="AB32" s="1872"/>
      <c r="AC32" s="1873"/>
      <c r="AD32" s="1872"/>
      <c r="AE32" s="1873"/>
      <c r="AF32" s="1872"/>
      <c r="AG32" s="1873"/>
    </row>
    <row r="33" spans="1:34" ht="36.75" customHeight="1">
      <c r="A33" s="1153">
        <v>6</v>
      </c>
      <c r="B33" s="2297" t="s">
        <v>1375</v>
      </c>
      <c r="C33" s="2298"/>
      <c r="D33" s="2298"/>
      <c r="E33" s="2299"/>
      <c r="F33" s="11" t="s">
        <v>28</v>
      </c>
      <c r="G33" s="1136" t="str">
        <f>'XM.GUI MAIL'!$E$96</f>
        <v>34~36</v>
      </c>
      <c r="H33" s="1136" t="str">
        <f>'XM.GUI MAIL'!$F$96</f>
        <v>(35±1)</v>
      </c>
      <c r="I33" s="2111">
        <f>'XM.GUI MAIL'!I96</f>
        <v>0</v>
      </c>
      <c r="J33" s="2112"/>
      <c r="K33" s="2111">
        <f>'XM.GUI MAIL'!L96</f>
        <v>0</v>
      </c>
      <c r="L33" s="2112"/>
      <c r="M33" s="2111">
        <f>'XM.GUI MAIL'!O96</f>
        <v>0</v>
      </c>
      <c r="N33" s="2112"/>
      <c r="O33" s="2111">
        <f>'XM.GUI MAIL'!R96</f>
        <v>0</v>
      </c>
      <c r="P33" s="2112"/>
      <c r="Q33" s="2111">
        <f>'XM.GUI MAIL'!U96</f>
        <v>0</v>
      </c>
      <c r="R33" s="2112"/>
      <c r="S33" s="2111">
        <f>'XM.GUI MAIL'!X96</f>
        <v>0</v>
      </c>
      <c r="T33" s="2112"/>
      <c r="U33" s="1153"/>
      <c r="W33" s="1780">
        <v>6</v>
      </c>
      <c r="X33" s="2297" t="s">
        <v>1375</v>
      </c>
      <c r="Y33" s="2298"/>
      <c r="Z33" s="2298"/>
      <c r="AA33" s="2299"/>
      <c r="AB33" s="1872"/>
      <c r="AC33" s="1873"/>
      <c r="AD33" s="1872"/>
      <c r="AE33" s="1873"/>
      <c r="AF33" s="1872"/>
      <c r="AG33" s="1873"/>
    </row>
    <row r="34" spans="1:34" ht="36.75" customHeight="1">
      <c r="A34" s="1153">
        <v>7</v>
      </c>
      <c r="B34" s="2297" t="s">
        <v>33</v>
      </c>
      <c r="C34" s="2298"/>
      <c r="D34" s="2298"/>
      <c r="E34" s="2299"/>
      <c r="F34" s="11" t="s">
        <v>28</v>
      </c>
      <c r="G34" s="1136" t="str">
        <f>'XM.GUI MAIL'!$E$97</f>
        <v>55~65</v>
      </c>
      <c r="H34" s="1136" t="str">
        <f>'XM.GUI MAIL'!$F$97</f>
        <v>(60±3)</v>
      </c>
      <c r="I34" s="2088">
        <f>'XM.GUI MAIL'!I97</f>
        <v>0</v>
      </c>
      <c r="J34" s="2089"/>
      <c r="K34" s="2088">
        <f>'XM.GUI MAIL'!L97</f>
        <v>0</v>
      </c>
      <c r="L34" s="2089"/>
      <c r="M34" s="2088">
        <f>'XM.GUI MAIL'!O97</f>
        <v>0</v>
      </c>
      <c r="N34" s="2089"/>
      <c r="O34" s="2088">
        <f>'XM.GUI MAIL'!R97</f>
        <v>0</v>
      </c>
      <c r="P34" s="2089"/>
      <c r="Q34" s="2088">
        <f>'XM.GUI MAIL'!U97</f>
        <v>0</v>
      </c>
      <c r="R34" s="2089"/>
      <c r="S34" s="2088">
        <f>'XM.GUI MAIL'!X97</f>
        <v>0</v>
      </c>
      <c r="T34" s="2089"/>
      <c r="U34" s="1153"/>
      <c r="W34" s="1780">
        <v>7</v>
      </c>
      <c r="X34" s="2297" t="s">
        <v>33</v>
      </c>
      <c r="Y34" s="2298"/>
      <c r="Z34" s="2298"/>
      <c r="AA34" s="2299"/>
      <c r="AB34" s="1872"/>
      <c r="AC34" s="1873"/>
      <c r="AD34" s="1872"/>
      <c r="AE34" s="1873"/>
      <c r="AF34" s="1872"/>
      <c r="AG34" s="1873"/>
    </row>
    <row r="35" spans="1:34" ht="36.75" customHeight="1">
      <c r="A35" s="1153">
        <v>8</v>
      </c>
      <c r="B35" s="2297" t="s">
        <v>34</v>
      </c>
      <c r="C35" s="2298"/>
      <c r="D35" s="2298"/>
      <c r="E35" s="2299"/>
      <c r="F35" s="11" t="s">
        <v>28</v>
      </c>
      <c r="G35" s="1136" t="str">
        <f>'XM.GUI MAIL'!$E$98</f>
        <v>65~75</v>
      </c>
      <c r="H35" s="1136" t="str">
        <f>'XM.GUI MAIL'!$F$98</f>
        <v>(70±3)</v>
      </c>
      <c r="I35" s="2229" t="s">
        <v>50</v>
      </c>
      <c r="J35" s="2230"/>
      <c r="K35" s="2088">
        <f>'XM.GUI MAIL'!L98</f>
        <v>0</v>
      </c>
      <c r="L35" s="2089"/>
      <c r="M35" s="2229" t="s">
        <v>50</v>
      </c>
      <c r="N35" s="2230"/>
      <c r="O35" s="2088">
        <f>'XM.GUI MAIL'!R98</f>
        <v>0</v>
      </c>
      <c r="P35" s="2089"/>
      <c r="Q35" s="2229" t="s">
        <v>50</v>
      </c>
      <c r="R35" s="2230"/>
      <c r="S35" s="2088">
        <f>'XM.GUI MAIL'!X98</f>
        <v>0</v>
      </c>
      <c r="T35" s="2089"/>
      <c r="U35" s="1153"/>
      <c r="W35" s="1780">
        <v>8</v>
      </c>
      <c r="X35" s="2297" t="s">
        <v>34</v>
      </c>
      <c r="Y35" s="2298"/>
      <c r="Z35" s="2298"/>
      <c r="AA35" s="2299"/>
      <c r="AB35" s="1872"/>
      <c r="AC35" s="1873"/>
      <c r="AD35" s="1872"/>
      <c r="AE35" s="1873"/>
      <c r="AF35" s="1872"/>
      <c r="AG35" s="1873"/>
    </row>
    <row r="36" spans="1:34" ht="36.75" customHeight="1">
      <c r="A36" s="1153">
        <v>9</v>
      </c>
      <c r="B36" s="2297" t="s">
        <v>1049</v>
      </c>
      <c r="C36" s="2298"/>
      <c r="D36" s="2298"/>
      <c r="E36" s="2299"/>
      <c r="F36" s="11" t="s">
        <v>28</v>
      </c>
      <c r="G36" s="1136" t="str">
        <f>'XM.GUI MAIL'!$E$101</f>
        <v>20~30</v>
      </c>
      <c r="H36" s="1136" t="str">
        <f>'XM.GUI MAIL'!$F$101</f>
        <v>20~30</v>
      </c>
      <c r="I36" s="2363">
        <f>'XM.GUI MAIL'!I101</f>
        <v>0</v>
      </c>
      <c r="J36" s="2364"/>
      <c r="K36" s="2363">
        <f>'XM.GUI MAIL'!L101</f>
        <v>0</v>
      </c>
      <c r="L36" s="2364"/>
      <c r="M36" s="2363"/>
      <c r="N36" s="2364"/>
      <c r="O36" s="2363"/>
      <c r="P36" s="2364"/>
      <c r="Q36" s="2363">
        <f>'XM.GUI MAIL'!U101</f>
        <v>0</v>
      </c>
      <c r="R36" s="2364"/>
      <c r="S36" s="2363">
        <f>'XM.GUI MAIL'!X101</f>
        <v>0</v>
      </c>
      <c r="T36" s="2364"/>
      <c r="U36" s="998"/>
      <c r="W36" s="1780">
        <v>9</v>
      </c>
      <c r="X36" s="2297" t="s">
        <v>1049</v>
      </c>
      <c r="Y36" s="2298"/>
      <c r="Z36" s="2298"/>
      <c r="AA36" s="2299"/>
      <c r="AB36" s="1872"/>
      <c r="AC36" s="1873"/>
      <c r="AD36" s="1872"/>
      <c r="AE36" s="1874"/>
      <c r="AF36" s="1868"/>
      <c r="AG36" s="1874"/>
    </row>
    <row r="37" spans="1:34" ht="33.75" hidden="1" customHeight="1">
      <c r="A37" s="1566"/>
      <c r="B37" s="2343" t="s">
        <v>1379</v>
      </c>
      <c r="C37" s="2344"/>
      <c r="D37" s="2344"/>
      <c r="E37" s="2345"/>
      <c r="F37" s="11" t="s">
        <v>28</v>
      </c>
      <c r="G37" s="1136" t="str">
        <f>'XM.GUI MAIL'!$E$102</f>
        <v>35~45</v>
      </c>
      <c r="H37" s="1650"/>
      <c r="I37" s="2091">
        <f>'XM.GUI MAIL'!I102</f>
        <v>0</v>
      </c>
      <c r="J37" s="2092"/>
      <c r="K37" s="2091">
        <f>'XM.GUI MAIL'!L102</f>
        <v>0</v>
      </c>
      <c r="L37" s="2092"/>
      <c r="M37" s="2091">
        <f>'XM.GUI MAIL'!O102</f>
        <v>0</v>
      </c>
      <c r="N37" s="2092"/>
      <c r="O37" s="2091">
        <f>'XM.GUI MAIL'!R102</f>
        <v>0</v>
      </c>
      <c r="P37" s="2092"/>
      <c r="Q37" s="2091">
        <f>'XM.GUI MAIL'!U102</f>
        <v>0</v>
      </c>
      <c r="R37" s="2092"/>
      <c r="S37" s="2091">
        <f>'XM.GUI MAIL'!X102</f>
        <v>0</v>
      </c>
      <c r="T37" s="2092"/>
      <c r="U37" s="998"/>
      <c r="W37" s="1780"/>
      <c r="X37" s="2343" t="s">
        <v>1378</v>
      </c>
      <c r="Y37" s="2344"/>
      <c r="Z37" s="2344"/>
      <c r="AA37" s="2345"/>
      <c r="AB37" s="1800"/>
      <c r="AC37" s="1800"/>
      <c r="AD37" s="1800"/>
    </row>
    <row r="38" spans="1:34" ht="44.25" customHeight="1">
      <c r="A38" s="1153"/>
      <c r="B38" s="278"/>
      <c r="C38" s="279"/>
      <c r="D38" s="279"/>
      <c r="E38" s="279"/>
      <c r="F38" s="279"/>
      <c r="G38" s="1653" t="s">
        <v>250</v>
      </c>
      <c r="H38" s="1106"/>
      <c r="I38" s="281"/>
      <c r="J38" s="279"/>
      <c r="K38" s="279"/>
      <c r="L38" s="279"/>
      <c r="M38" s="279"/>
      <c r="N38" s="279"/>
      <c r="O38" s="279"/>
      <c r="P38" s="279"/>
      <c r="Q38" s="279"/>
      <c r="R38" s="279"/>
      <c r="S38" s="279"/>
      <c r="T38" s="279"/>
      <c r="U38" s="280"/>
      <c r="W38" s="1780"/>
      <c r="X38" s="278"/>
      <c r="Y38" s="279"/>
      <c r="Z38" s="279"/>
      <c r="AA38" s="279"/>
      <c r="AB38" s="279"/>
      <c r="AC38" s="279"/>
      <c r="AD38" s="279"/>
    </row>
    <row r="39" spans="1:34" ht="44.25" customHeight="1">
      <c r="A39" s="1153" t="s">
        <v>7</v>
      </c>
      <c r="B39" s="2297" t="s">
        <v>35</v>
      </c>
      <c r="C39" s="2298"/>
      <c r="D39" s="2298"/>
      <c r="E39" s="2299"/>
      <c r="F39" s="85" t="s">
        <v>20</v>
      </c>
      <c r="G39" s="1094" t="s">
        <v>1424</v>
      </c>
      <c r="H39" s="1618" t="s">
        <v>1412</v>
      </c>
      <c r="I39" s="2229" t="s">
        <v>158</v>
      </c>
      <c r="J39" s="2311"/>
      <c r="K39" s="2311"/>
      <c r="L39" s="2230"/>
      <c r="M39" s="2229" t="s">
        <v>158</v>
      </c>
      <c r="N39" s="2311"/>
      <c r="O39" s="2311"/>
      <c r="P39" s="2230"/>
      <c r="Q39" s="2229" t="s">
        <v>158</v>
      </c>
      <c r="R39" s="2311"/>
      <c r="S39" s="2311"/>
      <c r="T39" s="2230"/>
      <c r="U39" s="10"/>
      <c r="W39" s="1780" t="s">
        <v>7</v>
      </c>
      <c r="X39" s="2297" t="s">
        <v>35</v>
      </c>
      <c r="Y39" s="2298"/>
      <c r="Z39" s="2298"/>
      <c r="AA39" s="2299"/>
      <c r="AB39" s="2268" t="s">
        <v>1526</v>
      </c>
      <c r="AC39" s="2130"/>
      <c r="AD39" s="2268" t="s">
        <v>1526</v>
      </c>
      <c r="AE39" s="2130"/>
      <c r="AF39" s="2268" t="s">
        <v>1526</v>
      </c>
      <c r="AG39" s="2130"/>
    </row>
    <row r="40" spans="1:34" ht="44.25" customHeight="1">
      <c r="A40" s="1153">
        <v>1</v>
      </c>
      <c r="B40" s="2234" t="s">
        <v>1190</v>
      </c>
      <c r="C40" s="2235"/>
      <c r="D40" s="2235"/>
      <c r="E40" s="2236"/>
      <c r="F40" s="87" t="s">
        <v>51</v>
      </c>
      <c r="G40" s="1578" t="str">
        <f>'XM.GUI MAIL'!$E$107</f>
        <v>30~50 
(40)</v>
      </c>
      <c r="H40" s="1619" t="str">
        <f>'XM.GUI MAIL'!$F$107</f>
        <v>30~50 
(40)</v>
      </c>
      <c r="I40" s="2119">
        <f>'XM.GUI MAIL'!I107</f>
        <v>0</v>
      </c>
      <c r="J40" s="2120"/>
      <c r="K40" s="2120"/>
      <c r="L40" s="2120"/>
      <c r="M40" s="2119">
        <f>'XM.GUI MAIL'!O107</f>
        <v>0</v>
      </c>
      <c r="N40" s="2120"/>
      <c r="O40" s="2120"/>
      <c r="P40" s="2120"/>
      <c r="Q40" s="2119">
        <f>'XM.GUI MAIL'!U107</f>
        <v>0</v>
      </c>
      <c r="R40" s="2120"/>
      <c r="S40" s="2120"/>
      <c r="T40" s="2120"/>
      <c r="U40" s="1153"/>
      <c r="W40" s="1780">
        <v>1</v>
      </c>
      <c r="X40" s="2234" t="s">
        <v>1190</v>
      </c>
      <c r="Y40" s="2235"/>
      <c r="Z40" s="2235"/>
      <c r="AA40" s="2236"/>
      <c r="AB40" s="1872"/>
      <c r="AC40" s="1873"/>
      <c r="AD40" s="1872"/>
      <c r="AE40" s="1873"/>
      <c r="AF40" s="1872"/>
      <c r="AG40" s="1873"/>
    </row>
    <row r="41" spans="1:34" ht="44.25" customHeight="1">
      <c r="A41" s="1153">
        <v>2</v>
      </c>
      <c r="B41" s="2234" t="s">
        <v>253</v>
      </c>
      <c r="C41" s="2235"/>
      <c r="D41" s="2235"/>
      <c r="E41" s="2236"/>
      <c r="F41" s="87" t="s">
        <v>51</v>
      </c>
      <c r="G41" s="1578" t="str">
        <f>'XM.GUI MAIL'!$E$108</f>
        <v>160~220
(180)</v>
      </c>
      <c r="H41" s="1619" t="str">
        <f>'XM.GUI MAIL'!$F$108</f>
        <v>160~220
(180)</v>
      </c>
      <c r="I41" s="2119">
        <f>'XM.GUI MAIL'!I108</f>
        <v>0</v>
      </c>
      <c r="J41" s="2120"/>
      <c r="K41" s="2120"/>
      <c r="L41" s="2120"/>
      <c r="M41" s="2119">
        <f>'XM.GUI MAIL'!O108</f>
        <v>0</v>
      </c>
      <c r="N41" s="2120"/>
      <c r="O41" s="2120"/>
      <c r="P41" s="2120"/>
      <c r="Q41" s="2119">
        <f>'XM.GUI MAIL'!U108</f>
        <v>0</v>
      </c>
      <c r="R41" s="2120"/>
      <c r="S41" s="2120"/>
      <c r="T41" s="2120"/>
      <c r="U41" s="1153"/>
      <c r="W41" s="1780">
        <v>2</v>
      </c>
      <c r="X41" s="2234" t="s">
        <v>253</v>
      </c>
      <c r="Y41" s="2235"/>
      <c r="Z41" s="2235"/>
      <c r="AA41" s="2236"/>
      <c r="AB41" s="1868"/>
      <c r="AC41" s="1874"/>
      <c r="AD41" s="1868"/>
      <c r="AE41" s="1874"/>
      <c r="AF41" s="1868"/>
      <c r="AG41" s="1874"/>
    </row>
    <row r="42" spans="1:34">
      <c r="AB42" s="31"/>
      <c r="AC42" s="31"/>
      <c r="AD42" s="31"/>
      <c r="AE42" s="31"/>
      <c r="AF42" s="31"/>
      <c r="AG42" s="31"/>
      <c r="AH42" s="31"/>
    </row>
    <row r="43" spans="1:34">
      <c r="AB43" s="31"/>
      <c r="AC43" s="31"/>
      <c r="AD43" s="31"/>
      <c r="AE43" s="31"/>
      <c r="AF43" s="31"/>
      <c r="AG43" s="31"/>
      <c r="AH43" s="31"/>
    </row>
  </sheetData>
  <sheetProtection selectLockedCells="1"/>
  <mergeCells count="192">
    <mergeCell ref="AB4:AC4"/>
    <mergeCell ref="AD4:AE4"/>
    <mergeCell ref="AF4:AG4"/>
    <mergeCell ref="AB27:AC27"/>
    <mergeCell ref="AD27:AE27"/>
    <mergeCell ref="AF27:AG27"/>
    <mergeCell ref="AB39:AC39"/>
    <mergeCell ref="AD39:AE39"/>
    <mergeCell ref="AF39:AG39"/>
    <mergeCell ref="B24:E25"/>
    <mergeCell ref="C14:E14"/>
    <mergeCell ref="C15:E15"/>
    <mergeCell ref="B29:E29"/>
    <mergeCell ref="B30:E30"/>
    <mergeCell ref="A22:A23"/>
    <mergeCell ref="B22:E23"/>
    <mergeCell ref="B40:E40"/>
    <mergeCell ref="I40:L40"/>
    <mergeCell ref="B21:E21"/>
    <mergeCell ref="B18:E18"/>
    <mergeCell ref="B19:E19"/>
    <mergeCell ref="B20:E20"/>
    <mergeCell ref="A16:A17"/>
    <mergeCell ref="B16:D17"/>
    <mergeCell ref="E16:E17"/>
    <mergeCell ref="I35:J35"/>
    <mergeCell ref="K31:L31"/>
    <mergeCell ref="B41:E41"/>
    <mergeCell ref="I41:L41"/>
    <mergeCell ref="B35:E35"/>
    <mergeCell ref="B39:E39"/>
    <mergeCell ref="I39:L39"/>
    <mergeCell ref="S36:T36"/>
    <mergeCell ref="Q30:R30"/>
    <mergeCell ref="Q41:T41"/>
    <mergeCell ref="M36:N36"/>
    <mergeCell ref="O36:P36"/>
    <mergeCell ref="S30:T30"/>
    <mergeCell ref="Q31:R31"/>
    <mergeCell ref="S31:T31"/>
    <mergeCell ref="M35:N35"/>
    <mergeCell ref="O35:P35"/>
    <mergeCell ref="Q33:R33"/>
    <mergeCell ref="S33:T33"/>
    <mergeCell ref="Q32:R32"/>
    <mergeCell ref="S32:T32"/>
    <mergeCell ref="Q40:T40"/>
    <mergeCell ref="M30:N30"/>
    <mergeCell ref="O30:P30"/>
    <mergeCell ref="I32:J32"/>
    <mergeCell ref="K32:L32"/>
    <mergeCell ref="M4:P4"/>
    <mergeCell ref="N5:P5"/>
    <mergeCell ref="Q4:T4"/>
    <mergeCell ref="R5:T5"/>
    <mergeCell ref="I29:J29"/>
    <mergeCell ref="K29:L29"/>
    <mergeCell ref="S2:T2"/>
    <mergeCell ref="S3:T3"/>
    <mergeCell ref="O29:P29"/>
    <mergeCell ref="A12:A13"/>
    <mergeCell ref="B12:C13"/>
    <mergeCell ref="A14:A1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D6:E6"/>
    <mergeCell ref="D7:E7"/>
    <mergeCell ref="A4:A5"/>
    <mergeCell ref="B4:E5"/>
    <mergeCell ref="F4:F5"/>
    <mergeCell ref="G4:G5"/>
    <mergeCell ref="I4:L4"/>
    <mergeCell ref="U4:U5"/>
    <mergeCell ref="Q29:R29"/>
    <mergeCell ref="S29:T29"/>
    <mergeCell ref="M31:N31"/>
    <mergeCell ref="B34:E34"/>
    <mergeCell ref="I33:J33"/>
    <mergeCell ref="K33:L33"/>
    <mergeCell ref="I34:J34"/>
    <mergeCell ref="B33:E33"/>
    <mergeCell ref="B31:E31"/>
    <mergeCell ref="M34:N34"/>
    <mergeCell ref="O34:P34"/>
    <mergeCell ref="Q27:R27"/>
    <mergeCell ref="S27:T27"/>
    <mergeCell ref="Q28:R28"/>
    <mergeCell ref="S28:T28"/>
    <mergeCell ref="B14:B15"/>
    <mergeCell ref="M33:N33"/>
    <mergeCell ref="O33:P33"/>
    <mergeCell ref="M32:N32"/>
    <mergeCell ref="O32:P32"/>
    <mergeCell ref="B32:E32"/>
    <mergeCell ref="O31:P31"/>
    <mergeCell ref="B37:E37"/>
    <mergeCell ref="I37:J37"/>
    <mergeCell ref="K37:L37"/>
    <mergeCell ref="M37:N37"/>
    <mergeCell ref="O37:P37"/>
    <mergeCell ref="I30:J30"/>
    <mergeCell ref="K30:L30"/>
    <mergeCell ref="M27:N27"/>
    <mergeCell ref="O27:P27"/>
    <mergeCell ref="M28:N28"/>
    <mergeCell ref="B27:E27"/>
    <mergeCell ref="B28:E28"/>
    <mergeCell ref="I31:J31"/>
    <mergeCell ref="M29:N29"/>
    <mergeCell ref="K34:L34"/>
    <mergeCell ref="B36:E36"/>
    <mergeCell ref="I36:J36"/>
    <mergeCell ref="K36:L36"/>
    <mergeCell ref="I27:J27"/>
    <mergeCell ref="K27:L27"/>
    <mergeCell ref="I28:J28"/>
    <mergeCell ref="K28:L28"/>
    <mergeCell ref="O28:P28"/>
    <mergeCell ref="Q34:R34"/>
    <mergeCell ref="S34:T34"/>
    <mergeCell ref="Q35:R35"/>
    <mergeCell ref="S35:T35"/>
    <mergeCell ref="K35:L35"/>
    <mergeCell ref="M39:P39"/>
    <mergeCell ref="M40:P40"/>
    <mergeCell ref="M41:P41"/>
    <mergeCell ref="Q39:T39"/>
    <mergeCell ref="Q37:R37"/>
    <mergeCell ref="S37:T37"/>
    <mergeCell ref="Q36:R36"/>
    <mergeCell ref="W1:AA1"/>
    <mergeCell ref="W2:AA2"/>
    <mergeCell ref="W4:W5"/>
    <mergeCell ref="X4:AA5"/>
    <mergeCell ref="W6:W7"/>
    <mergeCell ref="X6:Y7"/>
    <mergeCell ref="Z6:AA6"/>
    <mergeCell ref="Z7:AA7"/>
    <mergeCell ref="W8:W9"/>
    <mergeCell ref="X8:Y9"/>
    <mergeCell ref="Z8:AA8"/>
    <mergeCell ref="Z9:AA9"/>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X16:Z17"/>
    <mergeCell ref="AA16:AA17"/>
    <mergeCell ref="X18:AA18"/>
    <mergeCell ref="X19:AA19"/>
    <mergeCell ref="X20:AA20"/>
    <mergeCell ref="X21:AA21"/>
    <mergeCell ref="W22:W23"/>
    <mergeCell ref="X22:AA23"/>
    <mergeCell ref="X35:AA35"/>
    <mergeCell ref="X36:AA36"/>
    <mergeCell ref="X37:AA37"/>
    <mergeCell ref="X39:AA39"/>
    <mergeCell ref="X40:AA40"/>
    <mergeCell ref="X41:AA41"/>
    <mergeCell ref="X24:AA25"/>
    <mergeCell ref="X27:AA27"/>
    <mergeCell ref="X28:AA28"/>
    <mergeCell ref="X29:AA29"/>
    <mergeCell ref="X30:AA30"/>
    <mergeCell ref="X31:AA31"/>
    <mergeCell ref="X32:AA32"/>
    <mergeCell ref="X33:AA33"/>
    <mergeCell ref="X34:AA34"/>
  </mergeCells>
  <phoneticPr fontId="6" type="noConversion"/>
  <conditionalFormatting sqref="I25 Q25 M25">
    <cfRule type="expression" dxfId="3155" priority="1333">
      <formula>I25&lt;1.8</formula>
    </cfRule>
    <cfRule type="expression" dxfId="3154" priority="1334">
      <formula>I25&gt;2.4</formula>
    </cfRule>
  </conditionalFormatting>
  <conditionalFormatting sqref="I24 Q24 M24">
    <cfRule type="expression" dxfId="3153" priority="1331">
      <formula>I24&lt;8</formula>
    </cfRule>
    <cfRule type="expression" dxfId="3152" priority="1332">
      <formula>I24&gt;16</formula>
    </cfRule>
  </conditionalFormatting>
  <conditionalFormatting sqref="I40 M40 Q40">
    <cfRule type="expression" dxfId="3151" priority="1273">
      <formula>I40&lt;30</formula>
    </cfRule>
    <cfRule type="expression" dxfId="3150" priority="1274">
      <formula>I40&gt;50</formula>
    </cfRule>
  </conditionalFormatting>
  <conditionalFormatting sqref="I41 M41 Q41">
    <cfRule type="expression" dxfId="3149" priority="1271">
      <formula>I41&lt;160</formula>
    </cfRule>
    <cfRule type="expression" dxfId="3148" priority="1272">
      <formula>I41&gt;220</formula>
    </cfRule>
  </conditionalFormatting>
  <conditionalFormatting sqref="I37 K37 M37 O37 Q37 S37">
    <cfRule type="expression" dxfId="3147" priority="1183">
      <formula>I37&lt;35</formula>
    </cfRule>
    <cfRule type="expression" dxfId="3146" priority="1184">
      <formula>I37&gt;45</formula>
    </cfRule>
  </conditionalFormatting>
  <conditionalFormatting sqref="K35 K28:K29 S35 S28:S29 O35 O28:O29 I28:I29 M28:M29 Q28:Q29">
    <cfRule type="cellIs" dxfId="3145" priority="569" operator="between">
      <formula>65</formula>
      <formula>66.9</formula>
    </cfRule>
    <cfRule type="cellIs" dxfId="3144" priority="570" operator="between">
      <formula>73.1</formula>
      <formula>75</formula>
    </cfRule>
    <cfRule type="expression" dxfId="3143" priority="571">
      <formula>I28&lt;65</formula>
    </cfRule>
    <cfRule type="expression" dxfId="3142" priority="572">
      <formula>I28&gt;75</formula>
    </cfRule>
  </conditionalFormatting>
  <conditionalFormatting sqref="K34 S34 O34 I34 M34 Q34">
    <cfRule type="cellIs" dxfId="3141" priority="561" operator="between">
      <formula>55</formula>
      <formula>56.9</formula>
    </cfRule>
    <cfRule type="cellIs" dxfId="3140" priority="562" operator="between">
      <formula>63.1</formula>
      <formula>65</formula>
    </cfRule>
    <cfRule type="expression" dxfId="3139" priority="563">
      <formula>I34&lt;55</formula>
    </cfRule>
    <cfRule type="expression" dxfId="3138" priority="564">
      <formula>I34&gt;65</formula>
    </cfRule>
  </conditionalFormatting>
  <conditionalFormatting sqref="K32 S32 O32 I32 M32 Q32">
    <cfRule type="expression" dxfId="3137" priority="559">
      <formula>I32&lt;24</formula>
    </cfRule>
    <cfRule type="expression" dxfId="3136" priority="560">
      <formula>I32&gt;26</formula>
    </cfRule>
  </conditionalFormatting>
  <conditionalFormatting sqref="K33 S33 O33 I33 M33 Q33">
    <cfRule type="expression" dxfId="3135" priority="553">
      <formula>I33&lt;34</formula>
    </cfRule>
    <cfRule type="expression" dxfId="3134" priority="554">
      <formula>I33&gt;36</formula>
    </cfRule>
  </conditionalFormatting>
  <conditionalFormatting sqref="I6 I8 M6 M8 Q6 Q8">
    <cfRule type="cellIs" dxfId="3133" priority="257" operator="between">
      <formula>40</formula>
      <formula>44.99</formula>
    </cfRule>
    <cfRule type="cellIs" dxfId="3132" priority="258" operator="between">
      <formula>55.1</formula>
      <formula>60</formula>
    </cfRule>
    <cfRule type="expression" dxfId="3131" priority="259">
      <formula>I6&lt;40</formula>
    </cfRule>
    <cfRule type="expression" dxfId="3130" priority="260">
      <formula>I6&gt;60</formula>
    </cfRule>
  </conditionalFormatting>
  <conditionalFormatting sqref="I10 I12 M10 M12 Q10 Q12">
    <cfRule type="cellIs" dxfId="3129" priority="249" operator="between">
      <formula>50</formula>
      <formula>54.99</formula>
    </cfRule>
    <cfRule type="cellIs" dxfId="3128" priority="250" operator="between">
      <formula>65.01</formula>
      <formula>70</formula>
    </cfRule>
    <cfRule type="expression" dxfId="3127" priority="251">
      <formula>I10&lt;50</formula>
    </cfRule>
    <cfRule type="expression" dxfId="3126" priority="252">
      <formula>I10&gt;70</formula>
    </cfRule>
  </conditionalFormatting>
  <conditionalFormatting sqref="I14 M14 Q14">
    <cfRule type="expression" dxfId="3125" priority="244" stopIfTrue="1">
      <formula>I14&lt;135</formula>
    </cfRule>
  </conditionalFormatting>
  <conditionalFormatting sqref="I14 M14 Q14">
    <cfRule type="expression" dxfId="3124" priority="243" stopIfTrue="1">
      <formula>I14&gt;145</formula>
    </cfRule>
  </conditionalFormatting>
  <conditionalFormatting sqref="I15 M15 Q15">
    <cfRule type="cellIs" dxfId="3123" priority="239" operator="between">
      <formula>6</formula>
      <formula>6.499</formula>
    </cfRule>
    <cfRule type="cellIs" dxfId="3122" priority="240" operator="between">
      <formula>7.51</formula>
      <formula>8</formula>
    </cfRule>
    <cfRule type="expression" dxfId="3121" priority="241">
      <formula>I15&lt;6</formula>
    </cfRule>
    <cfRule type="expression" dxfId="3120" priority="242">
      <formula>I15&gt;8</formula>
    </cfRule>
  </conditionalFormatting>
  <conditionalFormatting sqref="I16 M16 Q16">
    <cfRule type="cellIs" dxfId="3119" priority="235" operator="between">
      <formula>5</formula>
      <formula>5.499</formula>
    </cfRule>
    <cfRule type="cellIs" dxfId="3118" priority="236" operator="between">
      <formula>6.51</formula>
      <formula>8</formula>
    </cfRule>
    <cfRule type="expression" dxfId="3117" priority="237">
      <formula>I16&lt;5</formula>
    </cfRule>
    <cfRule type="expression" dxfId="3116" priority="238">
      <formula>I16&gt;8</formula>
    </cfRule>
  </conditionalFormatting>
  <conditionalFormatting sqref="I17 M17 Q17">
    <cfRule type="expression" dxfId="3115" priority="233">
      <formula>I17&lt;2</formula>
    </cfRule>
    <cfRule type="expression" dxfId="3114" priority="234">
      <formula>I17&gt;2.4</formula>
    </cfRule>
  </conditionalFormatting>
  <conditionalFormatting sqref="I18:I19 M18:M19 Q18:Q19">
    <cfRule type="expression" dxfId="3113" priority="231">
      <formula>I18&lt;40%</formula>
    </cfRule>
    <cfRule type="expression" dxfId="3112" priority="232">
      <formula>I18&gt;50%</formula>
    </cfRule>
  </conditionalFormatting>
  <conditionalFormatting sqref="I21 M21 Q21">
    <cfRule type="cellIs" dxfId="3111" priority="227" operator="between">
      <formula>0.5%</formula>
      <formula>0.599%</formula>
    </cfRule>
    <cfRule type="cellIs" dxfId="3110" priority="228" operator="between">
      <formula>1.41%</formula>
      <formula>1.5%</formula>
    </cfRule>
    <cfRule type="expression" dxfId="3109" priority="229">
      <formula>I21&lt;0.5%</formula>
    </cfRule>
    <cfRule type="expression" dxfId="3108" priority="230">
      <formula>I21&gt;1.5%</formula>
    </cfRule>
  </conditionalFormatting>
  <conditionalFormatting sqref="I20 M20 Q20">
    <cfRule type="cellIs" dxfId="3107" priority="223" operator="between">
      <formula>20%</formula>
      <formula>24.99%</formula>
    </cfRule>
    <cfRule type="cellIs" dxfId="3106" priority="224" operator="between">
      <formula>35.01%</formula>
      <formula>40%</formula>
    </cfRule>
    <cfRule type="expression" dxfId="3105" priority="225">
      <formula>I20&lt;20%</formula>
    </cfRule>
    <cfRule type="expression" dxfId="3104" priority="226">
      <formula>I20&gt;40%</formula>
    </cfRule>
  </conditionalFormatting>
  <conditionalFormatting sqref="I30:I31 K30:K31 M30:M31 O30:O31 Q30:Q31 S30:S31">
    <cfRule type="cellIs" dxfId="3103" priority="29" operator="between">
      <formula>60</formula>
      <formula>61.9</formula>
    </cfRule>
    <cfRule type="cellIs" dxfId="3102" priority="30" operator="between">
      <formula>68.1</formula>
      <formula>70</formula>
    </cfRule>
    <cfRule type="expression" dxfId="3101" priority="31">
      <formula>I30&lt;60</formula>
    </cfRule>
    <cfRule type="expression" dxfId="3100" priority="32">
      <formula>I30&gt;70</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tabColor theme="5" tint="0.39997558519241921"/>
  </sheetPr>
  <dimension ref="A1:AE41"/>
  <sheetViews>
    <sheetView zoomScale="55" zoomScaleNormal="55" workbookViewId="0">
      <selection activeCell="AN12" sqref="AN12"/>
    </sheetView>
  </sheetViews>
  <sheetFormatPr defaultRowHeight="16.5"/>
  <cols>
    <col min="1" max="1" width="5" style="8" customWidth="1"/>
    <col min="2" max="2" width="11.375" style="31" customWidth="1"/>
    <col min="3" max="3" width="8.125" style="31" customWidth="1"/>
    <col min="4" max="4" width="10.75" style="31" customWidth="1"/>
    <col min="5" max="5" width="3.25" style="31" customWidth="1"/>
    <col min="6" max="6" width="7.375" style="7" customWidth="1"/>
    <col min="7" max="7" width="16.375" style="7" customWidth="1"/>
    <col min="8" max="8" width="11" style="7" customWidth="1"/>
    <col min="9" max="9" width="10.5" style="7" customWidth="1"/>
    <col min="10" max="10" width="3.125" style="7" customWidth="1"/>
    <col min="11" max="11" width="9.375" style="7" customWidth="1"/>
    <col min="12" max="12" width="4" style="7" customWidth="1"/>
    <col min="13" max="13" width="8" style="7" hidden="1" customWidth="1"/>
    <col min="14" max="14" width="2.875" style="7" hidden="1" customWidth="1"/>
    <col min="15" max="15" width="7.5" style="7" hidden="1" customWidth="1"/>
    <col min="16" max="16" width="4.875" style="7" hidden="1" customWidth="1"/>
    <col min="17" max="17" width="11.5" style="7" customWidth="1"/>
    <col min="18" max="18" width="4.25" style="7" customWidth="1"/>
    <col min="19" max="19" width="8.375" style="7" customWidth="1"/>
    <col min="20" max="20" width="5.75" style="7" customWidth="1"/>
    <col min="21" max="21" width="16.125" style="8" customWidth="1"/>
    <col min="22" max="22" width="9" style="8"/>
    <col min="23" max="23" width="5" style="8" customWidth="1"/>
    <col min="24" max="24" width="12.625" style="31" customWidth="1"/>
    <col min="25" max="25" width="8.125" style="31" customWidth="1"/>
    <col min="26" max="26" width="10.75" style="31" customWidth="1"/>
    <col min="27" max="27" width="3.25" style="31" customWidth="1"/>
    <col min="28" max="31" width="28.5" style="8" customWidth="1"/>
    <col min="32" max="16384" width="9" style="8"/>
  </cols>
  <sheetData>
    <row r="1" spans="1:31" ht="28.5" customHeight="1">
      <c r="A1" s="2231" t="s">
        <v>151</v>
      </c>
      <c r="B1" s="2231"/>
      <c r="C1" s="2231"/>
      <c r="D1" s="2231"/>
      <c r="E1" s="2231"/>
      <c r="F1" s="2231"/>
      <c r="G1" s="2231"/>
      <c r="H1" s="2231"/>
      <c r="I1" s="2231"/>
      <c r="J1" s="2231"/>
      <c r="K1" s="2231"/>
      <c r="L1" s="2231"/>
      <c r="M1" s="2231"/>
      <c r="N1" s="2231"/>
      <c r="O1" s="2231"/>
      <c r="P1" s="2231"/>
      <c r="Q1" s="2231"/>
      <c r="R1" s="2231"/>
      <c r="S1" s="1767"/>
      <c r="T1" s="1767"/>
      <c r="U1" s="1803" t="s">
        <v>1527</v>
      </c>
      <c r="W1" s="2231"/>
      <c r="X1" s="2231"/>
      <c r="Y1" s="2231"/>
      <c r="Z1" s="2231"/>
      <c r="AA1" s="2231"/>
      <c r="AE1" s="1804" t="s">
        <v>1528</v>
      </c>
    </row>
    <row r="2" spans="1:31" ht="46.5" customHeight="1">
      <c r="A2" s="2232" t="s">
        <v>152</v>
      </c>
      <c r="B2" s="2232"/>
      <c r="C2" s="2232"/>
      <c r="D2" s="2232"/>
      <c r="E2" s="2232"/>
      <c r="F2" s="2232"/>
      <c r="G2" s="2232"/>
      <c r="H2" s="2232"/>
      <c r="I2" s="2232"/>
      <c r="J2" s="2232"/>
      <c r="K2" s="2232"/>
      <c r="L2" s="2232"/>
      <c r="M2" s="2232"/>
      <c r="N2" s="2232"/>
      <c r="O2" s="2232"/>
      <c r="P2" s="2232"/>
      <c r="Q2" s="2232"/>
      <c r="R2" s="2267"/>
      <c r="S2" s="2268" t="s">
        <v>96</v>
      </c>
      <c r="T2" s="2130"/>
      <c r="U2" s="1787" t="s">
        <v>1522</v>
      </c>
      <c r="W2" s="2232"/>
      <c r="X2" s="2232"/>
      <c r="Y2" s="2232"/>
      <c r="Z2" s="2232"/>
      <c r="AA2" s="2232"/>
    </row>
    <row r="3" spans="1:31" ht="32.25" customHeight="1">
      <c r="A3" s="9"/>
      <c r="B3" s="1701" t="s">
        <v>143</v>
      </c>
      <c r="C3" s="1702"/>
      <c r="D3" s="1641"/>
      <c r="E3" s="1642"/>
      <c r="F3" s="1640" t="str">
        <f>'1. XL-1E kh'!$G$3</f>
        <v>2023/03/21</v>
      </c>
      <c r="G3" s="1638"/>
      <c r="H3" s="1646"/>
      <c r="I3" s="28"/>
      <c r="J3" s="28"/>
      <c r="K3" s="28"/>
      <c r="L3" s="29"/>
      <c r="M3" s="29"/>
      <c r="N3" s="29"/>
      <c r="O3" s="29"/>
      <c r="P3" s="29"/>
      <c r="Q3" s="29"/>
      <c r="R3" s="29"/>
      <c r="S3" s="2269" t="str">
        <f>MENU!AD7</f>
        <v>L.Yen</v>
      </c>
      <c r="T3" s="2270"/>
      <c r="U3" s="1763"/>
      <c r="W3" s="9"/>
      <c r="X3" s="1701" t="s">
        <v>143</v>
      </c>
      <c r="Y3" s="1702"/>
      <c r="Z3" s="1641"/>
      <c r="AA3" s="1642"/>
      <c r="AB3" s="1805" t="str">
        <f>F3</f>
        <v>2023/03/21</v>
      </c>
      <c r="AC3" s="26"/>
    </row>
    <row r="4" spans="1:31" s="71" customFormat="1" ht="32.25" customHeight="1">
      <c r="A4" s="2271" t="s">
        <v>7</v>
      </c>
      <c r="B4" s="2272" t="s">
        <v>79</v>
      </c>
      <c r="C4" s="2273"/>
      <c r="D4" s="2273"/>
      <c r="E4" s="2274"/>
      <c r="F4" s="2278" t="s">
        <v>136</v>
      </c>
      <c r="G4" s="2125" t="s">
        <v>1424</v>
      </c>
      <c r="H4" s="2173" t="s">
        <v>1412</v>
      </c>
      <c r="I4" s="2128">
        <v>0.76041666666666663</v>
      </c>
      <c r="J4" s="2129"/>
      <c r="K4" s="2129"/>
      <c r="L4" s="2130"/>
      <c r="M4" s="2128">
        <v>0.92708333333333337</v>
      </c>
      <c r="N4" s="2129"/>
      <c r="O4" s="2129"/>
      <c r="P4" s="2130"/>
      <c r="Q4" s="2128">
        <v>9.375E-2</v>
      </c>
      <c r="R4" s="2129"/>
      <c r="S4" s="2129"/>
      <c r="T4" s="2130"/>
      <c r="U4" s="2208" t="s">
        <v>41</v>
      </c>
      <c r="W4" s="2271" t="s">
        <v>7</v>
      </c>
      <c r="X4" s="2272" t="s">
        <v>79</v>
      </c>
      <c r="Y4" s="2273"/>
      <c r="Z4" s="2273"/>
      <c r="AA4" s="2274"/>
      <c r="AB4" s="2128">
        <v>0.76041666666666663</v>
      </c>
      <c r="AC4" s="2332"/>
      <c r="AD4" s="2128">
        <v>9.375E-2</v>
      </c>
      <c r="AE4" s="2332"/>
    </row>
    <row r="5" spans="1:31" s="71" customFormat="1" ht="36" customHeight="1">
      <c r="A5" s="2271"/>
      <c r="B5" s="2275"/>
      <c r="C5" s="2276"/>
      <c r="D5" s="2276"/>
      <c r="E5" s="2277"/>
      <c r="F5" s="2279"/>
      <c r="G5" s="2126"/>
      <c r="H5" s="2174"/>
      <c r="I5" s="60" t="s">
        <v>145</v>
      </c>
      <c r="J5" s="2134" t="s">
        <v>1</v>
      </c>
      <c r="K5" s="2135"/>
      <c r="L5" s="2136"/>
      <c r="M5" s="60" t="s">
        <v>145</v>
      </c>
      <c r="N5" s="2134" t="s">
        <v>1</v>
      </c>
      <c r="O5" s="2135"/>
      <c r="P5" s="2136"/>
      <c r="Q5" s="60" t="s">
        <v>145</v>
      </c>
      <c r="R5" s="2134" t="s">
        <v>1</v>
      </c>
      <c r="S5" s="2135"/>
      <c r="T5" s="2136"/>
      <c r="U5" s="2209"/>
      <c r="W5" s="2271"/>
      <c r="X5" s="2275"/>
      <c r="Y5" s="2276"/>
      <c r="Z5" s="2276"/>
      <c r="AA5" s="2277"/>
      <c r="AB5" s="1881" t="s">
        <v>1537</v>
      </c>
      <c r="AC5" s="1873" t="s">
        <v>1538</v>
      </c>
      <c r="AD5" s="1881" t="s">
        <v>1537</v>
      </c>
      <c r="AE5" s="1873" t="s">
        <v>1538</v>
      </c>
    </row>
    <row r="6" spans="1:31" ht="36" customHeight="1">
      <c r="A6" s="2280">
        <v>1</v>
      </c>
      <c r="B6" s="2282" t="s">
        <v>154</v>
      </c>
      <c r="C6" s="2283"/>
      <c r="D6" s="2286" t="s">
        <v>258</v>
      </c>
      <c r="E6" s="2287"/>
      <c r="F6" s="1762" t="s">
        <v>4</v>
      </c>
      <c r="G6" s="1000" t="str">
        <f>'XM.GUI MAIL'!$E$68</f>
        <v>40~60</v>
      </c>
      <c r="H6" s="1000" t="str">
        <f>'XM.GUI MAIL'!$F$68</f>
        <v>(50±5)</v>
      </c>
      <c r="I6" s="1657">
        <f>'XM.GUI MAIL'!AA68</f>
        <v>0</v>
      </c>
      <c r="J6" s="62" t="s">
        <v>8</v>
      </c>
      <c r="K6" s="63">
        <f>'XM.GUI MAIL'!AD68</f>
        <v>0</v>
      </c>
      <c r="L6" s="64" t="s">
        <v>9</v>
      </c>
      <c r="M6" s="1657">
        <f>'XM.GUI MAIL'!AG68</f>
        <v>0</v>
      </c>
      <c r="N6" s="62" t="s">
        <v>8</v>
      </c>
      <c r="O6" s="63">
        <f>'XM.GUI MAIL'!AJ68</f>
        <v>0</v>
      </c>
      <c r="P6" s="64" t="s">
        <v>9</v>
      </c>
      <c r="Q6" s="1788">
        <f>'XM.GUI MAIL'!AM68</f>
        <v>0</v>
      </c>
      <c r="R6" s="72" t="s">
        <v>8</v>
      </c>
      <c r="S6" s="73">
        <f>'XM.GUI MAIL'!AP68</f>
        <v>0</v>
      </c>
      <c r="T6" s="30" t="s">
        <v>9</v>
      </c>
      <c r="U6" s="1765" t="s">
        <v>42</v>
      </c>
      <c r="W6" s="2280">
        <v>1</v>
      </c>
      <c r="X6" s="2282" t="s">
        <v>154</v>
      </c>
      <c r="Y6" s="2283"/>
      <c r="Z6" s="2286" t="s">
        <v>258</v>
      </c>
      <c r="AA6" s="2287"/>
      <c r="AB6" s="1872"/>
      <c r="AC6" s="1873"/>
      <c r="AD6" s="1872"/>
      <c r="AE6" s="1873"/>
    </row>
    <row r="7" spans="1:31" ht="36" customHeight="1">
      <c r="A7" s="2281"/>
      <c r="B7" s="2284"/>
      <c r="C7" s="2285"/>
      <c r="D7" s="2286" t="s">
        <v>259</v>
      </c>
      <c r="E7" s="2287"/>
      <c r="F7" s="1132"/>
      <c r="G7" s="1000" t="s">
        <v>1370</v>
      </c>
      <c r="H7" s="1000"/>
      <c r="I7" s="60"/>
      <c r="J7" s="62"/>
      <c r="K7" s="65">
        <f>K6/25*8.5</f>
        <v>0</v>
      </c>
      <c r="L7" s="64" t="s">
        <v>10</v>
      </c>
      <c r="M7" s="60"/>
      <c r="N7" s="62"/>
      <c r="O7" s="65">
        <f>O6/25*8.5</f>
        <v>0</v>
      </c>
      <c r="P7" s="64" t="s">
        <v>10</v>
      </c>
      <c r="Q7" s="60"/>
      <c r="R7" s="62"/>
      <c r="S7" s="65">
        <f>S6/25*8.5</f>
        <v>0</v>
      </c>
      <c r="T7" s="64" t="s">
        <v>10</v>
      </c>
      <c r="U7" s="1765"/>
      <c r="W7" s="2281"/>
      <c r="X7" s="2284"/>
      <c r="Y7" s="2285"/>
      <c r="Z7" s="2286" t="s">
        <v>259</v>
      </c>
      <c r="AA7" s="2287"/>
      <c r="AB7" s="1872"/>
      <c r="AC7" s="1873"/>
      <c r="AD7" s="1872"/>
      <c r="AE7" s="1873"/>
    </row>
    <row r="8" spans="1:31" ht="36" customHeight="1">
      <c r="A8" s="2280">
        <v>2</v>
      </c>
      <c r="B8" s="2282" t="s">
        <v>155</v>
      </c>
      <c r="C8" s="2283"/>
      <c r="D8" s="2286" t="s">
        <v>258</v>
      </c>
      <c r="E8" s="2287"/>
      <c r="F8" s="1762" t="s">
        <v>4</v>
      </c>
      <c r="G8" s="1000" t="str">
        <f>'XM.GUI MAIL'!$E$69</f>
        <v>40~60</v>
      </c>
      <c r="H8" s="1000" t="str">
        <f>'XM.GUI MAIL'!$F$69</f>
        <v>(50±5)</v>
      </c>
      <c r="I8" s="1657">
        <f>'XM.GUI MAIL'!AA69</f>
        <v>0</v>
      </c>
      <c r="J8" s="62" t="s">
        <v>8</v>
      </c>
      <c r="K8" s="63">
        <f>'XM.GUI MAIL'!AD69</f>
        <v>0</v>
      </c>
      <c r="L8" s="64" t="s">
        <v>9</v>
      </c>
      <c r="M8" s="1657">
        <f>'XM.GUI MAIL'!AG69</f>
        <v>0</v>
      </c>
      <c r="N8" s="62" t="s">
        <v>8</v>
      </c>
      <c r="O8" s="63">
        <f>'XM.GUI MAIL'!AJ69</f>
        <v>0</v>
      </c>
      <c r="P8" s="64" t="s">
        <v>9</v>
      </c>
      <c r="Q8" s="1788">
        <f>'XM.GUI MAIL'!AM69</f>
        <v>0</v>
      </c>
      <c r="R8" s="72" t="s">
        <v>8</v>
      </c>
      <c r="S8" s="73">
        <f>'XM.GUI MAIL'!AP69</f>
        <v>0</v>
      </c>
      <c r="T8" s="30" t="s">
        <v>9</v>
      </c>
      <c r="U8" s="1765" t="s">
        <v>42</v>
      </c>
      <c r="W8" s="2280">
        <v>2</v>
      </c>
      <c r="X8" s="2282" t="s">
        <v>155</v>
      </c>
      <c r="Y8" s="2283"/>
      <c r="Z8" s="2286" t="s">
        <v>258</v>
      </c>
      <c r="AA8" s="2287"/>
      <c r="AB8" s="1872"/>
      <c r="AC8" s="1873"/>
      <c r="AD8" s="1872"/>
      <c r="AE8" s="1873"/>
    </row>
    <row r="9" spans="1:31" ht="36" customHeight="1">
      <c r="A9" s="2281"/>
      <c r="B9" s="2284"/>
      <c r="C9" s="2285"/>
      <c r="D9" s="2286" t="s">
        <v>259</v>
      </c>
      <c r="E9" s="2287"/>
      <c r="F9" s="1132"/>
      <c r="G9" s="1000" t="s">
        <v>1370</v>
      </c>
      <c r="H9" s="1000"/>
      <c r="I9" s="60"/>
      <c r="J9" s="62"/>
      <c r="K9" s="65">
        <f>K8/25*8.5</f>
        <v>0</v>
      </c>
      <c r="L9" s="64" t="s">
        <v>10</v>
      </c>
      <c r="M9" s="60"/>
      <c r="N9" s="62"/>
      <c r="O9" s="65">
        <f>O8/25*8.5</f>
        <v>0</v>
      </c>
      <c r="P9" s="64" t="s">
        <v>10</v>
      </c>
      <c r="Q9" s="60"/>
      <c r="R9" s="62"/>
      <c r="S9" s="65">
        <f>S8/25*8.5</f>
        <v>0</v>
      </c>
      <c r="T9" s="64" t="s">
        <v>10</v>
      </c>
      <c r="U9" s="1765"/>
      <c r="W9" s="2281"/>
      <c r="X9" s="2284"/>
      <c r="Y9" s="2285"/>
      <c r="Z9" s="2286" t="s">
        <v>259</v>
      </c>
      <c r="AA9" s="2287"/>
      <c r="AB9" s="1872"/>
      <c r="AC9" s="1873"/>
      <c r="AD9" s="1872"/>
      <c r="AE9" s="1873"/>
    </row>
    <row r="10" spans="1:31" ht="36" customHeight="1">
      <c r="A10" s="2280">
        <v>3</v>
      </c>
      <c r="B10" s="2289" t="s">
        <v>156</v>
      </c>
      <c r="C10" s="2290"/>
      <c r="D10" s="2291" t="s">
        <v>260</v>
      </c>
      <c r="E10" s="2292" t="s">
        <v>260</v>
      </c>
      <c r="F10" s="1762" t="s">
        <v>4</v>
      </c>
      <c r="G10" s="1000" t="str">
        <f>'XM.GUI MAIL'!$E$70</f>
        <v>50~70</v>
      </c>
      <c r="H10" s="1000" t="str">
        <f>'XM.GUI MAIL'!$F$70</f>
        <v>(60±5)</v>
      </c>
      <c r="I10" s="1657">
        <f>'XM.GUI MAIL'!AA70</f>
        <v>0</v>
      </c>
      <c r="J10" s="62" t="s">
        <v>8</v>
      </c>
      <c r="K10" s="63">
        <f>'XM.GUI MAIL'!AD70</f>
        <v>0</v>
      </c>
      <c r="L10" s="64" t="s">
        <v>9</v>
      </c>
      <c r="M10" s="1657">
        <f>'XM.GUI MAIL'!AG70</f>
        <v>0</v>
      </c>
      <c r="N10" s="62" t="s">
        <v>8</v>
      </c>
      <c r="O10" s="63">
        <f>'XM.GUI MAIL'!AJ70</f>
        <v>0</v>
      </c>
      <c r="P10" s="64" t="s">
        <v>9</v>
      </c>
      <c r="Q10" s="1788">
        <f>'XM.GUI MAIL'!AM70</f>
        <v>0</v>
      </c>
      <c r="R10" s="62" t="s">
        <v>8</v>
      </c>
      <c r="S10" s="63">
        <f>'XM.GUI MAIL'!AP70</f>
        <v>0</v>
      </c>
      <c r="T10" s="64" t="s">
        <v>9</v>
      </c>
      <c r="U10" s="1765" t="s">
        <v>42</v>
      </c>
      <c r="W10" s="2280">
        <v>3</v>
      </c>
      <c r="X10" s="2289" t="s">
        <v>156</v>
      </c>
      <c r="Y10" s="2290"/>
      <c r="Z10" s="2291" t="s">
        <v>260</v>
      </c>
      <c r="AA10" s="2292" t="s">
        <v>260</v>
      </c>
      <c r="AB10" s="1872"/>
      <c r="AC10" s="1873"/>
      <c r="AD10" s="1872"/>
      <c r="AE10" s="1873"/>
    </row>
    <row r="11" spans="1:31" ht="36" customHeight="1">
      <c r="A11" s="2288"/>
      <c r="B11" s="2290"/>
      <c r="C11" s="2290"/>
      <c r="D11" s="2291" t="s">
        <v>261</v>
      </c>
      <c r="E11" s="2292" t="s">
        <v>261</v>
      </c>
      <c r="F11" s="1132"/>
      <c r="G11" s="1000" t="s">
        <v>1371</v>
      </c>
      <c r="H11" s="1000"/>
      <c r="I11" s="60"/>
      <c r="J11" s="62"/>
      <c r="K11" s="65">
        <f>K10/25*8</f>
        <v>0</v>
      </c>
      <c r="L11" s="64" t="s">
        <v>10</v>
      </c>
      <c r="M11" s="60"/>
      <c r="N11" s="62"/>
      <c r="O11" s="65">
        <f>O10/25*8</f>
        <v>0</v>
      </c>
      <c r="P11" s="64" t="s">
        <v>10</v>
      </c>
      <c r="Q11" s="60"/>
      <c r="R11" s="62"/>
      <c r="S11" s="65">
        <f>S10/25*8</f>
        <v>0</v>
      </c>
      <c r="T11" s="64" t="s">
        <v>10</v>
      </c>
      <c r="U11" s="1765"/>
      <c r="W11" s="2288"/>
      <c r="X11" s="2290"/>
      <c r="Y11" s="2290"/>
      <c r="Z11" s="2291" t="s">
        <v>261</v>
      </c>
      <c r="AA11" s="2292" t="s">
        <v>261</v>
      </c>
      <c r="AB11" s="1872"/>
      <c r="AC11" s="1873"/>
      <c r="AD11" s="1872"/>
      <c r="AE11" s="1873"/>
    </row>
    <row r="12" spans="1:31" ht="36" customHeight="1">
      <c r="A12" s="2280">
        <v>4</v>
      </c>
      <c r="B12" s="2289" t="s">
        <v>157</v>
      </c>
      <c r="C12" s="2290"/>
      <c r="D12" s="2291" t="s">
        <v>260</v>
      </c>
      <c r="E12" s="2292" t="s">
        <v>260</v>
      </c>
      <c r="F12" s="1762" t="s">
        <v>4</v>
      </c>
      <c r="G12" s="1000" t="str">
        <f>'XM.GUI MAIL'!$E$71</f>
        <v>50~70</v>
      </c>
      <c r="H12" s="1000" t="str">
        <f>'XM.GUI MAIL'!$F$71</f>
        <v>(60±5)</v>
      </c>
      <c r="I12" s="1657">
        <f>'XM.GUI MAIL'!AA71</f>
        <v>0</v>
      </c>
      <c r="J12" s="62" t="s">
        <v>8</v>
      </c>
      <c r="K12" s="63">
        <f>'XM.GUI MAIL'!AD71</f>
        <v>0</v>
      </c>
      <c r="L12" s="64" t="s">
        <v>9</v>
      </c>
      <c r="M12" s="1657">
        <f>'XM.GUI MAIL'!AG71</f>
        <v>0</v>
      </c>
      <c r="N12" s="62" t="s">
        <v>8</v>
      </c>
      <c r="O12" s="63">
        <f>'XM.GUI MAIL'!AJ71</f>
        <v>0</v>
      </c>
      <c r="P12" s="64" t="s">
        <v>9</v>
      </c>
      <c r="Q12" s="1788">
        <f>'XM.GUI MAIL'!AM71</f>
        <v>0</v>
      </c>
      <c r="R12" s="62" t="s">
        <v>8</v>
      </c>
      <c r="S12" s="63">
        <f>'XM.GUI MAIL'!AP71</f>
        <v>0</v>
      </c>
      <c r="T12" s="64" t="s">
        <v>9</v>
      </c>
      <c r="U12" s="1765" t="s">
        <v>42</v>
      </c>
      <c r="W12" s="2280">
        <v>4</v>
      </c>
      <c r="X12" s="2289" t="s">
        <v>157</v>
      </c>
      <c r="Y12" s="2290"/>
      <c r="Z12" s="2291" t="s">
        <v>260</v>
      </c>
      <c r="AA12" s="2292" t="s">
        <v>260</v>
      </c>
      <c r="AB12" s="1872"/>
      <c r="AC12" s="1873"/>
      <c r="AD12" s="1872"/>
      <c r="AE12" s="1873"/>
    </row>
    <row r="13" spans="1:31" ht="36" customHeight="1">
      <c r="A13" s="2288"/>
      <c r="B13" s="2290"/>
      <c r="C13" s="2290"/>
      <c r="D13" s="2291" t="s">
        <v>261</v>
      </c>
      <c r="E13" s="2292" t="s">
        <v>261</v>
      </c>
      <c r="F13" s="1132"/>
      <c r="G13" s="1000" t="s">
        <v>1371</v>
      </c>
      <c r="H13" s="1000"/>
      <c r="I13" s="60"/>
      <c r="J13" s="62"/>
      <c r="K13" s="65">
        <f>K12/25*8</f>
        <v>0</v>
      </c>
      <c r="L13" s="64" t="s">
        <v>10</v>
      </c>
      <c r="M13" s="60"/>
      <c r="N13" s="62"/>
      <c r="O13" s="65">
        <f>O12/25*8</f>
        <v>0</v>
      </c>
      <c r="P13" s="64" t="s">
        <v>10</v>
      </c>
      <c r="Q13" s="60"/>
      <c r="R13" s="62"/>
      <c r="S13" s="65">
        <f>S12/25*8</f>
        <v>0</v>
      </c>
      <c r="T13" s="64" t="s">
        <v>10</v>
      </c>
      <c r="U13" s="1765"/>
      <c r="W13" s="2288"/>
      <c r="X13" s="2290"/>
      <c r="Y13" s="2290"/>
      <c r="Z13" s="2291" t="s">
        <v>261</v>
      </c>
      <c r="AA13" s="2292" t="s">
        <v>261</v>
      </c>
      <c r="AB13" s="1872"/>
      <c r="AC13" s="1873"/>
      <c r="AD13" s="1872"/>
      <c r="AE13" s="1873"/>
    </row>
    <row r="14" spans="1:31" ht="36" customHeight="1">
      <c r="A14" s="2280">
        <v>5</v>
      </c>
      <c r="B14" s="2358" t="s">
        <v>121</v>
      </c>
      <c r="C14" s="2360" t="s">
        <v>21</v>
      </c>
      <c r="D14" s="2361"/>
      <c r="E14" s="2362"/>
      <c r="F14" s="1762" t="s">
        <v>4</v>
      </c>
      <c r="G14" s="1774" t="str">
        <f>'XM.GUI MAIL'!$E$72</f>
        <v>135~ 145</v>
      </c>
      <c r="H14" s="1774" t="str">
        <f>'XM.GUI MAIL'!$F$72</f>
        <v>(140±5)</v>
      </c>
      <c r="I14" s="88">
        <f>'XM.GUI MAIL'!AA72</f>
        <v>0</v>
      </c>
      <c r="J14" s="62" t="s">
        <v>8</v>
      </c>
      <c r="K14" s="63">
        <f>'XM.GUI MAIL'!AD72</f>
        <v>0</v>
      </c>
      <c r="L14" s="64" t="s">
        <v>9</v>
      </c>
      <c r="M14" s="88">
        <f>'XM.GUI MAIL'!AG72</f>
        <v>0</v>
      </c>
      <c r="N14" s="1199" t="s">
        <v>8</v>
      </c>
      <c r="O14" s="63">
        <f>'XM.GUI MAIL'!AJ72</f>
        <v>0</v>
      </c>
      <c r="P14" s="64" t="s">
        <v>9</v>
      </c>
      <c r="Q14" s="88">
        <f>'XM.GUI MAIL'!AM72</f>
        <v>0</v>
      </c>
      <c r="R14" s="62" t="s">
        <v>8</v>
      </c>
      <c r="S14" s="63">
        <f>'XM.GUI MAIL'!AP72</f>
        <v>0</v>
      </c>
      <c r="T14" s="64" t="s">
        <v>9</v>
      </c>
      <c r="U14" s="1765" t="s">
        <v>43</v>
      </c>
      <c r="W14" s="2280">
        <v>5</v>
      </c>
      <c r="X14" s="2358" t="s">
        <v>121</v>
      </c>
      <c r="Y14" s="2360" t="s">
        <v>21</v>
      </c>
      <c r="Z14" s="2361"/>
      <c r="AA14" s="2362"/>
      <c r="AB14" s="1872"/>
      <c r="AC14" s="1873"/>
      <c r="AD14" s="1872"/>
      <c r="AE14" s="1873"/>
    </row>
    <row r="15" spans="1:31" ht="36" customHeight="1">
      <c r="A15" s="2288"/>
      <c r="B15" s="2359"/>
      <c r="C15" s="2360" t="s">
        <v>22</v>
      </c>
      <c r="D15" s="2361"/>
      <c r="E15" s="2362"/>
      <c r="F15" s="1132"/>
      <c r="G15" s="1774" t="str">
        <f>'XM.GUI MAIL'!$E$73</f>
        <v>6~8</v>
      </c>
      <c r="H15" s="1774" t="str">
        <f>'XM.GUI MAIL'!$F$73</f>
        <v>(7±0.5)</v>
      </c>
      <c r="I15" s="664">
        <f>'XM.GUI MAIL'!AA73</f>
        <v>0</v>
      </c>
      <c r="J15" s="72" t="s">
        <v>8</v>
      </c>
      <c r="K15" s="905">
        <f>'XM.GUI MAIL'!AD73</f>
        <v>0</v>
      </c>
      <c r="L15" s="1201" t="s">
        <v>9</v>
      </c>
      <c r="M15" s="664">
        <f>'XM.GUI MAIL'!AG73</f>
        <v>0</v>
      </c>
      <c r="N15" s="904" t="s">
        <v>8</v>
      </c>
      <c r="O15" s="905">
        <f>'XM.GUI MAIL'!AJ73</f>
        <v>0</v>
      </c>
      <c r="P15" s="1201" t="s">
        <v>9</v>
      </c>
      <c r="Q15" s="1789">
        <f>'XM.GUI MAIL'!AM73</f>
        <v>0</v>
      </c>
      <c r="R15" s="72" t="s">
        <v>8</v>
      </c>
      <c r="S15" s="73">
        <f>'XM.GUI MAIL'!AP73</f>
        <v>0</v>
      </c>
      <c r="T15" s="122" t="s">
        <v>9</v>
      </c>
      <c r="U15" s="1765" t="s">
        <v>44</v>
      </c>
      <c r="W15" s="2288"/>
      <c r="X15" s="2359"/>
      <c r="Y15" s="2360" t="s">
        <v>22</v>
      </c>
      <c r="Z15" s="2361"/>
      <c r="AA15" s="2362"/>
      <c r="AB15" s="1872"/>
      <c r="AC15" s="1873"/>
      <c r="AD15" s="1872"/>
      <c r="AE15" s="1873"/>
    </row>
    <row r="16" spans="1:31" s="7" customFormat="1" ht="36" customHeight="1">
      <c r="A16" s="2280">
        <v>6</v>
      </c>
      <c r="B16" s="2352" t="s">
        <v>1237</v>
      </c>
      <c r="C16" s="2353"/>
      <c r="D16" s="2353"/>
      <c r="E16" s="2356"/>
      <c r="F16" s="87" t="s">
        <v>3</v>
      </c>
      <c r="G16" s="1774" t="str">
        <f>'XM.GUI MAIL'!$E$74</f>
        <v>5~8</v>
      </c>
      <c r="H16" s="1774" t="str">
        <f>'XM.GUI MAIL'!$F$74</f>
        <v>(6±0.5)</v>
      </c>
      <c r="I16" s="664">
        <f>'XM.GUI MAIL'!AA74</f>
        <v>-1.0461</v>
      </c>
      <c r="J16" s="62" t="s">
        <v>8</v>
      </c>
      <c r="K16" s="63">
        <f>'XM.GUI MAIL'!AD74</f>
        <v>0</v>
      </c>
      <c r="L16" s="64" t="s">
        <v>10</v>
      </c>
      <c r="M16" s="664">
        <f>'XM.GUI MAIL'!AG74</f>
        <v>-1.0461</v>
      </c>
      <c r="N16" s="1199" t="s">
        <v>8</v>
      </c>
      <c r="O16" s="63">
        <f>'XM.GUI MAIL'!AJ74</f>
        <v>0</v>
      </c>
      <c r="P16" s="64" t="s">
        <v>10</v>
      </c>
      <c r="Q16" s="1789">
        <f>'XM.GUI MAIL'!AM74</f>
        <v>-1.0461</v>
      </c>
      <c r="R16" s="72" t="s">
        <v>8</v>
      </c>
      <c r="S16" s="73">
        <f>'XM.GUI MAIL'!AP74</f>
        <v>0</v>
      </c>
      <c r="T16" s="30" t="s">
        <v>10</v>
      </c>
      <c r="U16" s="1765" t="s">
        <v>45</v>
      </c>
      <c r="W16" s="2280">
        <v>6</v>
      </c>
      <c r="X16" s="2352" t="s">
        <v>1237</v>
      </c>
      <c r="Y16" s="2353"/>
      <c r="Z16" s="2353"/>
      <c r="AA16" s="2356"/>
      <c r="AB16" s="1872"/>
      <c r="AC16" s="1873"/>
      <c r="AD16" s="1872"/>
      <c r="AE16" s="1873"/>
    </row>
    <row r="17" spans="1:31" ht="36" customHeight="1">
      <c r="A17" s="2288"/>
      <c r="B17" s="2354"/>
      <c r="C17" s="2355"/>
      <c r="D17" s="2355"/>
      <c r="E17" s="2357"/>
      <c r="F17" s="87" t="s">
        <v>5</v>
      </c>
      <c r="G17" s="1774" t="str">
        <f>'XM.GUI MAIL'!$E$75</f>
        <v>2.0~2.4</v>
      </c>
      <c r="H17" s="1774" t="str">
        <f>'XM.GUI MAIL'!$F$75</f>
        <v>(2.2±0.2 )</v>
      </c>
      <c r="I17" s="664">
        <f>'XM.GUI MAIL'!AA75</f>
        <v>0</v>
      </c>
      <c r="J17" s="904"/>
      <c r="K17" s="905"/>
      <c r="L17" s="1202"/>
      <c r="M17" s="664">
        <f>'XM.GUI MAIL'!AG75</f>
        <v>0</v>
      </c>
      <c r="N17" s="904"/>
      <c r="O17" s="905"/>
      <c r="P17" s="1202"/>
      <c r="Q17" s="1789">
        <f>'XM.GUI MAIL'!AM75</f>
        <v>0</v>
      </c>
      <c r="R17" s="72"/>
      <c r="S17" s="73"/>
      <c r="T17" s="30"/>
      <c r="U17" s="121"/>
      <c r="W17" s="2288"/>
      <c r="X17" s="2354"/>
      <c r="Y17" s="2355"/>
      <c r="Z17" s="2355"/>
      <c r="AA17" s="2357"/>
      <c r="AB17" s="1872"/>
      <c r="AC17" s="1873"/>
      <c r="AD17" s="1872"/>
      <c r="AE17" s="1873"/>
    </row>
    <row r="18" spans="1:31" ht="36" customHeight="1">
      <c r="A18" s="1770">
        <v>7</v>
      </c>
      <c r="B18" s="2300" t="s">
        <v>1036</v>
      </c>
      <c r="C18" s="2301"/>
      <c r="D18" s="2301"/>
      <c r="E18" s="2302"/>
      <c r="F18" s="87" t="s">
        <v>6</v>
      </c>
      <c r="G18" s="1134" t="str">
        <f>'XM.GUI MAIL'!$E$76</f>
        <v>40~50</v>
      </c>
      <c r="H18" s="1134" t="str">
        <f>'XM.GUI MAIL'!$F$76</f>
        <v>(45±5)</v>
      </c>
      <c r="I18" s="68">
        <f>'XM.GUI MAIL'!AA76</f>
        <v>0</v>
      </c>
      <c r="J18" s="72" t="s">
        <v>8</v>
      </c>
      <c r="K18" s="73">
        <f>'XM.GUI MAIL'!AD76</f>
        <v>0</v>
      </c>
      <c r="L18" s="30" t="s">
        <v>10</v>
      </c>
      <c r="M18" s="68">
        <f>'XM.GUI MAIL'!AG76</f>
        <v>0</v>
      </c>
      <c r="N18" s="72" t="s">
        <v>8</v>
      </c>
      <c r="O18" s="73">
        <f>'XM.GUI MAIL'!AJ76</f>
        <v>0</v>
      </c>
      <c r="P18" s="30" t="s">
        <v>10</v>
      </c>
      <c r="Q18" s="68">
        <f>'XM.GUI MAIL'!AM76</f>
        <v>0</v>
      </c>
      <c r="R18" s="72" t="s">
        <v>8</v>
      </c>
      <c r="S18" s="73">
        <f>'XM.GUI MAIL'!AP76</f>
        <v>0</v>
      </c>
      <c r="T18" s="30" t="s">
        <v>10</v>
      </c>
      <c r="U18" s="1765" t="s">
        <v>46</v>
      </c>
      <c r="W18" s="1780">
        <v>7</v>
      </c>
      <c r="X18" s="2300" t="s">
        <v>1036</v>
      </c>
      <c r="Y18" s="2301"/>
      <c r="Z18" s="2301"/>
      <c r="AA18" s="2302"/>
      <c r="AB18" s="1872"/>
      <c r="AC18" s="1873"/>
      <c r="AD18" s="1872"/>
      <c r="AE18" s="1873"/>
    </row>
    <row r="19" spans="1:31" ht="36" customHeight="1">
      <c r="A19" s="1770">
        <v>8</v>
      </c>
      <c r="B19" s="2300" t="s">
        <v>1037</v>
      </c>
      <c r="C19" s="2301"/>
      <c r="D19" s="2301"/>
      <c r="E19" s="2302"/>
      <c r="F19" s="87" t="s">
        <v>6</v>
      </c>
      <c r="G19" s="1134" t="str">
        <f>'XM.GUI MAIL'!$E$77</f>
        <v>40~50</v>
      </c>
      <c r="H19" s="1134" t="str">
        <f>'XM.GUI MAIL'!$F$77</f>
        <v>(45±5)</v>
      </c>
      <c r="I19" s="68">
        <f>'XM.GUI MAIL'!AA77</f>
        <v>0</v>
      </c>
      <c r="J19" s="72" t="s">
        <v>8</v>
      </c>
      <c r="K19" s="73">
        <f>'XM.GUI MAIL'!AD77</f>
        <v>0</v>
      </c>
      <c r="L19" s="30" t="s">
        <v>10</v>
      </c>
      <c r="M19" s="68">
        <f>'XM.GUI MAIL'!AG77</f>
        <v>0</v>
      </c>
      <c r="N19" s="72" t="s">
        <v>8</v>
      </c>
      <c r="O19" s="73">
        <f>'XM.GUI MAIL'!AJ77</f>
        <v>0</v>
      </c>
      <c r="P19" s="30" t="s">
        <v>10</v>
      </c>
      <c r="Q19" s="68">
        <f>'XM.GUI MAIL'!AM77</f>
        <v>0</v>
      </c>
      <c r="R19" s="72" t="s">
        <v>8</v>
      </c>
      <c r="S19" s="73">
        <f>'XM.GUI MAIL'!AP77</f>
        <v>0</v>
      </c>
      <c r="T19" s="30" t="s">
        <v>10</v>
      </c>
      <c r="U19" s="1135" t="s">
        <v>46</v>
      </c>
      <c r="W19" s="1780">
        <v>8</v>
      </c>
      <c r="X19" s="2300" t="s">
        <v>1037</v>
      </c>
      <c r="Y19" s="2301"/>
      <c r="Z19" s="2301"/>
      <c r="AA19" s="2302"/>
      <c r="AB19" s="1872"/>
      <c r="AC19" s="1873"/>
      <c r="AD19" s="1872"/>
      <c r="AE19" s="1873"/>
    </row>
    <row r="20" spans="1:31" ht="36" customHeight="1">
      <c r="A20" s="1770">
        <v>9</v>
      </c>
      <c r="B20" s="2293" t="s">
        <v>86</v>
      </c>
      <c r="C20" s="2294"/>
      <c r="D20" s="2294"/>
      <c r="E20" s="2295"/>
      <c r="F20" s="87" t="s">
        <v>6</v>
      </c>
      <c r="G20" s="1134" t="str">
        <f>'XM.GUI MAIL'!$E$78</f>
        <v>20~40</v>
      </c>
      <c r="H20" s="1134" t="str">
        <f>'XM.GUI MAIL'!$F$78</f>
        <v>(30±5)</v>
      </c>
      <c r="I20" s="337">
        <f>'XM.GUI MAIL'!AA78</f>
        <v>0</v>
      </c>
      <c r="J20" s="72" t="s">
        <v>8</v>
      </c>
      <c r="K20" s="73">
        <f>'XM.GUI MAIL'!AD78</f>
        <v>0</v>
      </c>
      <c r="L20" s="30" t="s">
        <v>10</v>
      </c>
      <c r="M20" s="337">
        <f>'XM.GUI MAIL'!AG78</f>
        <v>0</v>
      </c>
      <c r="N20" s="72" t="s">
        <v>8</v>
      </c>
      <c r="O20" s="73">
        <f>'XM.GUI MAIL'!AJ78</f>
        <v>0</v>
      </c>
      <c r="P20" s="30" t="s">
        <v>10</v>
      </c>
      <c r="Q20" s="68">
        <f>'XM.GUI MAIL'!AM78</f>
        <v>0</v>
      </c>
      <c r="R20" s="72" t="s">
        <v>8</v>
      </c>
      <c r="S20" s="73">
        <f>'XM.GUI MAIL'!AP78</f>
        <v>0</v>
      </c>
      <c r="T20" s="30" t="s">
        <v>10</v>
      </c>
      <c r="U20" s="1765" t="s">
        <v>47</v>
      </c>
      <c r="W20" s="1780">
        <v>9</v>
      </c>
      <c r="X20" s="2293" t="s">
        <v>86</v>
      </c>
      <c r="Y20" s="2294"/>
      <c r="Z20" s="2294"/>
      <c r="AA20" s="2295"/>
      <c r="AB20" s="1872"/>
      <c r="AC20" s="1873"/>
      <c r="AD20" s="1872"/>
      <c r="AE20" s="1873"/>
    </row>
    <row r="21" spans="1:31" ht="36" customHeight="1">
      <c r="A21" s="1770">
        <v>10</v>
      </c>
      <c r="B21" s="2293" t="s">
        <v>1038</v>
      </c>
      <c r="C21" s="2294" t="s">
        <v>1038</v>
      </c>
      <c r="D21" s="2294" t="s">
        <v>1038</v>
      </c>
      <c r="E21" s="2295" t="s">
        <v>1038</v>
      </c>
      <c r="F21" s="87" t="s">
        <v>6</v>
      </c>
      <c r="G21" s="1134" t="str">
        <f>'XM.GUI MAIL'!$E$79</f>
        <v>0.5~1.5</v>
      </c>
      <c r="H21" s="1134" t="str">
        <f>'XM.GUI MAIL'!$F$79</f>
        <v>(1±0.4)</v>
      </c>
      <c r="I21" s="340">
        <f>'XM.GUI MAIL'!AA79</f>
        <v>0</v>
      </c>
      <c r="J21" s="72" t="s">
        <v>8</v>
      </c>
      <c r="K21" s="76">
        <f>'XM.GUI MAIL'!AD79</f>
        <v>0</v>
      </c>
      <c r="L21" s="78" t="s">
        <v>10</v>
      </c>
      <c r="M21" s="340">
        <f>'XM.GUI MAIL'!AG79</f>
        <v>0</v>
      </c>
      <c r="N21" s="72" t="s">
        <v>8</v>
      </c>
      <c r="O21" s="76">
        <f>'XM.GUI MAIL'!AJ79</f>
        <v>0</v>
      </c>
      <c r="P21" s="78" t="s">
        <v>10</v>
      </c>
      <c r="Q21" s="69">
        <f>'XM.GUI MAIL'!AM79</f>
        <v>0</v>
      </c>
      <c r="R21" s="72" t="s">
        <v>8</v>
      </c>
      <c r="S21" s="76">
        <f>'XM.GUI MAIL'!AP79</f>
        <v>0</v>
      </c>
      <c r="T21" s="78" t="s">
        <v>10</v>
      </c>
      <c r="U21" s="1765" t="s">
        <v>47</v>
      </c>
      <c r="W21" s="1780">
        <v>10</v>
      </c>
      <c r="X21" s="2293" t="s">
        <v>1038</v>
      </c>
      <c r="Y21" s="2294" t="s">
        <v>1038</v>
      </c>
      <c r="Z21" s="2294" t="s">
        <v>1038</v>
      </c>
      <c r="AA21" s="2295" t="s">
        <v>1038</v>
      </c>
      <c r="AB21" s="1872"/>
      <c r="AC21" s="1873"/>
      <c r="AD21" s="1872"/>
      <c r="AE21" s="1873"/>
    </row>
    <row r="22" spans="1:31" s="19" customFormat="1" ht="31.5" customHeight="1">
      <c r="A22" s="2319">
        <v>11</v>
      </c>
      <c r="B22" s="2272" t="s">
        <v>77</v>
      </c>
      <c r="C22" s="2273"/>
      <c r="D22" s="2273"/>
      <c r="E22" s="2274"/>
      <c r="F22" s="2" t="s">
        <v>3</v>
      </c>
      <c r="G22" s="1000" t="str">
        <f>'XM.GUI MAIL'!$E$80</f>
        <v>3~9</v>
      </c>
      <c r="H22" s="1000" t="str">
        <f>'XM.GUI MAIL'!$F$80</f>
        <v>(6±1)</v>
      </c>
      <c r="I22" s="302" t="str">
        <f>'XM.GUI MAIL'!AA80</f>
        <v/>
      </c>
      <c r="J22" s="72" t="s">
        <v>8</v>
      </c>
      <c r="K22" s="73" t="str">
        <f>'XM.GUI MAIL'!AD80</f>
        <v/>
      </c>
      <c r="L22" s="78" t="s">
        <v>10</v>
      </c>
      <c r="M22" s="302" t="str">
        <f>'XM.GUI MAIL'!AG80</f>
        <v/>
      </c>
      <c r="N22" s="72" t="s">
        <v>8</v>
      </c>
      <c r="O22" s="73" t="str">
        <f>'XM.GUI MAIL'!AJ80</f>
        <v/>
      </c>
      <c r="P22" s="78" t="s">
        <v>10</v>
      </c>
      <c r="Q22" s="302" t="str">
        <f>'XM.GUI MAIL'!AM80</f>
        <v/>
      </c>
      <c r="R22" s="72" t="s">
        <v>8</v>
      </c>
      <c r="S22" s="73" t="str">
        <f>'XM.GUI MAIL'!AP80</f>
        <v/>
      </c>
      <c r="T22" s="78" t="s">
        <v>10</v>
      </c>
      <c r="U22" s="300"/>
      <c r="W22" s="2319">
        <v>11</v>
      </c>
      <c r="X22" s="2272" t="s">
        <v>77</v>
      </c>
      <c r="Y22" s="2273"/>
      <c r="Z22" s="2273"/>
      <c r="AA22" s="2274"/>
      <c r="AB22" s="1872"/>
      <c r="AC22" s="1873"/>
      <c r="AD22" s="1872"/>
      <c r="AE22" s="1873"/>
    </row>
    <row r="23" spans="1:31" s="19" customFormat="1" ht="31.5" customHeight="1">
      <c r="A23" s="2320"/>
      <c r="B23" s="2275"/>
      <c r="C23" s="2276"/>
      <c r="D23" s="2276"/>
      <c r="E23" s="2277"/>
      <c r="F23" s="2" t="s">
        <v>5</v>
      </c>
      <c r="G23" s="1000" t="str">
        <f>'XM.GUI MAIL'!$E$81</f>
        <v>1.8~2.4</v>
      </c>
      <c r="H23" s="1000" t="str">
        <f>'XM.GUI MAIL'!$F$81</f>
        <v>(2.0±0.1)</v>
      </c>
      <c r="I23" s="303">
        <f>'XM.GUI MAIL'!AA81</f>
        <v>0</v>
      </c>
      <c r="J23" s="72" t="s">
        <v>8</v>
      </c>
      <c r="K23" s="76">
        <f>'XM.GUI MAIL'!AD81</f>
        <v>0</v>
      </c>
      <c r="L23" s="78" t="s">
        <v>10</v>
      </c>
      <c r="M23" s="303">
        <f>'XM.GUI MAIL'!AG81</f>
        <v>0</v>
      </c>
      <c r="N23" s="72" t="s">
        <v>8</v>
      </c>
      <c r="O23" s="76">
        <f>'XM.GUI MAIL'!AJ81</f>
        <v>0</v>
      </c>
      <c r="P23" s="78" t="s">
        <v>10</v>
      </c>
      <c r="Q23" s="303">
        <f>'XM.GUI MAIL'!AM81</f>
        <v>0</v>
      </c>
      <c r="R23" s="72" t="s">
        <v>8</v>
      </c>
      <c r="S23" s="76">
        <f>'XM.GUI MAIL'!AP81</f>
        <v>0</v>
      </c>
      <c r="T23" s="78"/>
      <c r="U23" s="300"/>
      <c r="W23" s="2320"/>
      <c r="X23" s="2275"/>
      <c r="Y23" s="2276"/>
      <c r="Z23" s="2276"/>
      <c r="AA23" s="2277"/>
      <c r="AB23" s="1872"/>
      <c r="AC23" s="1873"/>
      <c r="AD23" s="1868"/>
      <c r="AE23" s="1874"/>
    </row>
    <row r="24" spans="1:31" s="19" customFormat="1" ht="32.25" hidden="1" customHeight="1">
      <c r="A24" s="1353"/>
      <c r="B24" s="2346" t="s">
        <v>1238</v>
      </c>
      <c r="C24" s="2347"/>
      <c r="D24" s="2347"/>
      <c r="E24" s="2348"/>
      <c r="F24" s="706" t="s">
        <v>3</v>
      </c>
      <c r="G24" s="1616" t="str">
        <f>'XM.GUI MAIL'!$E$82</f>
        <v>8~16 %</v>
      </c>
      <c r="H24" s="1616"/>
      <c r="I24" s="1342" t="str">
        <f>'XM.GUI MAIL'!AA82</f>
        <v/>
      </c>
      <c r="J24" s="1354" t="s">
        <v>8</v>
      </c>
      <c r="K24" s="1355" t="str">
        <f>'XM.GUI MAIL'!AD82</f>
        <v/>
      </c>
      <c r="L24" s="1359" t="s">
        <v>10</v>
      </c>
      <c r="M24" s="1342" t="str">
        <f>'XM.GUI MAIL'!AG82</f>
        <v/>
      </c>
      <c r="N24" s="1354" t="s">
        <v>8</v>
      </c>
      <c r="O24" s="1355" t="str">
        <f>'XM.GUI MAIL'!AJ82</f>
        <v/>
      </c>
      <c r="P24" s="1359" t="s">
        <v>10</v>
      </c>
      <c r="Q24" s="1342" t="str">
        <f>'XM.GUI MAIL'!AM82</f>
        <v/>
      </c>
      <c r="R24" s="1354" t="s">
        <v>8</v>
      </c>
      <c r="S24" s="1355" t="str">
        <f>'XM.GUI MAIL'!AP82</f>
        <v/>
      </c>
      <c r="T24" s="30"/>
      <c r="U24" s="121"/>
      <c r="W24" s="1353"/>
      <c r="X24" s="2346" t="s">
        <v>1238</v>
      </c>
      <c r="Y24" s="2347"/>
      <c r="Z24" s="2347"/>
      <c r="AA24" s="2348"/>
      <c r="AB24" s="1800"/>
      <c r="AC24" s="1800"/>
      <c r="AD24" s="8"/>
    </row>
    <row r="25" spans="1:31" s="19" customFormat="1" ht="32.25" hidden="1" customHeight="1">
      <c r="A25" s="1353"/>
      <c r="B25" s="2349"/>
      <c r="C25" s="2350"/>
      <c r="D25" s="2350"/>
      <c r="E25" s="2351"/>
      <c r="F25" s="706" t="s">
        <v>5</v>
      </c>
      <c r="G25" s="1616" t="str">
        <f>'XM.GUI MAIL'!$E$83</f>
        <v>1.8~2.4</v>
      </c>
      <c r="H25" s="1616"/>
      <c r="I25" s="1360">
        <f>'XM.GUI MAIL'!AA83</f>
        <v>0</v>
      </c>
      <c r="J25" s="1354" t="s">
        <v>8</v>
      </c>
      <c r="K25" s="1357"/>
      <c r="L25" s="1359" t="s">
        <v>10</v>
      </c>
      <c r="M25" s="1360">
        <f>'XM.GUI MAIL'!AG83</f>
        <v>0</v>
      </c>
      <c r="N25" s="1354" t="s">
        <v>8</v>
      </c>
      <c r="O25" s="1357"/>
      <c r="P25" s="1359" t="s">
        <v>10</v>
      </c>
      <c r="Q25" s="1360">
        <f>'XM.GUI MAIL'!AM83</f>
        <v>0</v>
      </c>
      <c r="R25" s="1354" t="s">
        <v>8</v>
      </c>
      <c r="S25" s="1357"/>
      <c r="T25" s="30"/>
      <c r="U25" s="121"/>
      <c r="W25" s="1353"/>
      <c r="X25" s="2349"/>
      <c r="Y25" s="2350"/>
      <c r="Z25" s="2350"/>
      <c r="AA25" s="2351"/>
      <c r="AB25" s="1800"/>
      <c r="AC25" s="1800"/>
      <c r="AD25" s="8"/>
    </row>
    <row r="26" spans="1:31" ht="34.5" customHeight="1">
      <c r="A26" s="1770"/>
      <c r="B26" s="278"/>
      <c r="C26" s="279"/>
      <c r="D26" s="279"/>
      <c r="E26" s="279"/>
      <c r="F26" s="279"/>
      <c r="G26" s="1653" t="s">
        <v>2</v>
      </c>
      <c r="H26" s="1106"/>
      <c r="I26" s="281"/>
      <c r="J26" s="279"/>
      <c r="K26" s="279"/>
      <c r="L26" s="279"/>
      <c r="M26" s="279"/>
      <c r="N26" s="279"/>
      <c r="O26" s="279"/>
      <c r="P26" s="279"/>
      <c r="Q26" s="279"/>
      <c r="R26" s="279"/>
      <c r="S26" s="279"/>
      <c r="T26" s="279"/>
      <c r="U26" s="280"/>
      <c r="W26" s="1780"/>
      <c r="X26" s="278"/>
      <c r="Y26" s="279"/>
      <c r="Z26" s="279"/>
      <c r="AA26" s="279"/>
      <c r="AB26" s="279"/>
      <c r="AC26" s="279"/>
    </row>
    <row r="27" spans="1:31" ht="48" customHeight="1">
      <c r="A27" s="1770" t="s">
        <v>7</v>
      </c>
      <c r="B27" s="2297" t="s">
        <v>23</v>
      </c>
      <c r="C27" s="2298"/>
      <c r="D27" s="2298"/>
      <c r="E27" s="2299"/>
      <c r="F27" s="85" t="s">
        <v>24</v>
      </c>
      <c r="G27" s="1094" t="s">
        <v>1424</v>
      </c>
      <c r="H27" s="1768" t="s">
        <v>1412</v>
      </c>
      <c r="I27" s="2229" t="s">
        <v>26</v>
      </c>
      <c r="J27" s="2230"/>
      <c r="K27" s="2229" t="s">
        <v>27</v>
      </c>
      <c r="L27" s="2230"/>
      <c r="M27" s="2229" t="s">
        <v>26</v>
      </c>
      <c r="N27" s="2230"/>
      <c r="O27" s="2229" t="s">
        <v>27</v>
      </c>
      <c r="P27" s="2230"/>
      <c r="Q27" s="2229" t="s">
        <v>26</v>
      </c>
      <c r="R27" s="2230"/>
      <c r="S27" s="2229" t="s">
        <v>27</v>
      </c>
      <c r="T27" s="2230"/>
      <c r="U27" s="10"/>
      <c r="W27" s="1780" t="s">
        <v>7</v>
      </c>
      <c r="X27" s="2297" t="s">
        <v>23</v>
      </c>
      <c r="Y27" s="2298"/>
      <c r="Z27" s="2298"/>
      <c r="AA27" s="2299"/>
      <c r="AB27" s="2268" t="s">
        <v>1526</v>
      </c>
      <c r="AC27" s="2130"/>
      <c r="AD27" s="2268" t="s">
        <v>1526</v>
      </c>
      <c r="AE27" s="2130"/>
    </row>
    <row r="28" spans="1:31" ht="39.75" customHeight="1">
      <c r="A28" s="1770">
        <v>1</v>
      </c>
      <c r="B28" s="2297" t="s">
        <v>36</v>
      </c>
      <c r="C28" s="2298"/>
      <c r="D28" s="2298"/>
      <c r="E28" s="2299"/>
      <c r="F28" s="11" t="s">
        <v>28</v>
      </c>
      <c r="G28" s="1136" t="str">
        <f>'XM.GUI MAIL'!$E$91</f>
        <v>65~75</v>
      </c>
      <c r="H28" s="1136" t="str">
        <f>'XM.GUI MAIL'!$F$91</f>
        <v>(70±3)</v>
      </c>
      <c r="I28" s="2088">
        <f>'XM.GUI MAIL'!AA91</f>
        <v>0</v>
      </c>
      <c r="J28" s="2089"/>
      <c r="K28" s="2088">
        <f>'XM.GUI MAIL'!AD91</f>
        <v>0</v>
      </c>
      <c r="L28" s="2089"/>
      <c r="M28" s="2088">
        <f>'XM.GUI MAIL'!AG91</f>
        <v>0</v>
      </c>
      <c r="N28" s="2089"/>
      <c r="O28" s="2088">
        <f>'XM.GUI MAIL'!AJ91</f>
        <v>0</v>
      </c>
      <c r="P28" s="2089"/>
      <c r="Q28" s="2088">
        <f>'XM.GUI MAIL'!AM91</f>
        <v>0</v>
      </c>
      <c r="R28" s="2089"/>
      <c r="S28" s="2088">
        <f>'XM.GUI MAIL'!AP91</f>
        <v>0</v>
      </c>
      <c r="T28" s="2089"/>
      <c r="U28" s="1770"/>
      <c r="W28" s="1780">
        <v>1</v>
      </c>
      <c r="X28" s="2297" t="s">
        <v>36</v>
      </c>
      <c r="Y28" s="2298"/>
      <c r="Z28" s="2298"/>
      <c r="AA28" s="2299"/>
      <c r="AB28" s="1872"/>
      <c r="AC28" s="1873"/>
      <c r="AD28" s="1872"/>
      <c r="AE28" s="1873"/>
    </row>
    <row r="29" spans="1:31" ht="39.75" customHeight="1">
      <c r="A29" s="1770">
        <v>2</v>
      </c>
      <c r="B29" s="2297" t="s">
        <v>37</v>
      </c>
      <c r="C29" s="2298"/>
      <c r="D29" s="2298"/>
      <c r="E29" s="2299"/>
      <c r="F29" s="11" t="s">
        <v>28</v>
      </c>
      <c r="G29" s="1136" t="str">
        <f>'XM.GUI MAIL'!$E$92</f>
        <v>65~75</v>
      </c>
      <c r="H29" s="1136" t="str">
        <f>'XM.GUI MAIL'!$F$92</f>
        <v>(70±3)</v>
      </c>
      <c r="I29" s="2088">
        <f>'XM.GUI MAIL'!AA92</f>
        <v>0</v>
      </c>
      <c r="J29" s="2089"/>
      <c r="K29" s="2088">
        <f>'XM.GUI MAIL'!AD92</f>
        <v>0</v>
      </c>
      <c r="L29" s="2089"/>
      <c r="M29" s="2088">
        <f>'XM.GUI MAIL'!AG92</f>
        <v>0</v>
      </c>
      <c r="N29" s="2089"/>
      <c r="O29" s="2088">
        <f>'XM.GUI MAIL'!AJ92</f>
        <v>0</v>
      </c>
      <c r="P29" s="2089"/>
      <c r="Q29" s="2088">
        <f>'XM.GUI MAIL'!AM92</f>
        <v>0</v>
      </c>
      <c r="R29" s="2089"/>
      <c r="S29" s="2088">
        <f>'XM.GUI MAIL'!AP92</f>
        <v>0</v>
      </c>
      <c r="T29" s="2089"/>
      <c r="U29" s="1770"/>
      <c r="W29" s="1780">
        <v>2</v>
      </c>
      <c r="X29" s="2297" t="s">
        <v>37</v>
      </c>
      <c r="Y29" s="2298"/>
      <c r="Z29" s="2298"/>
      <c r="AA29" s="2299"/>
      <c r="AB29" s="1872"/>
      <c r="AC29" s="1873"/>
      <c r="AD29" s="1872"/>
      <c r="AE29" s="1873"/>
    </row>
    <row r="30" spans="1:31" ht="39.75" customHeight="1">
      <c r="A30" s="1770">
        <v>3</v>
      </c>
      <c r="B30" s="2297" t="s">
        <v>29</v>
      </c>
      <c r="C30" s="2298"/>
      <c r="D30" s="2298"/>
      <c r="E30" s="2299"/>
      <c r="F30" s="11" t="s">
        <v>28</v>
      </c>
      <c r="G30" s="1136" t="str">
        <f>'XM.GUI MAIL'!$E$93</f>
        <v>60~70</v>
      </c>
      <c r="H30" s="1136" t="str">
        <f>'XM.GUI MAIL'!$F$93</f>
        <v>(65±3)</v>
      </c>
      <c r="I30" s="2088">
        <f>'XM.GUI MAIL'!AA93</f>
        <v>0</v>
      </c>
      <c r="J30" s="2089"/>
      <c r="K30" s="2088">
        <f>'XM.GUI MAIL'!AD93</f>
        <v>0</v>
      </c>
      <c r="L30" s="2089"/>
      <c r="M30" s="2088">
        <f>'XM.GUI MAIL'!AG93</f>
        <v>0</v>
      </c>
      <c r="N30" s="2089"/>
      <c r="O30" s="2088">
        <f>'XM.GUI MAIL'!AJ93</f>
        <v>0</v>
      </c>
      <c r="P30" s="2089"/>
      <c r="Q30" s="2088">
        <f>'XM.GUI MAIL'!AM93</f>
        <v>0</v>
      </c>
      <c r="R30" s="2089"/>
      <c r="S30" s="2088">
        <f>'XM.GUI MAIL'!AP93</f>
        <v>0</v>
      </c>
      <c r="T30" s="2089"/>
      <c r="U30" s="1770"/>
      <c r="W30" s="1780">
        <v>3</v>
      </c>
      <c r="X30" s="2297" t="s">
        <v>29</v>
      </c>
      <c r="Y30" s="2298"/>
      <c r="Z30" s="2298"/>
      <c r="AA30" s="2299"/>
      <c r="AB30" s="1872"/>
      <c r="AC30" s="1873"/>
      <c r="AD30" s="1872"/>
      <c r="AE30" s="1873"/>
    </row>
    <row r="31" spans="1:31" ht="39.75" customHeight="1">
      <c r="A31" s="1770">
        <v>4</v>
      </c>
      <c r="B31" s="2297" t="s">
        <v>30</v>
      </c>
      <c r="C31" s="2298"/>
      <c r="D31" s="2298"/>
      <c r="E31" s="2299"/>
      <c r="F31" s="11" t="s">
        <v>28</v>
      </c>
      <c r="G31" s="1136" t="str">
        <f>'XM.GUI MAIL'!$E$94</f>
        <v>60~70</v>
      </c>
      <c r="H31" s="1136" t="str">
        <f>'XM.GUI MAIL'!$F$94</f>
        <v>(65±3)</v>
      </c>
      <c r="I31" s="2088">
        <f>'XM.GUI MAIL'!AA94</f>
        <v>0</v>
      </c>
      <c r="J31" s="2089"/>
      <c r="K31" s="2088">
        <f>'XM.GUI MAIL'!AD94</f>
        <v>0</v>
      </c>
      <c r="L31" s="2089"/>
      <c r="M31" s="2088">
        <f>'XM.GUI MAIL'!AG94</f>
        <v>0</v>
      </c>
      <c r="N31" s="2089"/>
      <c r="O31" s="2088">
        <f>'XM.GUI MAIL'!AJ94</f>
        <v>0</v>
      </c>
      <c r="P31" s="2089"/>
      <c r="Q31" s="2088">
        <f>'XM.GUI MAIL'!AM94</f>
        <v>0</v>
      </c>
      <c r="R31" s="2089"/>
      <c r="S31" s="2088">
        <f>'XM.GUI MAIL'!AP94</f>
        <v>0</v>
      </c>
      <c r="T31" s="2089"/>
      <c r="U31" s="1770"/>
      <c r="W31" s="1780">
        <v>4</v>
      </c>
      <c r="X31" s="2297" t="s">
        <v>30</v>
      </c>
      <c r="Y31" s="2298"/>
      <c r="Z31" s="2298"/>
      <c r="AA31" s="2299"/>
      <c r="AB31" s="1872"/>
      <c r="AC31" s="1873"/>
      <c r="AD31" s="1872"/>
      <c r="AE31" s="1873"/>
    </row>
    <row r="32" spans="1:31" ht="39.75" customHeight="1">
      <c r="A32" s="1770">
        <v>5</v>
      </c>
      <c r="B32" s="2297" t="s">
        <v>31</v>
      </c>
      <c r="C32" s="2298"/>
      <c r="D32" s="2298"/>
      <c r="E32" s="2299"/>
      <c r="F32" s="11" t="s">
        <v>28</v>
      </c>
      <c r="G32" s="1136" t="str">
        <f>'XM.GUI MAIL'!$E$95</f>
        <v>24~26</v>
      </c>
      <c r="H32" s="1136" t="str">
        <f>'XM.GUI MAIL'!$F$95</f>
        <v>(25)</v>
      </c>
      <c r="I32" s="2119">
        <f>'XM.GUI MAIL'!AA95</f>
        <v>0</v>
      </c>
      <c r="J32" s="2120"/>
      <c r="K32" s="2119">
        <f>'XM.GUI MAIL'!AD95</f>
        <v>0</v>
      </c>
      <c r="L32" s="2120"/>
      <c r="M32" s="2119">
        <f>'XM.GUI MAIL'!AG95</f>
        <v>0</v>
      </c>
      <c r="N32" s="2120"/>
      <c r="O32" s="2119">
        <f>'XM.GUI MAIL'!AJ95</f>
        <v>0</v>
      </c>
      <c r="P32" s="2120"/>
      <c r="Q32" s="2119">
        <f>'XM.GUI MAIL'!AM95</f>
        <v>0</v>
      </c>
      <c r="R32" s="2120"/>
      <c r="S32" s="2119">
        <f>'XM.GUI MAIL'!AP95</f>
        <v>0</v>
      </c>
      <c r="T32" s="2120"/>
      <c r="U32" s="1770"/>
      <c r="W32" s="1780">
        <v>5</v>
      </c>
      <c r="X32" s="2297" t="s">
        <v>31</v>
      </c>
      <c r="Y32" s="2298"/>
      <c r="Z32" s="2298"/>
      <c r="AA32" s="2299"/>
      <c r="AB32" s="1872"/>
      <c r="AC32" s="1873"/>
      <c r="AD32" s="1872"/>
      <c r="AE32" s="1873"/>
    </row>
    <row r="33" spans="1:31" ht="39.75" customHeight="1">
      <c r="A33" s="1770">
        <v>6</v>
      </c>
      <c r="B33" s="2297" t="s">
        <v>1375</v>
      </c>
      <c r="C33" s="2298"/>
      <c r="D33" s="2298"/>
      <c r="E33" s="2299"/>
      <c r="F33" s="11" t="s">
        <v>28</v>
      </c>
      <c r="G33" s="1136" t="str">
        <f>'XM.GUI MAIL'!$E$96</f>
        <v>34~36</v>
      </c>
      <c r="H33" s="1136" t="str">
        <f>'XM.GUI MAIL'!$F$96</f>
        <v>(35±1)</v>
      </c>
      <c r="I33" s="2111">
        <f>'XM.GUI MAIL'!AA96</f>
        <v>0</v>
      </c>
      <c r="J33" s="2112"/>
      <c r="K33" s="2111">
        <f>'XM.GUI MAIL'!AD96</f>
        <v>0</v>
      </c>
      <c r="L33" s="2112"/>
      <c r="M33" s="2111">
        <f>'XM.GUI MAIL'!AG96</f>
        <v>0</v>
      </c>
      <c r="N33" s="2112"/>
      <c r="O33" s="2111">
        <f>'XM.GUI MAIL'!AJ96</f>
        <v>0</v>
      </c>
      <c r="P33" s="2112"/>
      <c r="Q33" s="2111">
        <f>'XM.GUI MAIL'!AM96</f>
        <v>0</v>
      </c>
      <c r="R33" s="2112"/>
      <c r="S33" s="2111">
        <f>'XM.GUI MAIL'!AP96</f>
        <v>0</v>
      </c>
      <c r="T33" s="2112"/>
      <c r="U33" s="1770"/>
      <c r="W33" s="1780">
        <v>6</v>
      </c>
      <c r="X33" s="2297" t="s">
        <v>1375</v>
      </c>
      <c r="Y33" s="2298"/>
      <c r="Z33" s="2298"/>
      <c r="AA33" s="2299"/>
      <c r="AB33" s="1872"/>
      <c r="AC33" s="1873"/>
      <c r="AD33" s="1872"/>
      <c r="AE33" s="1873"/>
    </row>
    <row r="34" spans="1:31" ht="39.75" customHeight="1">
      <c r="A34" s="1770">
        <v>7</v>
      </c>
      <c r="B34" s="2297" t="s">
        <v>33</v>
      </c>
      <c r="C34" s="2298"/>
      <c r="D34" s="2298"/>
      <c r="E34" s="2299"/>
      <c r="F34" s="11" t="s">
        <v>28</v>
      </c>
      <c r="G34" s="1136" t="str">
        <f>'XM.GUI MAIL'!$E$97</f>
        <v>55~65</v>
      </c>
      <c r="H34" s="1136" t="str">
        <f>'XM.GUI MAIL'!$F$97</f>
        <v>(60±3)</v>
      </c>
      <c r="I34" s="2088">
        <f>'XM.GUI MAIL'!AA97</f>
        <v>0</v>
      </c>
      <c r="J34" s="2089"/>
      <c r="K34" s="2088">
        <f>'XM.GUI MAIL'!AD97</f>
        <v>0</v>
      </c>
      <c r="L34" s="2089"/>
      <c r="M34" s="2088">
        <f>'XM.GUI MAIL'!AG97</f>
        <v>0</v>
      </c>
      <c r="N34" s="2089"/>
      <c r="O34" s="2088">
        <f>'XM.GUI MAIL'!AJ97</f>
        <v>0</v>
      </c>
      <c r="P34" s="2089"/>
      <c r="Q34" s="2088">
        <f>'XM.GUI MAIL'!AM97</f>
        <v>0</v>
      </c>
      <c r="R34" s="2089"/>
      <c r="S34" s="2088">
        <f>'XM.GUI MAIL'!AP97</f>
        <v>0</v>
      </c>
      <c r="T34" s="2089"/>
      <c r="U34" s="1770"/>
      <c r="W34" s="1780">
        <v>7</v>
      </c>
      <c r="X34" s="2297" t="s">
        <v>33</v>
      </c>
      <c r="Y34" s="2298"/>
      <c r="Z34" s="2298"/>
      <c r="AA34" s="2299"/>
      <c r="AB34" s="1872"/>
      <c r="AC34" s="1873"/>
      <c r="AD34" s="1872"/>
      <c r="AE34" s="1873"/>
    </row>
    <row r="35" spans="1:31" ht="39.75" customHeight="1">
      <c r="A35" s="1770">
        <v>8</v>
      </c>
      <c r="B35" s="2297" t="s">
        <v>34</v>
      </c>
      <c r="C35" s="2298"/>
      <c r="D35" s="2298"/>
      <c r="E35" s="2299"/>
      <c r="F35" s="11" t="s">
        <v>28</v>
      </c>
      <c r="G35" s="1136" t="str">
        <f>'XM.GUI MAIL'!$E$98</f>
        <v>65~75</v>
      </c>
      <c r="H35" s="1136" t="str">
        <f>'XM.GUI MAIL'!$F$98</f>
        <v>(70±3)</v>
      </c>
      <c r="I35" s="2229" t="s">
        <v>50</v>
      </c>
      <c r="J35" s="2230"/>
      <c r="K35" s="2088">
        <f>'XM.GUI MAIL'!AD98</f>
        <v>0</v>
      </c>
      <c r="L35" s="2089"/>
      <c r="M35" s="2229" t="s">
        <v>50</v>
      </c>
      <c r="N35" s="2230"/>
      <c r="O35" s="2088">
        <f>'XM.GUI MAIL'!AJ98</f>
        <v>0</v>
      </c>
      <c r="P35" s="2089"/>
      <c r="Q35" s="2229" t="s">
        <v>50</v>
      </c>
      <c r="R35" s="2230"/>
      <c r="S35" s="2088">
        <f>'XM.GUI MAIL'!AP98</f>
        <v>0</v>
      </c>
      <c r="T35" s="2089"/>
      <c r="U35" s="1770"/>
      <c r="W35" s="1780">
        <v>8</v>
      </c>
      <c r="X35" s="2297" t="s">
        <v>34</v>
      </c>
      <c r="Y35" s="2298"/>
      <c r="Z35" s="2298"/>
      <c r="AA35" s="2299"/>
      <c r="AB35" s="1872"/>
      <c r="AC35" s="1873"/>
      <c r="AD35" s="1872"/>
      <c r="AE35" s="1873"/>
    </row>
    <row r="36" spans="1:31" ht="39.75" customHeight="1">
      <c r="A36" s="1770">
        <v>9</v>
      </c>
      <c r="B36" s="2297" t="s">
        <v>1049</v>
      </c>
      <c r="C36" s="2298"/>
      <c r="D36" s="2298"/>
      <c r="E36" s="2299"/>
      <c r="F36" s="11" t="s">
        <v>28</v>
      </c>
      <c r="G36" s="1136" t="str">
        <f>'XM.GUI MAIL'!$E$101</f>
        <v>20~30</v>
      </c>
      <c r="H36" s="1136" t="str">
        <f>'XM.GUI MAIL'!$F$101</f>
        <v>20~30</v>
      </c>
      <c r="I36" s="2363">
        <f>'XM.GUI MAIL'!AA101</f>
        <v>0</v>
      </c>
      <c r="J36" s="2364"/>
      <c r="K36" s="2363">
        <f>'XM.GUI MAIL'!AD101</f>
        <v>0</v>
      </c>
      <c r="L36" s="2364"/>
      <c r="M36" s="2363"/>
      <c r="N36" s="2364"/>
      <c r="O36" s="2363"/>
      <c r="P36" s="2364"/>
      <c r="Q36" s="2363">
        <f>'XM.GUI MAIL'!AM101</f>
        <v>0</v>
      </c>
      <c r="R36" s="2364"/>
      <c r="S36" s="2363">
        <f>'XM.GUI MAIL'!AP101</f>
        <v>0</v>
      </c>
      <c r="T36" s="2364"/>
      <c r="U36" s="998"/>
      <c r="W36" s="1780">
        <v>9</v>
      </c>
      <c r="X36" s="2297" t="s">
        <v>1049</v>
      </c>
      <c r="Y36" s="2298"/>
      <c r="Z36" s="2298"/>
      <c r="AA36" s="2299"/>
      <c r="AB36" s="1872"/>
      <c r="AC36" s="1873"/>
      <c r="AD36" s="1868"/>
      <c r="AE36" s="1874"/>
    </row>
    <row r="37" spans="1:31" ht="32.25" hidden="1" customHeight="1">
      <c r="A37" s="1770"/>
      <c r="B37" s="2343" t="s">
        <v>1378</v>
      </c>
      <c r="C37" s="2344"/>
      <c r="D37" s="2344"/>
      <c r="E37" s="2345"/>
      <c r="F37" s="11" t="s">
        <v>28</v>
      </c>
      <c r="G37" s="1136" t="str">
        <f>'XM.GUI MAIL'!$E$102</f>
        <v>35~45</v>
      </c>
      <c r="H37" s="1650"/>
      <c r="I37" s="2091">
        <f>'XM.GUI MAIL'!AA102</f>
        <v>0</v>
      </c>
      <c r="J37" s="2092"/>
      <c r="K37" s="2091">
        <f>'XM.GUI MAIL'!AD102</f>
        <v>0</v>
      </c>
      <c r="L37" s="2092"/>
      <c r="M37" s="2091">
        <f>'XM.GUI MAIL'!AG102</f>
        <v>0</v>
      </c>
      <c r="N37" s="2092"/>
      <c r="O37" s="2091">
        <f>'XM.GUI MAIL'!AI102</f>
        <v>0</v>
      </c>
      <c r="P37" s="2092"/>
      <c r="Q37" s="2091">
        <f>'XM.GUI MAIL'!AM102</f>
        <v>0</v>
      </c>
      <c r="R37" s="2092"/>
      <c r="S37" s="2091">
        <f>'XM.GUI MAIL'!AP102</f>
        <v>0</v>
      </c>
      <c r="T37" s="2092"/>
      <c r="U37" s="998"/>
      <c r="W37" s="1780"/>
      <c r="X37" s="2343" t="s">
        <v>1378</v>
      </c>
      <c r="Y37" s="2344"/>
      <c r="Z37" s="2344"/>
      <c r="AA37" s="2345"/>
      <c r="AB37" s="1800"/>
      <c r="AC37" s="1800"/>
    </row>
    <row r="38" spans="1:31" ht="36" customHeight="1">
      <c r="A38" s="1770"/>
      <c r="B38" s="278"/>
      <c r="C38" s="279"/>
      <c r="D38" s="279"/>
      <c r="E38" s="279"/>
      <c r="F38" s="279"/>
      <c r="G38" s="1653" t="s">
        <v>250</v>
      </c>
      <c r="H38" s="1106"/>
      <c r="I38" s="281"/>
      <c r="J38" s="279"/>
      <c r="K38" s="279"/>
      <c r="L38" s="279"/>
      <c r="M38" s="279"/>
      <c r="N38" s="279"/>
      <c r="O38" s="279"/>
      <c r="P38" s="279"/>
      <c r="Q38" s="279"/>
      <c r="R38" s="279"/>
      <c r="S38" s="279"/>
      <c r="T38" s="279"/>
      <c r="U38" s="280"/>
      <c r="W38" s="1780"/>
      <c r="X38" s="278"/>
      <c r="Y38" s="279"/>
      <c r="Z38" s="279"/>
      <c r="AA38" s="279"/>
      <c r="AB38" s="279"/>
      <c r="AC38" s="279"/>
    </row>
    <row r="39" spans="1:31" ht="36.75" customHeight="1">
      <c r="A39" s="1770" t="s">
        <v>7</v>
      </c>
      <c r="B39" s="2297" t="s">
        <v>35</v>
      </c>
      <c r="C39" s="2298"/>
      <c r="D39" s="2298"/>
      <c r="E39" s="2299"/>
      <c r="F39" s="85" t="s">
        <v>20</v>
      </c>
      <c r="G39" s="1094" t="s">
        <v>1424</v>
      </c>
      <c r="H39" s="1768" t="s">
        <v>1412</v>
      </c>
      <c r="I39" s="2229" t="s">
        <v>158</v>
      </c>
      <c r="J39" s="2311"/>
      <c r="K39" s="2311"/>
      <c r="L39" s="2230"/>
      <c r="M39" s="2229" t="s">
        <v>158</v>
      </c>
      <c r="N39" s="2311"/>
      <c r="O39" s="2311"/>
      <c r="P39" s="2230"/>
      <c r="Q39" s="2229" t="s">
        <v>158</v>
      </c>
      <c r="R39" s="2311"/>
      <c r="S39" s="2311"/>
      <c r="T39" s="2230"/>
      <c r="U39" s="10"/>
      <c r="W39" s="1780" t="s">
        <v>7</v>
      </c>
      <c r="X39" s="2297" t="s">
        <v>35</v>
      </c>
      <c r="Y39" s="2298"/>
      <c r="Z39" s="2298"/>
      <c r="AA39" s="2299"/>
      <c r="AB39" s="2268" t="s">
        <v>1526</v>
      </c>
      <c r="AC39" s="2130"/>
      <c r="AD39" s="2268" t="s">
        <v>1526</v>
      </c>
      <c r="AE39" s="2130"/>
    </row>
    <row r="40" spans="1:31" ht="36.75" customHeight="1">
      <c r="A40" s="1770">
        <v>1</v>
      </c>
      <c r="B40" s="2234" t="s">
        <v>1190</v>
      </c>
      <c r="C40" s="2235"/>
      <c r="D40" s="2235"/>
      <c r="E40" s="2236"/>
      <c r="F40" s="87" t="s">
        <v>51</v>
      </c>
      <c r="G40" s="1774" t="str">
        <f>'XM.GUI MAIL'!$E$107</f>
        <v>30~50 
(40)</v>
      </c>
      <c r="H40" s="1774" t="str">
        <f>'XM.GUI MAIL'!$F$107</f>
        <v>30~50 
(40)</v>
      </c>
      <c r="I40" s="2119">
        <f>'XM.GUI MAIL'!AA107</f>
        <v>0</v>
      </c>
      <c r="J40" s="2120"/>
      <c r="K40" s="2120"/>
      <c r="L40" s="2120"/>
      <c r="M40" s="2119">
        <f>'XM.GUI MAIL'!AG107</f>
        <v>0</v>
      </c>
      <c r="N40" s="2120"/>
      <c r="O40" s="2120"/>
      <c r="P40" s="2120"/>
      <c r="Q40" s="2119">
        <f>'XM.GUI MAIL'!AM107</f>
        <v>0</v>
      </c>
      <c r="R40" s="2120"/>
      <c r="S40" s="2120"/>
      <c r="T40" s="2120"/>
      <c r="U40" s="1770"/>
      <c r="W40" s="1780">
        <v>1</v>
      </c>
      <c r="X40" s="2234" t="s">
        <v>1190</v>
      </c>
      <c r="Y40" s="2235"/>
      <c r="Z40" s="2235"/>
      <c r="AA40" s="2236"/>
      <c r="AB40" s="1872"/>
      <c r="AC40" s="1873"/>
      <c r="AD40" s="1872"/>
      <c r="AE40" s="1873"/>
    </row>
    <row r="41" spans="1:31" ht="36.75" customHeight="1">
      <c r="A41" s="1770">
        <v>2</v>
      </c>
      <c r="B41" s="2234" t="s">
        <v>253</v>
      </c>
      <c r="C41" s="2235"/>
      <c r="D41" s="2235"/>
      <c r="E41" s="2236"/>
      <c r="F41" s="87" t="s">
        <v>51</v>
      </c>
      <c r="G41" s="1774" t="str">
        <f>'XM.GUI MAIL'!$E$108</f>
        <v>160~220
(180)</v>
      </c>
      <c r="H41" s="1774" t="str">
        <f>'XM.GUI MAIL'!$F$108</f>
        <v>160~220
(180)</v>
      </c>
      <c r="I41" s="2119">
        <f>'XM.GUI MAIL'!AA108</f>
        <v>0</v>
      </c>
      <c r="J41" s="2120"/>
      <c r="K41" s="2120"/>
      <c r="L41" s="2120"/>
      <c r="M41" s="2119">
        <f>'XM.GUI MAIL'!AG108</f>
        <v>0</v>
      </c>
      <c r="N41" s="2120"/>
      <c r="O41" s="2120"/>
      <c r="P41" s="2120"/>
      <c r="Q41" s="2119">
        <f>'XM.GUI MAIL'!AM108</f>
        <v>0</v>
      </c>
      <c r="R41" s="2120"/>
      <c r="S41" s="2120"/>
      <c r="T41" s="2120"/>
      <c r="U41" s="1770"/>
      <c r="W41" s="1780">
        <v>2</v>
      </c>
      <c r="X41" s="2234" t="s">
        <v>253</v>
      </c>
      <c r="Y41" s="2235"/>
      <c r="Z41" s="2235"/>
      <c r="AA41" s="2236"/>
      <c r="AB41" s="1868"/>
      <c r="AC41" s="1874"/>
      <c r="AD41" s="1868"/>
      <c r="AE41" s="1874"/>
    </row>
  </sheetData>
  <sheetProtection selectLockedCells="1"/>
  <mergeCells count="189">
    <mergeCell ref="AB4:AC4"/>
    <mergeCell ref="AD4:AE4"/>
    <mergeCell ref="AB27:AC27"/>
    <mergeCell ref="AD27:AE27"/>
    <mergeCell ref="AB39:AC39"/>
    <mergeCell ref="AD39:AE39"/>
    <mergeCell ref="B41:E41"/>
    <mergeCell ref="I41:L41"/>
    <mergeCell ref="M41:P41"/>
    <mergeCell ref="Q41:T41"/>
    <mergeCell ref="B39:E39"/>
    <mergeCell ref="I39:L39"/>
    <mergeCell ref="M39:P39"/>
    <mergeCell ref="Q39:T39"/>
    <mergeCell ref="B40:E40"/>
    <mergeCell ref="I40:L40"/>
    <mergeCell ref="M40:P40"/>
    <mergeCell ref="Q40:T40"/>
    <mergeCell ref="S36:T36"/>
    <mergeCell ref="B37:E37"/>
    <mergeCell ref="I37:J37"/>
    <mergeCell ref="K37:L37"/>
    <mergeCell ref="M37:N37"/>
    <mergeCell ref="O37:P37"/>
    <mergeCell ref="Q37:R37"/>
    <mergeCell ref="S37:T37"/>
    <mergeCell ref="B36:E36"/>
    <mergeCell ref="I36:J36"/>
    <mergeCell ref="K36:L36"/>
    <mergeCell ref="M36:N36"/>
    <mergeCell ref="O36:P36"/>
    <mergeCell ref="Q36:R36"/>
    <mergeCell ref="S34:T34"/>
    <mergeCell ref="B35:E35"/>
    <mergeCell ref="I35:J35"/>
    <mergeCell ref="K35:L35"/>
    <mergeCell ref="M35:N35"/>
    <mergeCell ref="O35:P35"/>
    <mergeCell ref="Q35:R35"/>
    <mergeCell ref="S35:T35"/>
    <mergeCell ref="B34:E34"/>
    <mergeCell ref="I34:J34"/>
    <mergeCell ref="K34:L34"/>
    <mergeCell ref="M34:N34"/>
    <mergeCell ref="O34:P34"/>
    <mergeCell ref="Q34:R34"/>
    <mergeCell ref="S32:T32"/>
    <mergeCell ref="B33:E33"/>
    <mergeCell ref="I33:J33"/>
    <mergeCell ref="K33:L33"/>
    <mergeCell ref="M33:N33"/>
    <mergeCell ref="O33:P33"/>
    <mergeCell ref="Q33:R33"/>
    <mergeCell ref="S33:T33"/>
    <mergeCell ref="B32:E32"/>
    <mergeCell ref="I32:J32"/>
    <mergeCell ref="K32:L32"/>
    <mergeCell ref="M32:N32"/>
    <mergeCell ref="O32:P32"/>
    <mergeCell ref="Q32:R32"/>
    <mergeCell ref="B29:E29"/>
    <mergeCell ref="I29:J29"/>
    <mergeCell ref="K29:L29"/>
    <mergeCell ref="M29:N29"/>
    <mergeCell ref="O29:P29"/>
    <mergeCell ref="Q29:R29"/>
    <mergeCell ref="S29:T29"/>
    <mergeCell ref="S30:T30"/>
    <mergeCell ref="B31:E31"/>
    <mergeCell ref="I31:J31"/>
    <mergeCell ref="K31:L31"/>
    <mergeCell ref="M31:N31"/>
    <mergeCell ref="O31:P31"/>
    <mergeCell ref="Q31:R31"/>
    <mergeCell ref="S31:T31"/>
    <mergeCell ref="B30:E30"/>
    <mergeCell ref="I30:J30"/>
    <mergeCell ref="K30:L30"/>
    <mergeCell ref="M30:N30"/>
    <mergeCell ref="O30:P30"/>
    <mergeCell ref="Q30:R30"/>
    <mergeCell ref="K27:L27"/>
    <mergeCell ref="M27:N27"/>
    <mergeCell ref="O27:P27"/>
    <mergeCell ref="Q27:R27"/>
    <mergeCell ref="S27:T27"/>
    <mergeCell ref="B28:E28"/>
    <mergeCell ref="I28:J28"/>
    <mergeCell ref="K28:L28"/>
    <mergeCell ref="M28:N28"/>
    <mergeCell ref="O28:P28"/>
    <mergeCell ref="Q28:R28"/>
    <mergeCell ref="S28:T28"/>
    <mergeCell ref="B21:E21"/>
    <mergeCell ref="A22:A23"/>
    <mergeCell ref="B22:E23"/>
    <mergeCell ref="B24:E25"/>
    <mergeCell ref="B27:E27"/>
    <mergeCell ref="I27:J27"/>
    <mergeCell ref="A16:A17"/>
    <mergeCell ref="B16:D17"/>
    <mergeCell ref="E16:E17"/>
    <mergeCell ref="B18:E18"/>
    <mergeCell ref="B19:E19"/>
    <mergeCell ref="B20:E20"/>
    <mergeCell ref="A14:A15"/>
    <mergeCell ref="B14:B15"/>
    <mergeCell ref="C14:E14"/>
    <mergeCell ref="C15:E15"/>
    <mergeCell ref="A8:A9"/>
    <mergeCell ref="B8:C9"/>
    <mergeCell ref="D8:E8"/>
    <mergeCell ref="D9:E9"/>
    <mergeCell ref="A10:A11"/>
    <mergeCell ref="B10:C11"/>
    <mergeCell ref="D10:E10"/>
    <mergeCell ref="D11:E11"/>
    <mergeCell ref="A4:A5"/>
    <mergeCell ref="B4:E5"/>
    <mergeCell ref="F4:F5"/>
    <mergeCell ref="G4:G5"/>
    <mergeCell ref="H4:H5"/>
    <mergeCell ref="I4:L4"/>
    <mergeCell ref="M4:P4"/>
    <mergeCell ref="Q4:T4"/>
    <mergeCell ref="A12:A13"/>
    <mergeCell ref="B12:C13"/>
    <mergeCell ref="D12:E12"/>
    <mergeCell ref="D13:E13"/>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W10:W11"/>
    <mergeCell ref="X10:Y11"/>
    <mergeCell ref="Z10:AA10"/>
    <mergeCell ref="Z11:AA11"/>
    <mergeCell ref="W12:W13"/>
    <mergeCell ref="X12:Y13"/>
    <mergeCell ref="Z12:AA12"/>
    <mergeCell ref="Z13:AA13"/>
    <mergeCell ref="W14:W15"/>
    <mergeCell ref="X14:X15"/>
    <mergeCell ref="Y14:AA14"/>
    <mergeCell ref="Y15:AA15"/>
    <mergeCell ref="X29:AA29"/>
    <mergeCell ref="X30:AA30"/>
    <mergeCell ref="X24:AA25"/>
    <mergeCell ref="X27:AA27"/>
    <mergeCell ref="X28:AA28"/>
    <mergeCell ref="W16:W17"/>
    <mergeCell ref="X16:Z17"/>
    <mergeCell ref="AA16:AA17"/>
    <mergeCell ref="X18:AA18"/>
    <mergeCell ref="X19:AA19"/>
    <mergeCell ref="X20:AA20"/>
    <mergeCell ref="X21:AA21"/>
    <mergeCell ref="W22:W23"/>
    <mergeCell ref="X22:AA23"/>
    <mergeCell ref="X40:AA40"/>
    <mergeCell ref="X41:AA41"/>
    <mergeCell ref="X37:AA37"/>
    <mergeCell ref="X39:AA39"/>
    <mergeCell ref="X35:AA35"/>
    <mergeCell ref="X36:AA36"/>
    <mergeCell ref="X33:AA33"/>
    <mergeCell ref="X34:AA34"/>
    <mergeCell ref="X31:AA31"/>
    <mergeCell ref="X32:AA32"/>
  </mergeCells>
  <conditionalFormatting sqref="I25 Q25 M25">
    <cfRule type="expression" dxfId="3099" priority="733">
      <formula>I25&lt;1.8</formula>
    </cfRule>
    <cfRule type="expression" dxfId="3098" priority="734">
      <formula>I25&gt;2.4</formula>
    </cfRule>
  </conditionalFormatting>
  <conditionalFormatting sqref="I24 Q24 M24">
    <cfRule type="expression" dxfId="3097" priority="731">
      <formula>I24&lt;8</formula>
    </cfRule>
    <cfRule type="expression" dxfId="3096" priority="732">
      <formula>I24&gt;16</formula>
    </cfRule>
  </conditionalFormatting>
  <conditionalFormatting sqref="I40 M40 Q40">
    <cfRule type="expression" dxfId="3095" priority="729">
      <formula>I40&lt;30</formula>
    </cfRule>
    <cfRule type="expression" dxfId="3094" priority="730">
      <formula>I40&gt;50</formula>
    </cfRule>
  </conditionalFormatting>
  <conditionalFormatting sqref="I41 M41 Q41">
    <cfRule type="expression" dxfId="3093" priority="727">
      <formula>I41&lt;160</formula>
    </cfRule>
    <cfRule type="expression" dxfId="3092" priority="728">
      <formula>I41&gt;220</formula>
    </cfRule>
  </conditionalFormatting>
  <conditionalFormatting sqref="I37 K37 M37 O37 Q37 S37">
    <cfRule type="expression" dxfId="3091" priority="725">
      <formula>I37&lt;35</formula>
    </cfRule>
    <cfRule type="expression" dxfId="3090" priority="726">
      <formula>I37&gt;45</formula>
    </cfRule>
  </conditionalFormatting>
  <conditionalFormatting sqref="K35 K28:K29 S35 S28:S29 O35 O28:O29 I28:I29 M28:M29 Q28:Q29">
    <cfRule type="cellIs" dxfId="3089" priority="613" operator="between">
      <formula>65</formula>
      <formula>66.9</formula>
    </cfRule>
    <cfRule type="cellIs" dxfId="3088" priority="614" operator="between">
      <formula>73.1</formula>
      <formula>75</formula>
    </cfRule>
    <cfRule type="expression" dxfId="3087" priority="615">
      <formula>I28&lt;65</formula>
    </cfRule>
    <cfRule type="expression" dxfId="3086" priority="616">
      <formula>I28&gt;75</formula>
    </cfRule>
  </conditionalFormatting>
  <conditionalFormatting sqref="K34 S34 O34 I34 M34 Q34">
    <cfRule type="cellIs" dxfId="3085" priority="605" operator="between">
      <formula>55</formula>
      <formula>56.9</formula>
    </cfRule>
    <cfRule type="cellIs" dxfId="3084" priority="606" operator="between">
      <formula>63.1</formula>
      <formula>65</formula>
    </cfRule>
    <cfRule type="expression" dxfId="3083" priority="607">
      <formula>I34&lt;55</formula>
    </cfRule>
    <cfRule type="expression" dxfId="3082" priority="608">
      <formula>I34&gt;65</formula>
    </cfRule>
  </conditionalFormatting>
  <conditionalFormatting sqref="K32 S32 O32 I32 M32 Q32">
    <cfRule type="expression" dxfId="3081" priority="603">
      <formula>I32&lt;24</formula>
    </cfRule>
    <cfRule type="expression" dxfId="3080" priority="604">
      <formula>I32&gt;26</formula>
    </cfRule>
  </conditionalFormatting>
  <conditionalFormatting sqref="K33 S33 O33 I33 M33 Q33">
    <cfRule type="expression" dxfId="3079" priority="601">
      <formula>I33&lt;34</formula>
    </cfRule>
    <cfRule type="expression" dxfId="3078" priority="602">
      <formula>I33&gt;36</formula>
    </cfRule>
  </conditionalFormatting>
  <conditionalFormatting sqref="I6 I8 M6 M8 Q6 Q8">
    <cfRule type="cellIs" dxfId="3077" priority="391" operator="between">
      <formula>40</formula>
      <formula>44.99</formula>
    </cfRule>
    <cfRule type="cellIs" dxfId="3076" priority="392" operator="between">
      <formula>55.1</formula>
      <formula>60</formula>
    </cfRule>
    <cfRule type="expression" dxfId="3075" priority="393">
      <formula>I6&lt;40</formula>
    </cfRule>
    <cfRule type="expression" dxfId="3074" priority="394">
      <formula>I6&gt;60</formula>
    </cfRule>
  </conditionalFormatting>
  <conditionalFormatting sqref="I10 I12 M10 M12 Q10 Q12">
    <cfRule type="cellIs" dxfId="3073" priority="383" operator="between">
      <formula>50</formula>
      <formula>54.99</formula>
    </cfRule>
    <cfRule type="cellIs" dxfId="3072" priority="384" operator="between">
      <formula>65.01</formula>
      <formula>70</formula>
    </cfRule>
    <cfRule type="expression" dxfId="3071" priority="385">
      <formula>I10&lt;50</formula>
    </cfRule>
    <cfRule type="expression" dxfId="3070" priority="386">
      <formula>I10&gt;70</formula>
    </cfRule>
  </conditionalFormatting>
  <conditionalFormatting sqref="I14 M14 Q14">
    <cfRule type="expression" dxfId="3069" priority="378" stopIfTrue="1">
      <formula>I14&lt;135</formula>
    </cfRule>
  </conditionalFormatting>
  <conditionalFormatting sqref="I14 M14 Q14">
    <cfRule type="expression" dxfId="3068" priority="377" stopIfTrue="1">
      <formula>I14&gt;145</formula>
    </cfRule>
  </conditionalFormatting>
  <conditionalFormatting sqref="I15 M15 Q15">
    <cfRule type="cellIs" dxfId="3067" priority="373" operator="between">
      <formula>6</formula>
      <formula>6.499</formula>
    </cfRule>
    <cfRule type="cellIs" dxfId="3066" priority="374" operator="between">
      <formula>7.51</formula>
      <formula>8</formula>
    </cfRule>
    <cfRule type="expression" dxfId="3065" priority="375">
      <formula>I15&lt;6</formula>
    </cfRule>
    <cfRule type="expression" dxfId="3064" priority="376">
      <formula>I15&gt;8</formula>
    </cfRule>
  </conditionalFormatting>
  <conditionalFormatting sqref="I16 M16 Q16">
    <cfRule type="cellIs" dxfId="3063" priority="369" operator="between">
      <formula>5</formula>
      <formula>5.499</formula>
    </cfRule>
    <cfRule type="cellIs" dxfId="3062" priority="370" operator="between">
      <formula>6.51</formula>
      <formula>8</formula>
    </cfRule>
    <cfRule type="expression" dxfId="3061" priority="371">
      <formula>I16&lt;5</formula>
    </cfRule>
    <cfRule type="expression" dxfId="3060" priority="372">
      <formula>I16&gt;8</formula>
    </cfRule>
  </conditionalFormatting>
  <conditionalFormatting sqref="I17 M17 Q17">
    <cfRule type="expression" dxfId="3059" priority="367">
      <formula>I17&lt;2</formula>
    </cfRule>
    <cfRule type="expression" dxfId="3058" priority="368">
      <formula>I17&gt;2.4</formula>
    </cfRule>
  </conditionalFormatting>
  <conditionalFormatting sqref="I18:I19 M18:M19 Q18:Q19">
    <cfRule type="expression" dxfId="3057" priority="365">
      <formula>I18&lt;40%</formula>
    </cfRule>
    <cfRule type="expression" dxfId="3056" priority="366">
      <formula>I18&gt;50%</formula>
    </cfRule>
  </conditionalFormatting>
  <conditionalFormatting sqref="I21 M21 Q21">
    <cfRule type="cellIs" dxfId="3055" priority="361" operator="between">
      <formula>0.5%</formula>
      <formula>0.599%</formula>
    </cfRule>
    <cfRule type="cellIs" dxfId="3054" priority="362" operator="between">
      <formula>1.41%</formula>
      <formula>1.5%</formula>
    </cfRule>
    <cfRule type="expression" dxfId="3053" priority="363">
      <formula>I21&lt;0.5%</formula>
    </cfRule>
    <cfRule type="expression" dxfId="3052" priority="364">
      <formula>I21&gt;1.5%</formula>
    </cfRule>
  </conditionalFormatting>
  <conditionalFormatting sqref="I20 M20 Q20">
    <cfRule type="cellIs" dxfId="3051" priority="357" operator="between">
      <formula>20%</formula>
      <formula>24.99%</formula>
    </cfRule>
    <cfRule type="cellIs" dxfId="3050" priority="358" operator="between">
      <formula>35.01%</formula>
      <formula>40%</formula>
    </cfRule>
    <cfRule type="expression" dxfId="3049" priority="359">
      <formula>I20&lt;20%</formula>
    </cfRule>
    <cfRule type="expression" dxfId="3048" priority="360">
      <formula>I20&gt;40%</formula>
    </cfRule>
  </conditionalFormatting>
  <conditionalFormatting sqref="I30:I31 K30:K31 M30:M31 O30:O31 Q30:Q31 S30:S31">
    <cfRule type="cellIs" dxfId="3047" priority="277" operator="between">
      <formula>60</formula>
      <formula>61.9</formula>
    </cfRule>
    <cfRule type="cellIs" dxfId="3046" priority="278" operator="between">
      <formula>68.1</formula>
      <formula>70</formula>
    </cfRule>
    <cfRule type="expression" dxfId="3045" priority="279">
      <formula>I30&lt;60</formula>
    </cfRule>
    <cfRule type="expression" dxfId="3044" priority="280">
      <formula>I30&gt;70</formula>
    </cfRule>
  </conditionalFormatting>
  <pageMargins left="0.6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3.xml><?xml version="1.0" encoding="utf-8"?>
<worksheet xmlns="http://schemas.openxmlformats.org/spreadsheetml/2006/main" xmlns:r="http://schemas.openxmlformats.org/officeDocument/2006/relationships">
  <sheetPr>
    <tabColor rgb="FFFF0000"/>
  </sheetPr>
  <dimension ref="A1:R14"/>
  <sheetViews>
    <sheetView zoomScale="70" zoomScaleNormal="70" workbookViewId="0">
      <selection activeCell="I11" sqref="I11:P13"/>
    </sheetView>
  </sheetViews>
  <sheetFormatPr defaultRowHeight="16.5"/>
  <cols>
    <col min="1" max="1" width="5" style="8" customWidth="1"/>
    <col min="2" max="2" width="11.75" style="31" customWidth="1"/>
    <col min="3" max="3" width="5.75" style="31" customWidth="1"/>
    <col min="4" max="4" width="5.875" style="31" customWidth="1"/>
    <col min="5" max="5" width="2.75" style="31" customWidth="1"/>
    <col min="6" max="6" width="6.625" style="7" customWidth="1"/>
    <col min="7" max="7" width="9" style="7" customWidth="1"/>
    <col min="8" max="8" width="9.75" style="7" customWidth="1"/>
    <col min="9" max="9" width="9.25" style="7" customWidth="1"/>
    <col min="10" max="10" width="3.125" style="7" customWidth="1"/>
    <col min="11" max="11" width="8.375" style="7" customWidth="1"/>
    <col min="12" max="12" width="4" style="7" customWidth="1"/>
    <col min="13" max="13" width="8.375" style="7" customWidth="1"/>
    <col min="14" max="14" width="4.25" style="7" customWidth="1"/>
    <col min="15" max="15" width="7.875" style="7" customWidth="1"/>
    <col min="16" max="16" width="4.875" style="7" customWidth="1"/>
    <col min="17" max="17" width="20.875" style="7" customWidth="1"/>
    <col min="18" max="18" width="20.875" style="8" customWidth="1"/>
    <col min="19" max="19" width="14.375" style="8" customWidth="1"/>
    <col min="20" max="16384" width="9" style="8"/>
  </cols>
  <sheetData>
    <row r="1" spans="1:18" ht="28.5" customHeight="1">
      <c r="A1" s="2231" t="s">
        <v>151</v>
      </c>
      <c r="B1" s="2231"/>
      <c r="C1" s="2231"/>
      <c r="D1" s="2231"/>
      <c r="E1" s="2231"/>
      <c r="F1" s="2231"/>
      <c r="G1" s="2231"/>
      <c r="H1" s="2231"/>
      <c r="I1" s="2231"/>
      <c r="J1" s="2231"/>
      <c r="K1" s="2231"/>
      <c r="L1" s="2231"/>
      <c r="M1" s="2231"/>
      <c r="N1" s="2231"/>
      <c r="O1" s="2231"/>
      <c r="P1" s="2231"/>
      <c r="Q1" s="1793"/>
      <c r="R1" s="70"/>
    </row>
    <row r="2" spans="1:18" ht="51.75" customHeight="1">
      <c r="A2" s="2232" t="s">
        <v>1051</v>
      </c>
      <c r="B2" s="2232"/>
      <c r="C2" s="2232"/>
      <c r="D2" s="2232"/>
      <c r="E2" s="2232"/>
      <c r="F2" s="2232"/>
      <c r="G2" s="2232"/>
      <c r="H2" s="2232"/>
      <c r="I2" s="2232"/>
      <c r="J2" s="2232"/>
      <c r="K2" s="2232"/>
      <c r="L2" s="2232"/>
      <c r="M2" s="2232"/>
      <c r="N2" s="2232"/>
      <c r="O2" s="2232"/>
      <c r="P2" s="2267"/>
      <c r="Q2" s="1796" t="s">
        <v>96</v>
      </c>
      <c r="R2" s="1787" t="s">
        <v>1522</v>
      </c>
    </row>
    <row r="3" spans="1:18" ht="34.5" customHeight="1">
      <c r="A3" s="9"/>
      <c r="B3" s="1703" t="s">
        <v>143</v>
      </c>
      <c r="C3" s="1654"/>
      <c r="D3" s="1654"/>
      <c r="E3" s="1654"/>
      <c r="F3" s="1655"/>
      <c r="G3" s="1656" t="str">
        <f>'1. XL-1E kh'!$G$3</f>
        <v>2023/03/21</v>
      </c>
      <c r="H3" s="1646"/>
      <c r="I3" s="28"/>
      <c r="J3" s="28"/>
      <c r="K3" s="28"/>
      <c r="L3" s="29"/>
      <c r="M3" s="29"/>
      <c r="N3" s="29"/>
      <c r="Q3" s="443" t="str">
        <f>'3.XT-C TT'!S3</f>
        <v>Trang</v>
      </c>
      <c r="R3" s="1791"/>
    </row>
    <row r="4" spans="1:18" s="71" customFormat="1" ht="41.25" customHeight="1">
      <c r="A4" s="2271" t="s">
        <v>7</v>
      </c>
      <c r="B4" s="2272" t="s">
        <v>79</v>
      </c>
      <c r="C4" s="2273"/>
      <c r="D4" s="2273"/>
      <c r="E4" s="2274"/>
      <c r="F4" s="2278" t="s">
        <v>136</v>
      </c>
      <c r="G4" s="2125" t="s">
        <v>1424</v>
      </c>
      <c r="H4" s="2173" t="s">
        <v>1412</v>
      </c>
      <c r="I4" s="2128">
        <v>0.26041666666666669</v>
      </c>
      <c r="J4" s="2129"/>
      <c r="K4" s="2129"/>
      <c r="L4" s="2130"/>
      <c r="M4" s="2128">
        <v>0.59375</v>
      </c>
      <c r="N4" s="2129"/>
      <c r="O4" s="2129"/>
      <c r="P4" s="2130"/>
      <c r="Q4" s="1810">
        <v>0.26041666666666669</v>
      </c>
      <c r="R4" s="1811">
        <v>0.59375</v>
      </c>
    </row>
    <row r="5" spans="1:18" s="71" customFormat="1" ht="35.25" customHeight="1">
      <c r="A5" s="2271"/>
      <c r="B5" s="2275"/>
      <c r="C5" s="2276"/>
      <c r="D5" s="2276"/>
      <c r="E5" s="2277"/>
      <c r="F5" s="2279"/>
      <c r="G5" s="2126"/>
      <c r="H5" s="2174"/>
      <c r="I5" s="60" t="s">
        <v>145</v>
      </c>
      <c r="J5" s="2134" t="s">
        <v>1</v>
      </c>
      <c r="K5" s="2135"/>
      <c r="L5" s="2136"/>
      <c r="M5" s="60" t="s">
        <v>145</v>
      </c>
      <c r="N5" s="2134" t="s">
        <v>1</v>
      </c>
      <c r="O5" s="2135"/>
      <c r="P5" s="2136"/>
      <c r="Q5" s="1800" t="s">
        <v>1526</v>
      </c>
      <c r="R5" s="1800" t="s">
        <v>1526</v>
      </c>
    </row>
    <row r="6" spans="1:18" ht="36.75" customHeight="1">
      <c r="A6" s="1809">
        <v>1</v>
      </c>
      <c r="B6" s="2303" t="s">
        <v>133</v>
      </c>
      <c r="C6" s="2304"/>
      <c r="D6" s="2309" t="s">
        <v>124</v>
      </c>
      <c r="E6" s="2310"/>
      <c r="F6" s="604" t="s">
        <v>4</v>
      </c>
      <c r="G6" s="1000" t="str">
        <f>'XM.GUI MAIL'!$E$84</f>
        <v>5~6</v>
      </c>
      <c r="H6" s="1000" t="str">
        <f>'XM.GUI MAIL'!$F$84</f>
        <v>(5.5± 0.5L)</v>
      </c>
      <c r="I6" s="61" t="str">
        <f>'XM.GUI MAIL'!I84</f>
        <v/>
      </c>
      <c r="J6" s="904" t="s">
        <v>8</v>
      </c>
      <c r="K6" s="905" t="str">
        <f>'XM.GUI MAIL'!L84</f>
        <v/>
      </c>
      <c r="L6" s="77" t="s">
        <v>9</v>
      </c>
      <c r="M6" s="61" t="str">
        <f>'XM.GUI MAIL'!U84</f>
        <v/>
      </c>
      <c r="N6" s="72" t="s">
        <v>8</v>
      </c>
      <c r="O6" s="905" t="str">
        <f>'XM.GUI MAIL'!X84</f>
        <v/>
      </c>
      <c r="P6" s="75" t="s">
        <v>9</v>
      </c>
      <c r="Q6" s="75"/>
      <c r="R6" s="1792"/>
    </row>
    <row r="7" spans="1:18" ht="36.75" customHeight="1">
      <c r="A7" s="1809">
        <v>2</v>
      </c>
      <c r="B7" s="2305"/>
      <c r="C7" s="2306"/>
      <c r="D7" s="2309" t="s">
        <v>108</v>
      </c>
      <c r="E7" s="2310"/>
      <c r="F7" s="604" t="s">
        <v>4</v>
      </c>
      <c r="G7" s="1000" t="str">
        <f>'XM.GUI MAIL'!$E$86</f>
        <v>120~130</v>
      </c>
      <c r="H7" s="1000" t="str">
        <f>'XM.GUI MAIL'!$F$86</f>
        <v>(125 ± 5)</v>
      </c>
      <c r="I7" s="61">
        <f>'XM.GUI MAIL'!I86</f>
        <v>0</v>
      </c>
      <c r="J7" s="904" t="s">
        <v>8</v>
      </c>
      <c r="K7" s="905" t="str">
        <f>'XM.GUI MAIL'!L86</f>
        <v/>
      </c>
      <c r="L7" s="77" t="s">
        <v>1046</v>
      </c>
      <c r="M7" s="61">
        <f>'XM.GUI MAIL'!U86</f>
        <v>0</v>
      </c>
      <c r="N7" s="72" t="s">
        <v>8</v>
      </c>
      <c r="O7" s="905" t="str">
        <f>'XM.GUI MAIL'!X86</f>
        <v/>
      </c>
      <c r="P7" s="75" t="s">
        <v>1050</v>
      </c>
      <c r="Q7" s="75"/>
      <c r="R7" s="1792"/>
    </row>
    <row r="8" spans="1:18" ht="36.75" customHeight="1">
      <c r="A8" s="1809">
        <v>3</v>
      </c>
      <c r="B8" s="2229" t="s">
        <v>135</v>
      </c>
      <c r="C8" s="2230"/>
      <c r="D8" s="2309" t="s">
        <v>5</v>
      </c>
      <c r="E8" s="2310"/>
      <c r="F8" s="87" t="s">
        <v>5</v>
      </c>
      <c r="G8" s="1000" t="str">
        <f>'XM.GUI MAIL'!$E$88</f>
        <v>3.0-4.5</v>
      </c>
      <c r="H8" s="1000" t="str">
        <f>'XM.GUI MAIL'!$F$88</f>
        <v>(4.3±0.2)</v>
      </c>
      <c r="I8" s="67">
        <f>'XM.GUI MAIL'!I88</f>
        <v>0</v>
      </c>
      <c r="J8" s="904" t="s">
        <v>8</v>
      </c>
      <c r="K8" s="905"/>
      <c r="L8" s="77"/>
      <c r="M8" s="67">
        <f>'XM.GUI MAIL'!U88</f>
        <v>0</v>
      </c>
      <c r="N8" s="72" t="s">
        <v>8</v>
      </c>
      <c r="O8" s="905"/>
      <c r="P8" s="75"/>
      <c r="Q8" s="75"/>
      <c r="R8" s="121"/>
    </row>
    <row r="9" spans="1:18" ht="41.25" customHeight="1">
      <c r="A9" s="1797"/>
      <c r="B9" s="2296" t="s">
        <v>2</v>
      </c>
      <c r="C9" s="2296"/>
      <c r="D9" s="2296"/>
      <c r="E9" s="2296"/>
      <c r="F9" s="2296"/>
      <c r="G9" s="2296"/>
      <c r="H9" s="2296"/>
      <c r="I9" s="2296"/>
      <c r="J9" s="2296"/>
      <c r="K9" s="2296"/>
      <c r="L9" s="2296"/>
      <c r="M9" s="2296"/>
      <c r="N9" s="2296"/>
      <c r="O9" s="2296"/>
      <c r="P9" s="2296"/>
      <c r="Q9" s="2296"/>
      <c r="R9" s="2296"/>
    </row>
    <row r="10" spans="1:18" ht="47.25" customHeight="1">
      <c r="A10" s="1797" t="s">
        <v>7</v>
      </c>
      <c r="B10" s="2297" t="s">
        <v>23</v>
      </c>
      <c r="C10" s="2298"/>
      <c r="D10" s="2298"/>
      <c r="E10" s="2299"/>
      <c r="F10" s="85" t="s">
        <v>24</v>
      </c>
      <c r="G10" s="1094" t="s">
        <v>1424</v>
      </c>
      <c r="H10" s="1794" t="s">
        <v>1412</v>
      </c>
      <c r="I10" s="2229" t="s">
        <v>26</v>
      </c>
      <c r="J10" s="2230"/>
      <c r="K10" s="2229" t="s">
        <v>27</v>
      </c>
      <c r="L10" s="2230"/>
      <c r="M10" s="2229" t="s">
        <v>26</v>
      </c>
      <c r="N10" s="2230"/>
      <c r="O10" s="2229" t="s">
        <v>27</v>
      </c>
      <c r="P10" s="2230"/>
      <c r="Q10" s="1795"/>
      <c r="R10" s="10"/>
    </row>
    <row r="11" spans="1:18" ht="43.5" customHeight="1">
      <c r="A11" s="87">
        <v>4</v>
      </c>
      <c r="B11" s="2229" t="s">
        <v>127</v>
      </c>
      <c r="C11" s="2311"/>
      <c r="D11" s="2311"/>
      <c r="E11" s="2230"/>
      <c r="F11" s="11" t="s">
        <v>28</v>
      </c>
      <c r="G11" s="1136" t="str">
        <f>'XM.GUI MAIL'!$E$103</f>
        <v>24~28</v>
      </c>
      <c r="H11" s="1136" t="str">
        <f>'XM.GUI MAIL'!$F$103</f>
        <v>(26±2)</v>
      </c>
      <c r="I11" s="2119">
        <f>'XM.GUI MAIL'!I103</f>
        <v>0</v>
      </c>
      <c r="J11" s="2120"/>
      <c r="K11" s="2119">
        <f>'XM.GUI MAIL'!L103</f>
        <v>0</v>
      </c>
      <c r="L11" s="2120"/>
      <c r="M11" s="2119">
        <f>'XM.GUI MAIL'!U103</f>
        <v>0</v>
      </c>
      <c r="N11" s="2120"/>
      <c r="O11" s="2122">
        <f>'XM.GUI MAIL'!X103</f>
        <v>0</v>
      </c>
      <c r="P11" s="2122"/>
      <c r="Q11" s="1790"/>
      <c r="R11" s="1797"/>
    </row>
    <row r="12" spans="1:18" ht="43.5" customHeight="1">
      <c r="A12" s="87">
        <v>5</v>
      </c>
      <c r="B12" s="2220" t="s">
        <v>1397</v>
      </c>
      <c r="C12" s="2221"/>
      <c r="D12" s="2221"/>
      <c r="E12" s="2222"/>
      <c r="F12" s="11" t="s">
        <v>28</v>
      </c>
      <c r="G12" s="1136" t="str">
        <f>'XM.GUI MAIL'!$E$104</f>
        <v>40~60</v>
      </c>
      <c r="H12" s="1136" t="str">
        <f>'XM.GUI MAIL'!$F$104</f>
        <v>(50±10)</v>
      </c>
      <c r="I12" s="2119">
        <f>'XM.GUI MAIL'!I104</f>
        <v>0</v>
      </c>
      <c r="J12" s="2120"/>
      <c r="K12" s="2119">
        <f>'XM.GUI MAIL'!L104</f>
        <v>0</v>
      </c>
      <c r="L12" s="2120"/>
      <c r="M12" s="2119">
        <f>'XM.GUI MAIL'!U104</f>
        <v>0</v>
      </c>
      <c r="N12" s="2120"/>
      <c r="O12" s="2122">
        <f>'XM.GUI MAIL'!X104</f>
        <v>0</v>
      </c>
      <c r="P12" s="2122"/>
      <c r="Q12" s="1790"/>
      <c r="R12" s="1797"/>
    </row>
    <row r="13" spans="1:18" ht="43.5" customHeight="1">
      <c r="A13" s="87">
        <v>6</v>
      </c>
      <c r="B13" s="2229" t="s">
        <v>1399</v>
      </c>
      <c r="C13" s="2311"/>
      <c r="D13" s="2311"/>
      <c r="E13" s="2230"/>
      <c r="F13" s="11" t="s">
        <v>28</v>
      </c>
      <c r="G13" s="1136" t="str">
        <f>'XM.GUI MAIL'!$E$105</f>
        <v>20~30</v>
      </c>
      <c r="H13" s="1136" t="str">
        <f>'XM.GUI MAIL'!$F$105</f>
        <v>(25±5)</v>
      </c>
      <c r="I13" s="2119">
        <f>'XM.GUI MAIL'!I105</f>
        <v>0</v>
      </c>
      <c r="J13" s="2120"/>
      <c r="K13" s="2119">
        <f>'XM.GUI MAIL'!L105</f>
        <v>0</v>
      </c>
      <c r="L13" s="2120"/>
      <c r="M13" s="2119">
        <f>'XM.GUI MAIL'!U105</f>
        <v>0</v>
      </c>
      <c r="N13" s="2120"/>
      <c r="O13" s="2122">
        <f>'XM.GUI MAIL'!X105</f>
        <v>0</v>
      </c>
      <c r="P13" s="2122"/>
      <c r="Q13" s="1790"/>
      <c r="R13" s="1797"/>
    </row>
    <row r="14" spans="1:18" ht="18" customHeight="1">
      <c r="A14" s="71"/>
      <c r="B14" s="902"/>
      <c r="C14" s="902"/>
      <c r="D14" s="902"/>
      <c r="E14" s="902"/>
      <c r="F14" s="903"/>
      <c r="G14" s="1140"/>
      <c r="H14" s="1140"/>
      <c r="I14" s="607"/>
      <c r="J14" s="607"/>
      <c r="K14" s="607"/>
      <c r="L14" s="607"/>
      <c r="M14" s="607"/>
      <c r="N14" s="607"/>
      <c r="O14" s="607"/>
      <c r="P14" s="607"/>
      <c r="Q14" s="607"/>
      <c r="R14" s="71"/>
    </row>
  </sheetData>
  <sheetProtection selectLockedCells="1"/>
  <mergeCells count="37">
    <mergeCell ref="A1:P1"/>
    <mergeCell ref="A2:P2"/>
    <mergeCell ref="B13:E13"/>
    <mergeCell ref="I13:J13"/>
    <mergeCell ref="K13:L13"/>
    <mergeCell ref="M13:N13"/>
    <mergeCell ref="O13:P13"/>
    <mergeCell ref="B11:E11"/>
    <mergeCell ref="I11:J11"/>
    <mergeCell ref="K11:L11"/>
    <mergeCell ref="M11:N11"/>
    <mergeCell ref="O11:P11"/>
    <mergeCell ref="B12:E12"/>
    <mergeCell ref="I12:J12"/>
    <mergeCell ref="K12:L12"/>
    <mergeCell ref="M12:N12"/>
    <mergeCell ref="O12:P12"/>
    <mergeCell ref="B9:R9"/>
    <mergeCell ref="B10:E10"/>
    <mergeCell ref="I10:J10"/>
    <mergeCell ref="K10:L10"/>
    <mergeCell ref="M10:N10"/>
    <mergeCell ref="O10:P10"/>
    <mergeCell ref="B8:C8"/>
    <mergeCell ref="D8:E8"/>
    <mergeCell ref="B6:C7"/>
    <mergeCell ref="D6:E6"/>
    <mergeCell ref="D7:E7"/>
    <mergeCell ref="M4:P4"/>
    <mergeCell ref="J5:L5"/>
    <mergeCell ref="N5:P5"/>
    <mergeCell ref="A4:A5"/>
    <mergeCell ref="B4:E5"/>
    <mergeCell ref="F4:F5"/>
    <mergeCell ref="G4:G5"/>
    <mergeCell ref="H4:H5"/>
    <mergeCell ref="I4:L4"/>
  </mergeCells>
  <conditionalFormatting sqref="I6 M6">
    <cfRule type="expression" dxfId="3043" priority="157" stopIfTrue="1">
      <formula>I6&gt;6</formula>
    </cfRule>
    <cfRule type="expression" dxfId="3042" priority="158" stopIfTrue="1">
      <formula>I6&lt;5</formula>
    </cfRule>
  </conditionalFormatting>
  <conditionalFormatting sqref="I7 M7">
    <cfRule type="expression" dxfId="3041" priority="153" stopIfTrue="1">
      <formula>I7&gt;130</formula>
    </cfRule>
    <cfRule type="expression" dxfId="3040" priority="154" stopIfTrue="1">
      <formula>I7&lt;120</formula>
    </cfRule>
  </conditionalFormatting>
  <conditionalFormatting sqref="I8 M8">
    <cfRule type="expression" dxfId="3039" priority="149" stopIfTrue="1">
      <formula>I8&gt;4.5</formula>
    </cfRule>
    <cfRule type="expression" dxfId="3038" priority="150" stopIfTrue="1">
      <formula>I8&lt;3</formula>
    </cfRule>
  </conditionalFormatting>
  <conditionalFormatting sqref="I13 K13 M13 O13">
    <cfRule type="expression" dxfId="3037" priority="127">
      <formula>I13&lt;20</formula>
    </cfRule>
    <cfRule type="expression" dxfId="3036" priority="128">
      <formula>I13&gt;30</formula>
    </cfRule>
  </conditionalFormatting>
  <conditionalFormatting sqref="I11 K11 M11 O11">
    <cfRule type="expression" dxfId="3035" priority="125">
      <formula>I11&lt;24</formula>
    </cfRule>
    <cfRule type="expression" dxfId="3034" priority="126">
      <formula>I11&gt;28</formula>
    </cfRule>
  </conditionalFormatting>
  <conditionalFormatting sqref="I12 K12 M12 O12">
    <cfRule type="expression" dxfId="3033" priority="123">
      <formula>I12&lt;40</formula>
    </cfRule>
    <cfRule type="expression" dxfId="3032" priority="124">
      <formula>I12&gt;60</formula>
    </cfRule>
  </conditionalFormatting>
  <pageMargins left="0.39" right="0" top="0.33"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R13"/>
  <sheetViews>
    <sheetView zoomScale="70" zoomScaleNormal="70" workbookViewId="0">
      <selection activeCell="I11" sqref="I11:P13"/>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7.5" style="7" customWidth="1"/>
    <col min="7" max="7" width="9" style="7" customWidth="1"/>
    <col min="8" max="8" width="9.75" style="7" customWidth="1"/>
    <col min="9" max="9" width="9.25" style="7" customWidth="1"/>
    <col min="10" max="10" width="3.125" style="7" customWidth="1"/>
    <col min="11" max="11" width="8.375" style="7" customWidth="1"/>
    <col min="12" max="12" width="4" style="7" customWidth="1"/>
    <col min="13" max="13" width="8.375" style="7" customWidth="1"/>
    <col min="14" max="14" width="4.25" style="7" customWidth="1"/>
    <col min="15" max="15" width="8.375" style="7" customWidth="1"/>
    <col min="16" max="16" width="4.875" style="7" customWidth="1"/>
    <col min="17" max="17" width="20" style="7" customWidth="1"/>
    <col min="18" max="18" width="20" style="8" customWidth="1"/>
    <col min="19" max="19" width="14.375" style="8" customWidth="1"/>
    <col min="20" max="16384" width="9" style="8"/>
  </cols>
  <sheetData>
    <row r="1" spans="1:18" ht="28.5" customHeight="1">
      <c r="A1" s="2231" t="s">
        <v>151</v>
      </c>
      <c r="B1" s="2231"/>
      <c r="C1" s="2231"/>
      <c r="D1" s="2231"/>
      <c r="E1" s="2231"/>
      <c r="F1" s="2231"/>
      <c r="G1" s="2231"/>
      <c r="H1" s="2231"/>
      <c r="I1" s="2231"/>
      <c r="J1" s="2231"/>
      <c r="K1" s="2231"/>
      <c r="L1" s="2231"/>
      <c r="M1" s="2231"/>
      <c r="N1" s="2231"/>
      <c r="O1" s="2231"/>
      <c r="P1" s="2231"/>
      <c r="Q1" s="1793"/>
      <c r="R1" s="70"/>
    </row>
    <row r="2" spans="1:18" ht="43.5" customHeight="1">
      <c r="A2" s="2232" t="s">
        <v>1051</v>
      </c>
      <c r="B2" s="2232"/>
      <c r="C2" s="2232"/>
      <c r="D2" s="2232"/>
      <c r="E2" s="2232"/>
      <c r="F2" s="2232"/>
      <c r="G2" s="2232"/>
      <c r="H2" s="2232"/>
      <c r="I2" s="2232"/>
      <c r="J2" s="2232"/>
      <c r="K2" s="2232"/>
      <c r="L2" s="2232"/>
      <c r="M2" s="2232"/>
      <c r="N2" s="2232"/>
      <c r="O2" s="2232"/>
      <c r="P2" s="2267"/>
      <c r="Q2" s="1796" t="s">
        <v>96</v>
      </c>
      <c r="R2" s="1787" t="s">
        <v>1522</v>
      </c>
    </row>
    <row r="3" spans="1:18" ht="40.5" customHeight="1">
      <c r="A3" s="9"/>
      <c r="B3" s="1703" t="s">
        <v>143</v>
      </c>
      <c r="C3" s="1654"/>
      <c r="D3" s="1654"/>
      <c r="E3" s="1654"/>
      <c r="F3" s="1655"/>
      <c r="G3" s="1656" t="str">
        <f>'1. XL-1E kh'!$G$3</f>
        <v>2023/03/21</v>
      </c>
      <c r="H3" s="1646"/>
      <c r="I3" s="28"/>
      <c r="J3" s="28"/>
      <c r="K3" s="28"/>
      <c r="L3" s="29"/>
      <c r="M3" s="29"/>
      <c r="N3" s="29"/>
      <c r="Q3" s="443" t="str">
        <f>'3.XT-C TT(CA2)'!S3</f>
        <v>L.Yen</v>
      </c>
      <c r="R3" s="1791"/>
    </row>
    <row r="4" spans="1:18" s="71" customFormat="1" ht="36" customHeight="1">
      <c r="A4" s="2271" t="s">
        <v>7</v>
      </c>
      <c r="B4" s="2272" t="s">
        <v>79</v>
      </c>
      <c r="C4" s="2273"/>
      <c r="D4" s="2273"/>
      <c r="E4" s="2274"/>
      <c r="F4" s="2278" t="s">
        <v>136</v>
      </c>
      <c r="G4" s="2125" t="s">
        <v>1424</v>
      </c>
      <c r="H4" s="2173" t="s">
        <v>1412</v>
      </c>
      <c r="I4" s="2128">
        <v>0.76041666666666663</v>
      </c>
      <c r="J4" s="2129"/>
      <c r="K4" s="2129"/>
      <c r="L4" s="2130"/>
      <c r="M4" s="2128">
        <v>9.375E-2</v>
      </c>
      <c r="N4" s="2129"/>
      <c r="O4" s="2129"/>
      <c r="P4" s="2130"/>
      <c r="Q4" s="1810">
        <v>0.76041666666666663</v>
      </c>
      <c r="R4" s="1811">
        <v>9.375E-2</v>
      </c>
    </row>
    <row r="5" spans="1:18" s="71" customFormat="1" ht="30" customHeight="1">
      <c r="A5" s="2271"/>
      <c r="B5" s="2275"/>
      <c r="C5" s="2276"/>
      <c r="D5" s="2276"/>
      <c r="E5" s="2277"/>
      <c r="F5" s="2279"/>
      <c r="G5" s="2126"/>
      <c r="H5" s="2174"/>
      <c r="I5" s="60" t="s">
        <v>145</v>
      </c>
      <c r="J5" s="2134" t="s">
        <v>1</v>
      </c>
      <c r="K5" s="2135"/>
      <c r="L5" s="2136"/>
      <c r="M5" s="60" t="s">
        <v>145</v>
      </c>
      <c r="N5" s="2134" t="s">
        <v>1</v>
      </c>
      <c r="O5" s="2135"/>
      <c r="P5" s="2136"/>
      <c r="Q5" s="1800" t="s">
        <v>1526</v>
      </c>
      <c r="R5" s="1800" t="s">
        <v>1526</v>
      </c>
    </row>
    <row r="6" spans="1:18" ht="37.5" customHeight="1">
      <c r="A6" s="1809">
        <v>1</v>
      </c>
      <c r="B6" s="2303" t="s">
        <v>133</v>
      </c>
      <c r="C6" s="2304"/>
      <c r="D6" s="2309" t="s">
        <v>124</v>
      </c>
      <c r="E6" s="2310"/>
      <c r="F6" s="604" t="s">
        <v>4</v>
      </c>
      <c r="G6" s="1000" t="str">
        <f>'XM.GUI MAIL'!$E$84</f>
        <v>5~6</v>
      </c>
      <c r="H6" s="1000" t="str">
        <f>'XM.GUI MAIL'!$F$84</f>
        <v>(5.5± 0.5L)</v>
      </c>
      <c r="I6" s="61" t="str">
        <f>'XM.GUI MAIL'!AA84</f>
        <v/>
      </c>
      <c r="J6" s="904" t="s">
        <v>8</v>
      </c>
      <c r="K6" s="905" t="str">
        <f>'XM.GUI MAIL'!AD84</f>
        <v/>
      </c>
      <c r="L6" s="77" t="s">
        <v>9</v>
      </c>
      <c r="M6" s="61" t="str">
        <f>'XM.GUI MAIL'!AM84</f>
        <v/>
      </c>
      <c r="N6" s="72" t="s">
        <v>8</v>
      </c>
      <c r="O6" s="905" t="str">
        <f>'XM.GUI MAIL'!AP84</f>
        <v/>
      </c>
      <c r="P6" s="75" t="s">
        <v>9</v>
      </c>
      <c r="Q6" s="75"/>
      <c r="R6" s="1792"/>
    </row>
    <row r="7" spans="1:18" ht="36.75" customHeight="1">
      <c r="A7" s="1809">
        <v>2</v>
      </c>
      <c r="B7" s="2305"/>
      <c r="C7" s="2306"/>
      <c r="D7" s="2309" t="s">
        <v>108</v>
      </c>
      <c r="E7" s="2310"/>
      <c r="F7" s="604" t="s">
        <v>4</v>
      </c>
      <c r="G7" s="1000" t="str">
        <f>'XM.GUI MAIL'!$E$86</f>
        <v>120~130</v>
      </c>
      <c r="H7" s="1000" t="str">
        <f>'XM.GUI MAIL'!$F$86</f>
        <v>(125 ± 5)</v>
      </c>
      <c r="I7" s="61">
        <f>'XM.GUI MAIL'!AA86</f>
        <v>0</v>
      </c>
      <c r="J7" s="904" t="s">
        <v>8</v>
      </c>
      <c r="K7" s="905" t="str">
        <f>'XM.GUI MAIL'!AD86</f>
        <v/>
      </c>
      <c r="L7" s="77" t="s">
        <v>1050</v>
      </c>
      <c r="M7" s="61">
        <f>'XM.GUI MAIL'!AM86</f>
        <v>0</v>
      </c>
      <c r="N7" s="72" t="s">
        <v>8</v>
      </c>
      <c r="O7" s="905" t="str">
        <f>'XM.GUI MAIL'!AP86</f>
        <v/>
      </c>
      <c r="P7" s="75" t="s">
        <v>1050</v>
      </c>
      <c r="Q7" s="75"/>
      <c r="R7" s="1792"/>
    </row>
    <row r="8" spans="1:18" ht="35.25" customHeight="1">
      <c r="A8" s="1809">
        <v>3</v>
      </c>
      <c r="B8" s="2229" t="s">
        <v>135</v>
      </c>
      <c r="C8" s="2230"/>
      <c r="D8" s="2309" t="s">
        <v>5</v>
      </c>
      <c r="E8" s="2310"/>
      <c r="F8" s="87" t="s">
        <v>5</v>
      </c>
      <c r="G8" s="1000" t="str">
        <f>'XM.GUI MAIL'!$E$88</f>
        <v>3.0-4.5</v>
      </c>
      <c r="H8" s="1000" t="str">
        <f>'XM.GUI MAIL'!$F$88</f>
        <v>(4.3±0.2)</v>
      </c>
      <c r="I8" s="67">
        <f>'XM.GUI MAIL'!AA88</f>
        <v>0</v>
      </c>
      <c r="J8" s="904" t="s">
        <v>8</v>
      </c>
      <c r="K8" s="905"/>
      <c r="L8" s="77"/>
      <c r="M8" s="67">
        <f>'XM.GUI MAIL'!AM88</f>
        <v>0</v>
      </c>
      <c r="N8" s="72" t="s">
        <v>8</v>
      </c>
      <c r="O8" s="905"/>
      <c r="P8" s="75"/>
      <c r="Q8" s="75"/>
      <c r="R8" s="121"/>
    </row>
    <row r="9" spans="1:18" ht="36" customHeight="1">
      <c r="A9" s="1797"/>
      <c r="B9" s="2297" t="s">
        <v>153</v>
      </c>
      <c r="C9" s="2298"/>
      <c r="D9" s="2298"/>
      <c r="E9" s="2298"/>
      <c r="F9" s="2298"/>
      <c r="G9" s="2298"/>
      <c r="H9" s="2298"/>
      <c r="I9" s="2298"/>
      <c r="J9" s="2298"/>
      <c r="K9" s="2298"/>
      <c r="L9" s="2298"/>
      <c r="M9" s="2298"/>
      <c r="N9" s="2298"/>
      <c r="O9" s="2298"/>
      <c r="P9" s="2298"/>
      <c r="Q9" s="2298"/>
      <c r="R9" s="2299"/>
    </row>
    <row r="10" spans="1:18" ht="46.5" customHeight="1">
      <c r="A10" s="1797" t="s">
        <v>7</v>
      </c>
      <c r="B10" s="2297" t="s">
        <v>23</v>
      </c>
      <c r="C10" s="2298"/>
      <c r="D10" s="2298"/>
      <c r="E10" s="2299"/>
      <c r="F10" s="85" t="s">
        <v>24</v>
      </c>
      <c r="G10" s="1094" t="s">
        <v>1424</v>
      </c>
      <c r="H10" s="1794" t="s">
        <v>1412</v>
      </c>
      <c r="I10" s="2229" t="s">
        <v>26</v>
      </c>
      <c r="J10" s="2230"/>
      <c r="K10" s="2229" t="s">
        <v>27</v>
      </c>
      <c r="L10" s="2230"/>
      <c r="M10" s="2229" t="s">
        <v>26</v>
      </c>
      <c r="N10" s="2230"/>
      <c r="O10" s="2229" t="s">
        <v>27</v>
      </c>
      <c r="P10" s="2230"/>
      <c r="Q10" s="1795"/>
      <c r="R10" s="10"/>
    </row>
    <row r="11" spans="1:18" ht="39" customHeight="1">
      <c r="A11" s="87">
        <v>4</v>
      </c>
      <c r="B11" s="2229" t="s">
        <v>127</v>
      </c>
      <c r="C11" s="2311"/>
      <c r="D11" s="2311"/>
      <c r="E11" s="2230"/>
      <c r="F11" s="11" t="s">
        <v>28</v>
      </c>
      <c r="G11" s="1136" t="str">
        <f>'XM.GUI MAIL'!$E$103</f>
        <v>24~28</v>
      </c>
      <c r="H11" s="1136" t="str">
        <f>'XM.GUI MAIL'!$F$103</f>
        <v>(26±2)</v>
      </c>
      <c r="I11" s="2119">
        <f>'XM.GUI MAIL'!AA103</f>
        <v>0</v>
      </c>
      <c r="J11" s="2120"/>
      <c r="K11" s="2119">
        <f>'XM.GUI MAIL'!AD103</f>
        <v>0</v>
      </c>
      <c r="L11" s="2120"/>
      <c r="M11" s="2119">
        <f>'XM.GUI MAIL'!AM103</f>
        <v>0</v>
      </c>
      <c r="N11" s="2120"/>
      <c r="O11" s="2122">
        <f>'XM.GUI MAIL'!AP103</f>
        <v>0</v>
      </c>
      <c r="P11" s="2122"/>
      <c r="Q11" s="1790"/>
      <c r="R11" s="1797"/>
    </row>
    <row r="12" spans="1:18" ht="39" customHeight="1">
      <c r="A12" s="87">
        <v>5</v>
      </c>
      <c r="B12" s="2220" t="s">
        <v>1397</v>
      </c>
      <c r="C12" s="2221"/>
      <c r="D12" s="2221"/>
      <c r="E12" s="2222"/>
      <c r="F12" s="11" t="s">
        <v>28</v>
      </c>
      <c r="G12" s="1136" t="str">
        <f>'XM.GUI MAIL'!$E$104</f>
        <v>40~60</v>
      </c>
      <c r="H12" s="1136" t="str">
        <f>'XM.GUI MAIL'!$F$104</f>
        <v>(50±10)</v>
      </c>
      <c r="I12" s="2119">
        <f>'XM.GUI MAIL'!AA104</f>
        <v>0</v>
      </c>
      <c r="J12" s="2120"/>
      <c r="K12" s="2119">
        <f>'XM.GUI MAIL'!AD104</f>
        <v>0</v>
      </c>
      <c r="L12" s="2120"/>
      <c r="M12" s="2119">
        <f>'XM.GUI MAIL'!AM104</f>
        <v>0</v>
      </c>
      <c r="N12" s="2120"/>
      <c r="O12" s="2122">
        <f>'XM.GUI MAIL'!AP104</f>
        <v>0</v>
      </c>
      <c r="P12" s="2122"/>
      <c r="Q12" s="1790"/>
      <c r="R12" s="1797"/>
    </row>
    <row r="13" spans="1:18" ht="39" customHeight="1">
      <c r="A13" s="87">
        <v>6</v>
      </c>
      <c r="B13" s="2229" t="s">
        <v>132</v>
      </c>
      <c r="C13" s="2311"/>
      <c r="D13" s="2311"/>
      <c r="E13" s="2230"/>
      <c r="F13" s="11" t="s">
        <v>28</v>
      </c>
      <c r="G13" s="1136" t="str">
        <f>'XM.GUI MAIL'!$E$105</f>
        <v>20~30</v>
      </c>
      <c r="H13" s="1136" t="str">
        <f>'XM.GUI MAIL'!$F$105</f>
        <v>(25±5)</v>
      </c>
      <c r="I13" s="2119">
        <f>'XM.GUI MAIL'!AA105</f>
        <v>0</v>
      </c>
      <c r="J13" s="2120"/>
      <c r="K13" s="2119">
        <f>'XM.GUI MAIL'!AD105</f>
        <v>0</v>
      </c>
      <c r="L13" s="2120"/>
      <c r="M13" s="2119">
        <f>'XM.GUI MAIL'!AM105</f>
        <v>0</v>
      </c>
      <c r="N13" s="2120"/>
      <c r="O13" s="2122">
        <f>'XM.GUI MAIL'!AP105</f>
        <v>0</v>
      </c>
      <c r="P13" s="2122"/>
      <c r="Q13" s="1790"/>
      <c r="R13" s="1797"/>
    </row>
  </sheetData>
  <sheetProtection selectLockedCells="1"/>
  <mergeCells count="37">
    <mergeCell ref="B13:E13"/>
    <mergeCell ref="I13:J13"/>
    <mergeCell ref="K13:L13"/>
    <mergeCell ref="M13:N13"/>
    <mergeCell ref="O13:P13"/>
    <mergeCell ref="B11:E11"/>
    <mergeCell ref="I11:J11"/>
    <mergeCell ref="K11:L11"/>
    <mergeCell ref="M11:N11"/>
    <mergeCell ref="O11:P11"/>
    <mergeCell ref="B12:E12"/>
    <mergeCell ref="I12:J12"/>
    <mergeCell ref="K12:L12"/>
    <mergeCell ref="M12:N12"/>
    <mergeCell ref="O12:P12"/>
    <mergeCell ref="B9:R9"/>
    <mergeCell ref="B10:E10"/>
    <mergeCell ref="I10:J10"/>
    <mergeCell ref="K10:L10"/>
    <mergeCell ref="M10:N10"/>
    <mergeCell ref="O10:P10"/>
    <mergeCell ref="B6:C7"/>
    <mergeCell ref="D6:E6"/>
    <mergeCell ref="D7:E7"/>
    <mergeCell ref="B8:C8"/>
    <mergeCell ref="D8:E8"/>
    <mergeCell ref="A1:P1"/>
    <mergeCell ref="A2:P2"/>
    <mergeCell ref="A4:A5"/>
    <mergeCell ref="B4:E5"/>
    <mergeCell ref="F4:F5"/>
    <mergeCell ref="G4:G5"/>
    <mergeCell ref="H4:H5"/>
    <mergeCell ref="I4:L4"/>
    <mergeCell ref="M4:P4"/>
    <mergeCell ref="J5:L5"/>
    <mergeCell ref="N5:P5"/>
  </mergeCells>
  <conditionalFormatting sqref="I6 M6">
    <cfRule type="expression" dxfId="3031" priority="11" stopIfTrue="1">
      <formula>I6&gt;6</formula>
    </cfRule>
    <cfRule type="expression" dxfId="3030" priority="12" stopIfTrue="1">
      <formula>I6&lt;5</formula>
    </cfRule>
  </conditionalFormatting>
  <conditionalFormatting sqref="I7 M7">
    <cfRule type="expression" dxfId="3029" priority="9" stopIfTrue="1">
      <formula>I7&gt;130</formula>
    </cfRule>
    <cfRule type="expression" dxfId="3028" priority="10" stopIfTrue="1">
      <formula>I7&lt;120</formula>
    </cfRule>
  </conditionalFormatting>
  <conditionalFormatting sqref="I8 M8">
    <cfRule type="expression" dxfId="3027" priority="7" stopIfTrue="1">
      <formula>I8&gt;4.5</formula>
    </cfRule>
    <cfRule type="expression" dxfId="3026" priority="8" stopIfTrue="1">
      <formula>I8&lt;3</formula>
    </cfRule>
  </conditionalFormatting>
  <conditionalFormatting sqref="I13 K13 M13 O13">
    <cfRule type="expression" dxfId="3025" priority="5">
      <formula>I13&lt;20</formula>
    </cfRule>
    <cfRule type="expression" dxfId="3024" priority="6">
      <formula>I13&gt;30</formula>
    </cfRule>
  </conditionalFormatting>
  <conditionalFormatting sqref="I11 K11 M11 O11">
    <cfRule type="expression" dxfId="3023" priority="3">
      <formula>I11&lt;24</formula>
    </cfRule>
    <cfRule type="expression" dxfId="3022" priority="4">
      <formula>I11&gt;28</formula>
    </cfRule>
  </conditionalFormatting>
  <conditionalFormatting sqref="I12 K12 M12 O12">
    <cfRule type="expression" dxfId="3021" priority="1">
      <formula>I12&lt;40</formula>
    </cfRule>
    <cfRule type="expression" dxfId="3020" priority="2">
      <formula>I12&gt;60</formula>
    </cfRule>
  </conditionalFormatting>
  <pageMargins left="0.3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rgb="FFFF0000"/>
  </sheetPr>
  <dimension ref="A1:Q67"/>
  <sheetViews>
    <sheetView view="pageBreakPreview" topLeftCell="A34" zoomScale="60" zoomScaleNormal="70" workbookViewId="0">
      <selection sqref="A1:N1"/>
    </sheetView>
  </sheetViews>
  <sheetFormatPr defaultRowHeight="16.5"/>
  <cols>
    <col min="1" max="1" width="5" style="8" customWidth="1"/>
    <col min="2" max="2" width="11.75" style="31" customWidth="1"/>
    <col min="3" max="3" width="5.75" style="31" customWidth="1"/>
    <col min="4" max="4" width="12" style="31" customWidth="1"/>
    <col min="5" max="5" width="2.75" style="31" customWidth="1"/>
    <col min="6" max="6" width="8.25" style="7" customWidth="1"/>
    <col min="7" max="7" width="16" style="7" customWidth="1"/>
    <col min="8" max="8" width="10.875" style="7" customWidth="1"/>
    <col min="9" max="9" width="9.25" style="7" customWidth="1"/>
    <col min="10" max="10" width="3.125" style="7" customWidth="1"/>
    <col min="11" max="11" width="8.75" style="7" customWidth="1"/>
    <col min="12" max="12" width="4" style="7" customWidth="1"/>
    <col min="13" max="13" width="8.375" style="7" customWidth="1"/>
    <col min="14" max="14" width="4.25" style="7" customWidth="1"/>
    <col min="15" max="15" width="9.25" style="7" customWidth="1"/>
    <col min="16" max="16" width="4.875" style="7" customWidth="1"/>
    <col min="17" max="17" width="13.625" style="8" customWidth="1"/>
    <col min="18" max="16384" width="9" style="8"/>
  </cols>
  <sheetData>
    <row r="1" spans="1:17" ht="28.5" customHeight="1">
      <c r="A1" s="2231" t="s">
        <v>151</v>
      </c>
      <c r="B1" s="2231"/>
      <c r="C1" s="2231"/>
      <c r="D1" s="2231"/>
      <c r="E1" s="2231"/>
      <c r="F1" s="2231"/>
      <c r="G1" s="2231"/>
      <c r="H1" s="2231"/>
      <c r="I1" s="2231"/>
      <c r="J1" s="2231"/>
      <c r="K1" s="2231"/>
      <c r="L1" s="2231"/>
      <c r="M1" s="2231"/>
      <c r="N1" s="2231"/>
      <c r="O1" s="1152"/>
      <c r="P1" s="1152"/>
      <c r="Q1" s="70"/>
    </row>
    <row r="2" spans="1:17" ht="51.75" customHeight="1">
      <c r="A2" s="2232" t="s">
        <v>1051</v>
      </c>
      <c r="B2" s="2232"/>
      <c r="C2" s="2232"/>
      <c r="D2" s="2232"/>
      <c r="E2" s="2232"/>
      <c r="F2" s="2232"/>
      <c r="G2" s="2232"/>
      <c r="H2" s="2232"/>
      <c r="I2" s="2232"/>
      <c r="J2" s="2232"/>
      <c r="K2" s="2232"/>
      <c r="L2" s="2232"/>
      <c r="M2" s="2232"/>
      <c r="N2" s="2267"/>
      <c r="O2" s="2268" t="s">
        <v>96</v>
      </c>
      <c r="P2" s="2130"/>
      <c r="Q2" s="85" t="s">
        <v>17</v>
      </c>
    </row>
    <row r="3" spans="1:17" ht="34.5" customHeight="1">
      <c r="A3" s="9"/>
      <c r="B3" s="1703" t="s">
        <v>143</v>
      </c>
      <c r="C3" s="1654"/>
      <c r="D3" s="1654"/>
      <c r="E3" s="1654"/>
      <c r="F3" s="1655"/>
      <c r="G3" s="1656" t="str">
        <f>'1. XL-1E kh'!$G$3</f>
        <v>2023/03/21</v>
      </c>
      <c r="H3" s="1646"/>
      <c r="I3" s="28"/>
      <c r="J3" s="28"/>
      <c r="K3" s="28"/>
      <c r="L3" s="29"/>
      <c r="M3" s="29"/>
      <c r="N3" s="29"/>
      <c r="O3" s="2269" t="str">
        <f>'1. XL-1E kh'!$AD$3</f>
        <v>Trang</v>
      </c>
      <c r="P3" s="2270"/>
      <c r="Q3" s="84" t="s">
        <v>11</v>
      </c>
    </row>
    <row r="4" spans="1:17" s="71" customFormat="1" ht="41.25" customHeight="1">
      <c r="A4" s="2271" t="s">
        <v>7</v>
      </c>
      <c r="B4" s="2272" t="s">
        <v>79</v>
      </c>
      <c r="C4" s="2273"/>
      <c r="D4" s="2273"/>
      <c r="E4" s="2274"/>
      <c r="F4" s="2278" t="s">
        <v>136</v>
      </c>
      <c r="G4" s="2125" t="s">
        <v>1424</v>
      </c>
      <c r="H4" s="2173" t="s">
        <v>1412</v>
      </c>
      <c r="I4" s="2128">
        <v>0.26041666666666669</v>
      </c>
      <c r="J4" s="2129"/>
      <c r="K4" s="2129"/>
      <c r="L4" s="2130"/>
      <c r="M4" s="2128">
        <v>0.59375</v>
      </c>
      <c r="N4" s="2129"/>
      <c r="O4" s="2129"/>
      <c r="P4" s="2130"/>
      <c r="Q4" s="2208" t="s">
        <v>41</v>
      </c>
    </row>
    <row r="5" spans="1:17" s="71" customFormat="1" ht="35.25" customHeight="1">
      <c r="A5" s="2271"/>
      <c r="B5" s="2275"/>
      <c r="C5" s="2276"/>
      <c r="D5" s="2276"/>
      <c r="E5" s="2277"/>
      <c r="F5" s="2279"/>
      <c r="G5" s="2126"/>
      <c r="H5" s="2174"/>
      <c r="I5" s="60" t="s">
        <v>145</v>
      </c>
      <c r="J5" s="2134" t="s">
        <v>1</v>
      </c>
      <c r="K5" s="2135"/>
      <c r="L5" s="2136"/>
      <c r="M5" s="60" t="s">
        <v>145</v>
      </c>
      <c r="N5" s="2134" t="s">
        <v>1</v>
      </c>
      <c r="O5" s="2135"/>
      <c r="P5" s="2136"/>
      <c r="Q5" s="2209"/>
    </row>
    <row r="6" spans="1:17" ht="33.75" customHeight="1">
      <c r="A6" s="2280">
        <v>1</v>
      </c>
      <c r="B6" s="2282" t="s">
        <v>154</v>
      </c>
      <c r="C6" s="2283"/>
      <c r="D6" s="2286" t="s">
        <v>258</v>
      </c>
      <c r="E6" s="2287"/>
      <c r="F6" s="1165" t="s">
        <v>4</v>
      </c>
      <c r="G6" s="1000" t="str">
        <f>'XM.GUI MAIL'!$E$68</f>
        <v>40~60</v>
      </c>
      <c r="H6" s="1000" t="str">
        <f>'XM.GUI MAIL'!$F$68</f>
        <v>(50±5)</v>
      </c>
      <c r="I6" s="61">
        <f>'3.XT-C TT'!I6</f>
        <v>87.290499999999994</v>
      </c>
      <c r="J6" s="62" t="s">
        <v>8</v>
      </c>
      <c r="K6" s="63">
        <f>'3.XT-C TT'!K6</f>
        <v>0</v>
      </c>
      <c r="L6" s="64" t="s">
        <v>9</v>
      </c>
      <c r="M6" s="61">
        <f>'3.XT-C TT'!Q6</f>
        <v>0</v>
      </c>
      <c r="N6" s="72" t="s">
        <v>8</v>
      </c>
      <c r="O6" s="73">
        <f>'3.XT-C TT'!S6</f>
        <v>0</v>
      </c>
      <c r="P6" s="75" t="s">
        <v>9</v>
      </c>
      <c r="Q6" s="1151" t="s">
        <v>42</v>
      </c>
    </row>
    <row r="7" spans="1:17" ht="39" customHeight="1">
      <c r="A7" s="2281"/>
      <c r="B7" s="2284"/>
      <c r="C7" s="2285"/>
      <c r="D7" s="2286" t="s">
        <v>259</v>
      </c>
      <c r="E7" s="2287"/>
      <c r="F7" s="1138" t="s">
        <v>58</v>
      </c>
      <c r="G7" s="1000" t="s">
        <v>1370</v>
      </c>
      <c r="H7" s="1000"/>
      <c r="I7" s="61"/>
      <c r="J7" s="62" t="s">
        <v>8</v>
      </c>
      <c r="K7" s="65">
        <f>'3.XT-C TT'!K7</f>
        <v>0</v>
      </c>
      <c r="L7" s="64" t="s">
        <v>10</v>
      </c>
      <c r="M7" s="61"/>
      <c r="N7" s="72" t="s">
        <v>8</v>
      </c>
      <c r="O7" s="65">
        <f>'3.XT-C TT'!S7</f>
        <v>0</v>
      </c>
      <c r="P7" s="75" t="s">
        <v>10</v>
      </c>
      <c r="Q7" s="1151"/>
    </row>
    <row r="8" spans="1:17" ht="39" customHeight="1">
      <c r="A8" s="2280">
        <v>2</v>
      </c>
      <c r="B8" s="2282" t="s">
        <v>155</v>
      </c>
      <c r="C8" s="2283"/>
      <c r="D8" s="2286" t="s">
        <v>258</v>
      </c>
      <c r="E8" s="2287"/>
      <c r="F8" s="1165" t="s">
        <v>4</v>
      </c>
      <c r="G8" s="1000" t="str">
        <f>'XM.GUI MAIL'!$E$69</f>
        <v>40~60</v>
      </c>
      <c r="H8" s="1000" t="str">
        <f>'XM.GUI MAIL'!$F$69</f>
        <v>(50±5)</v>
      </c>
      <c r="I8" s="61">
        <f>'3.XT-C TT'!I8</f>
        <v>0</v>
      </c>
      <c r="J8" s="62" t="s">
        <v>8</v>
      </c>
      <c r="K8" s="63">
        <f>'3.XT-C TT'!K8</f>
        <v>0</v>
      </c>
      <c r="L8" s="64" t="s">
        <v>9</v>
      </c>
      <c r="M8" s="61">
        <f>'3.XT-C TT'!Q8</f>
        <v>0</v>
      </c>
      <c r="N8" s="72" t="s">
        <v>8</v>
      </c>
      <c r="O8" s="73">
        <f>'3.XT-C TT'!S8</f>
        <v>0</v>
      </c>
      <c r="P8" s="75" t="s">
        <v>9</v>
      </c>
      <c r="Q8" s="1151" t="s">
        <v>42</v>
      </c>
    </row>
    <row r="9" spans="1:17" ht="39" customHeight="1">
      <c r="A9" s="2281"/>
      <c r="B9" s="2284"/>
      <c r="C9" s="2285"/>
      <c r="D9" s="2286" t="s">
        <v>259</v>
      </c>
      <c r="E9" s="2287"/>
      <c r="F9" s="1138" t="s">
        <v>58</v>
      </c>
      <c r="G9" s="1000" t="s">
        <v>1370</v>
      </c>
      <c r="H9" s="1000"/>
      <c r="I9" s="61"/>
      <c r="J9" s="62" t="s">
        <v>8</v>
      </c>
      <c r="K9" s="65">
        <f>'3.XT-C TT'!K9</f>
        <v>0</v>
      </c>
      <c r="L9" s="64" t="s">
        <v>10</v>
      </c>
      <c r="M9" s="61"/>
      <c r="N9" s="72" t="s">
        <v>8</v>
      </c>
      <c r="O9" s="65">
        <f>'3.XT-C TT'!S9</f>
        <v>0</v>
      </c>
      <c r="P9" s="75" t="s">
        <v>10</v>
      </c>
      <c r="Q9" s="1151"/>
    </row>
    <row r="10" spans="1:17" ht="39" customHeight="1">
      <c r="A10" s="2280">
        <v>3</v>
      </c>
      <c r="B10" s="2289" t="s">
        <v>156</v>
      </c>
      <c r="C10" s="2290"/>
      <c r="D10" s="2291" t="s">
        <v>260</v>
      </c>
      <c r="E10" s="2292" t="s">
        <v>260</v>
      </c>
      <c r="F10" s="1165" t="s">
        <v>4</v>
      </c>
      <c r="G10" s="1000" t="str">
        <f>'XM.GUI MAIL'!$E$70</f>
        <v>50~70</v>
      </c>
      <c r="H10" s="1000" t="str">
        <f>'XM.GUI MAIL'!$F$70</f>
        <v>(60±5)</v>
      </c>
      <c r="I10" s="61">
        <f>'3.XT-C TT'!I10</f>
        <v>57.75</v>
      </c>
      <c r="J10" s="72" t="s">
        <v>8</v>
      </c>
      <c r="K10" s="73">
        <f>'3.XT-C TT'!K10</f>
        <v>18.45</v>
      </c>
      <c r="L10" s="30" t="s">
        <v>9</v>
      </c>
      <c r="M10" s="61">
        <f>'3.XT-C TT'!Q10</f>
        <v>0</v>
      </c>
      <c r="N10" s="72" t="s">
        <v>8</v>
      </c>
      <c r="O10" s="73">
        <f>'3.XT-C TT'!S10</f>
        <v>0</v>
      </c>
      <c r="P10" s="75" t="s">
        <v>9</v>
      </c>
      <c r="Q10" s="1151" t="s">
        <v>42</v>
      </c>
    </row>
    <row r="11" spans="1:17" ht="39" customHeight="1">
      <c r="A11" s="2288"/>
      <c r="B11" s="2290"/>
      <c r="C11" s="2290"/>
      <c r="D11" s="2291" t="s">
        <v>261</v>
      </c>
      <c r="E11" s="2292" t="s">
        <v>261</v>
      </c>
      <c r="F11" s="1138" t="s">
        <v>58</v>
      </c>
      <c r="G11" s="1000" t="s">
        <v>1371</v>
      </c>
      <c r="H11" s="1000"/>
      <c r="I11" s="61"/>
      <c r="J11" s="62" t="s">
        <v>8</v>
      </c>
      <c r="K11" s="65">
        <f>'3.XT-C TT'!K11</f>
        <v>5.9039999999999999</v>
      </c>
      <c r="L11" s="64" t="s">
        <v>10</v>
      </c>
      <c r="M11" s="61"/>
      <c r="N11" s="72" t="s">
        <v>8</v>
      </c>
      <c r="O11" s="65">
        <f>'3.XT-C TT'!S11</f>
        <v>0</v>
      </c>
      <c r="P11" s="75" t="s">
        <v>10</v>
      </c>
      <c r="Q11" s="1151"/>
    </row>
    <row r="12" spans="1:17" ht="39" customHeight="1">
      <c r="A12" s="2280">
        <v>4</v>
      </c>
      <c r="B12" s="2289" t="s">
        <v>157</v>
      </c>
      <c r="C12" s="2290"/>
      <c r="D12" s="2291" t="s">
        <v>260</v>
      </c>
      <c r="E12" s="2292" t="s">
        <v>260</v>
      </c>
      <c r="F12" s="1165" t="s">
        <v>4</v>
      </c>
      <c r="G12" s="1000" t="str">
        <f>'XM.GUI MAIL'!$E$71</f>
        <v>50~70</v>
      </c>
      <c r="H12" s="1000" t="str">
        <f>'XM.GUI MAIL'!$F$71</f>
        <v>(60±5)</v>
      </c>
      <c r="I12" s="61">
        <f>'3.XT-C TT'!I12</f>
        <v>0</v>
      </c>
      <c r="J12" s="72" t="s">
        <v>8</v>
      </c>
      <c r="K12" s="73">
        <f>'3.XT-C TT'!K12</f>
        <v>0</v>
      </c>
      <c r="L12" s="30" t="s">
        <v>9</v>
      </c>
      <c r="M12" s="61">
        <f>'3.XT-C TT'!Q12</f>
        <v>0</v>
      </c>
      <c r="N12" s="72" t="s">
        <v>8</v>
      </c>
      <c r="O12" s="73">
        <f>'3.XT-C TT'!S12</f>
        <v>0</v>
      </c>
      <c r="P12" s="75" t="s">
        <v>9</v>
      </c>
      <c r="Q12" s="1151" t="s">
        <v>42</v>
      </c>
    </row>
    <row r="13" spans="1:17" ht="39" customHeight="1">
      <c r="A13" s="2288"/>
      <c r="B13" s="2290"/>
      <c r="C13" s="2290"/>
      <c r="D13" s="2291" t="s">
        <v>261</v>
      </c>
      <c r="E13" s="2292" t="s">
        <v>261</v>
      </c>
      <c r="F13" s="1138" t="s">
        <v>58</v>
      </c>
      <c r="G13" s="1000" t="s">
        <v>1371</v>
      </c>
      <c r="H13" s="1000"/>
      <c r="I13" s="61"/>
      <c r="J13" s="72" t="s">
        <v>8</v>
      </c>
      <c r="K13" s="65">
        <f>'3.XT-C TT'!K13</f>
        <v>0</v>
      </c>
      <c r="L13" s="77"/>
      <c r="M13" s="61"/>
      <c r="N13" s="72" t="s">
        <v>8</v>
      </c>
      <c r="O13" s="65">
        <f>'3.XT-C TT'!S13</f>
        <v>0</v>
      </c>
      <c r="P13" s="75" t="s">
        <v>10</v>
      </c>
      <c r="Q13" s="1151"/>
    </row>
    <row r="14" spans="1:17" ht="33.75" customHeight="1">
      <c r="A14" s="2280">
        <v>5</v>
      </c>
      <c r="B14" s="2303" t="s">
        <v>133</v>
      </c>
      <c r="C14" s="2304"/>
      <c r="D14" s="2309" t="s">
        <v>124</v>
      </c>
      <c r="E14" s="2310"/>
      <c r="F14" s="604" t="s">
        <v>4</v>
      </c>
      <c r="G14" s="1000" t="str">
        <f>'XM.GUI MAIL'!$E$84</f>
        <v>5~6</v>
      </c>
      <c r="H14" s="1000" t="str">
        <f>'XM.GUI MAIL'!$F$84</f>
        <v>(5.5± 0.5L)</v>
      </c>
      <c r="I14" s="61" t="str">
        <f>'XM.GUI MAIL'!I84</f>
        <v/>
      </c>
      <c r="J14" s="904" t="s">
        <v>8</v>
      </c>
      <c r="K14" s="905" t="str">
        <f>'XM.GUI MAIL'!L84</f>
        <v/>
      </c>
      <c r="L14" s="77" t="s">
        <v>9</v>
      </c>
      <c r="M14" s="61" t="str">
        <f>'XM.GUI MAIL'!U84</f>
        <v/>
      </c>
      <c r="N14" s="72" t="s">
        <v>8</v>
      </c>
      <c r="O14" s="905" t="str">
        <f>'XM.GUI MAIL'!X84</f>
        <v/>
      </c>
      <c r="P14" s="75" t="s">
        <v>9</v>
      </c>
      <c r="Q14" s="1151" t="s">
        <v>43</v>
      </c>
    </row>
    <row r="15" spans="1:17" ht="33.75" hidden="1" customHeight="1">
      <c r="A15" s="2281"/>
      <c r="B15" s="2305"/>
      <c r="C15" s="2306"/>
      <c r="D15" s="2309" t="s">
        <v>134</v>
      </c>
      <c r="E15" s="2310"/>
      <c r="F15" s="604" t="s">
        <v>4</v>
      </c>
      <c r="G15" s="1000" t="s">
        <v>126</v>
      </c>
      <c r="H15" s="1000" t="s">
        <v>126</v>
      </c>
      <c r="I15" s="67">
        <f>'XM.GUI MAIL'!I85</f>
        <v>0</v>
      </c>
      <c r="J15" s="904"/>
      <c r="K15" s="905" t="str">
        <f>'XM.GUI MAIL'!L85</f>
        <v/>
      </c>
      <c r="L15" s="77"/>
      <c r="M15" s="67">
        <f>'XM.GUI MAIL'!U85</f>
        <v>0</v>
      </c>
      <c r="N15" s="72"/>
      <c r="O15" s="905" t="str">
        <f>'XM.GUI MAIL'!X85</f>
        <v/>
      </c>
      <c r="P15" s="75"/>
      <c r="Q15" s="1151"/>
    </row>
    <row r="16" spans="1:17" ht="33.75" customHeight="1">
      <c r="A16" s="2288"/>
      <c r="B16" s="2305"/>
      <c r="C16" s="2306"/>
      <c r="D16" s="2309" t="s">
        <v>108</v>
      </c>
      <c r="E16" s="2310"/>
      <c r="F16" s="604" t="s">
        <v>4</v>
      </c>
      <c r="G16" s="1000" t="str">
        <f>'XM.GUI MAIL'!$E$86</f>
        <v>120~130</v>
      </c>
      <c r="H16" s="1000" t="str">
        <f>'XM.GUI MAIL'!$F$86</f>
        <v>(125 ± 5)</v>
      </c>
      <c r="I16" s="61">
        <f>'XM.GUI MAIL'!I86</f>
        <v>0</v>
      </c>
      <c r="J16" s="904" t="s">
        <v>8</v>
      </c>
      <c r="K16" s="905" t="str">
        <f>'XM.GUI MAIL'!L86</f>
        <v/>
      </c>
      <c r="L16" s="77" t="s">
        <v>1367</v>
      </c>
      <c r="M16" s="61">
        <f>'XM.GUI MAIL'!U86</f>
        <v>0</v>
      </c>
      <c r="N16" s="72" t="s">
        <v>8</v>
      </c>
      <c r="O16" s="905" t="str">
        <f>'XM.GUI MAIL'!X86</f>
        <v/>
      </c>
      <c r="P16" s="75" t="s">
        <v>1050</v>
      </c>
      <c r="Q16" s="1151" t="s">
        <v>44</v>
      </c>
    </row>
    <row r="17" spans="1:17" s="7" customFormat="1" ht="33.75" hidden="1" customHeight="1">
      <c r="A17" s="2280">
        <v>6</v>
      </c>
      <c r="B17" s="2307"/>
      <c r="C17" s="2308"/>
      <c r="D17" s="1501" t="s">
        <v>137</v>
      </c>
      <c r="E17" s="1502"/>
      <c r="F17" s="604" t="s">
        <v>4</v>
      </c>
      <c r="G17" s="1000" t="s">
        <v>138</v>
      </c>
      <c r="H17" s="1000" t="s">
        <v>138</v>
      </c>
      <c r="I17" s="67" t="str">
        <f>'XM.GUI MAIL'!I87</f>
        <v/>
      </c>
      <c r="J17" s="904" t="s">
        <v>8</v>
      </c>
      <c r="K17" s="905" t="str">
        <f>'XM.GUI MAIL'!L87</f>
        <v/>
      </c>
      <c r="L17" s="77" t="s">
        <v>10</v>
      </c>
      <c r="M17" s="67" t="str">
        <f>'XM.GUI MAIL'!U87</f>
        <v/>
      </c>
      <c r="N17" s="72" t="s">
        <v>8</v>
      </c>
      <c r="O17" s="905" t="str">
        <f>'XM.GUI MAIL'!X87</f>
        <v/>
      </c>
      <c r="P17" s="75" t="s">
        <v>10</v>
      </c>
      <c r="Q17" s="1151" t="s">
        <v>45</v>
      </c>
    </row>
    <row r="18" spans="1:17" ht="33.75" customHeight="1">
      <c r="A18" s="2288"/>
      <c r="B18" s="2229" t="s">
        <v>135</v>
      </c>
      <c r="C18" s="2230"/>
      <c r="D18" s="2309" t="s">
        <v>5</v>
      </c>
      <c r="E18" s="2310"/>
      <c r="F18" s="87" t="s">
        <v>5</v>
      </c>
      <c r="G18" s="1000" t="str">
        <f>'XM.GUI MAIL'!$E$88</f>
        <v>3.0-4.5</v>
      </c>
      <c r="H18" s="1000" t="str">
        <f>'XM.GUI MAIL'!$F$88</f>
        <v>(4.3±0.2)</v>
      </c>
      <c r="I18" s="67">
        <f>'XM.GUI MAIL'!I88</f>
        <v>0</v>
      </c>
      <c r="J18" s="904" t="s">
        <v>8</v>
      </c>
      <c r="K18" s="905"/>
      <c r="L18" s="77"/>
      <c r="M18" s="67">
        <f>'XM.GUI MAIL'!U88</f>
        <v>0</v>
      </c>
      <c r="N18" s="72" t="s">
        <v>8</v>
      </c>
      <c r="O18" s="905"/>
      <c r="P18" s="75"/>
      <c r="Q18" s="121"/>
    </row>
    <row r="19" spans="1:17" ht="33.75" customHeight="1">
      <c r="A19" s="1153">
        <v>7</v>
      </c>
      <c r="B19" s="2300" t="s">
        <v>1036</v>
      </c>
      <c r="C19" s="2301"/>
      <c r="D19" s="2301"/>
      <c r="E19" s="2302"/>
      <c r="F19" s="87" t="s">
        <v>6</v>
      </c>
      <c r="G19" s="1134" t="str">
        <f>'XM.GUI MAIL'!$E$76</f>
        <v>40~50</v>
      </c>
      <c r="H19" s="1134" t="str">
        <f>'XM.GUI MAIL'!$F$76</f>
        <v>(45±5)</v>
      </c>
      <c r="I19" s="68">
        <f>'3.XT-C TT'!I18</f>
        <v>0.3969375</v>
      </c>
      <c r="J19" s="72" t="s">
        <v>8</v>
      </c>
      <c r="K19" s="73">
        <f>'3.XT-C TT'!K18</f>
        <v>356.73918750000007</v>
      </c>
      <c r="L19" s="30" t="s">
        <v>10</v>
      </c>
      <c r="M19" s="68">
        <f>'3.XT-C TT'!Q18</f>
        <v>0</v>
      </c>
      <c r="N19" s="72" t="s">
        <v>8</v>
      </c>
      <c r="O19" s="73">
        <f>'3.XT-C TT'!S18</f>
        <v>0</v>
      </c>
      <c r="P19" s="75" t="s">
        <v>10</v>
      </c>
      <c r="Q19" s="1151" t="s">
        <v>46</v>
      </c>
    </row>
    <row r="20" spans="1:17" ht="33.75" customHeight="1">
      <c r="A20" s="1153">
        <v>8</v>
      </c>
      <c r="B20" s="2300" t="s">
        <v>1037</v>
      </c>
      <c r="C20" s="2301"/>
      <c r="D20" s="2301"/>
      <c r="E20" s="2302"/>
      <c r="F20" s="87" t="s">
        <v>6</v>
      </c>
      <c r="G20" s="1134" t="str">
        <f>'XM.GUI MAIL'!$E$77</f>
        <v>40~50</v>
      </c>
      <c r="H20" s="1134" t="str">
        <f>'XM.GUI MAIL'!$F$77</f>
        <v>(45±5)</v>
      </c>
      <c r="I20" s="68">
        <f>'3.XT-C TT'!I19</f>
        <v>0</v>
      </c>
      <c r="J20" s="72" t="s">
        <v>8</v>
      </c>
      <c r="K20" s="73">
        <f>'3.XT-C TT'!K19</f>
        <v>0</v>
      </c>
      <c r="L20" s="30" t="s">
        <v>10</v>
      </c>
      <c r="M20" s="68">
        <f>'3.XT-C TT'!Q19</f>
        <v>0</v>
      </c>
      <c r="N20" s="72" t="s">
        <v>8</v>
      </c>
      <c r="O20" s="73">
        <f>'3.XT-C TT'!S19</f>
        <v>0</v>
      </c>
      <c r="P20" s="75" t="s">
        <v>10</v>
      </c>
      <c r="Q20" s="1135" t="s">
        <v>46</v>
      </c>
    </row>
    <row r="21" spans="1:17" ht="33.75" customHeight="1">
      <c r="A21" s="1153">
        <v>9</v>
      </c>
      <c r="B21" s="2293" t="s">
        <v>86</v>
      </c>
      <c r="C21" s="2294"/>
      <c r="D21" s="2294"/>
      <c r="E21" s="2295"/>
      <c r="F21" s="87" t="s">
        <v>6</v>
      </c>
      <c r="G21" s="1134" t="str">
        <f>'XM.GUI MAIL'!$E$78</f>
        <v>20~40</v>
      </c>
      <c r="H21" s="1134" t="str">
        <f>'XM.GUI MAIL'!$F$78</f>
        <v>(30±5)</v>
      </c>
      <c r="I21" s="68">
        <f>'3.XT-C TT'!I20</f>
        <v>8.212499999999999E-2</v>
      </c>
      <c r="J21" s="72" t="s">
        <v>8</v>
      </c>
      <c r="K21" s="73">
        <f>'3.XT-C TT'!K20</f>
        <v>704.6077499999999</v>
      </c>
      <c r="L21" s="30" t="s">
        <v>10</v>
      </c>
      <c r="M21" s="68">
        <f>'3.XT-C TT'!Q20</f>
        <v>0</v>
      </c>
      <c r="N21" s="72" t="s">
        <v>8</v>
      </c>
      <c r="O21" s="73">
        <f>'3.XT-C TT'!S20</f>
        <v>0</v>
      </c>
      <c r="P21" s="75" t="s">
        <v>10</v>
      </c>
      <c r="Q21" s="1151" t="s">
        <v>47</v>
      </c>
    </row>
    <row r="22" spans="1:17" ht="33.75" customHeight="1">
      <c r="A22" s="1153">
        <v>10</v>
      </c>
      <c r="B22" s="2293" t="s">
        <v>1038</v>
      </c>
      <c r="C22" s="2294" t="s">
        <v>1038</v>
      </c>
      <c r="D22" s="2294" t="s">
        <v>1038</v>
      </c>
      <c r="E22" s="2295" t="s">
        <v>1038</v>
      </c>
      <c r="F22" s="87" t="s">
        <v>6</v>
      </c>
      <c r="G22" s="1134" t="str">
        <f>'XM.GUI MAIL'!$E$79</f>
        <v>0.5~1.5</v>
      </c>
      <c r="H22" s="1134" t="str">
        <f>'XM.GUI MAIL'!$F$79</f>
        <v>(1±0.4)</v>
      </c>
      <c r="I22" s="69">
        <f>'3.XT-C TT'!I21</f>
        <v>0</v>
      </c>
      <c r="J22" s="72" t="s">
        <v>8</v>
      </c>
      <c r="K22" s="76">
        <f>'3.XT-C TT'!K21</f>
        <v>0</v>
      </c>
      <c r="L22" s="78" t="s">
        <v>10</v>
      </c>
      <c r="M22" s="69">
        <f>'3.XT-C TT'!Q21</f>
        <v>0</v>
      </c>
      <c r="N22" s="72" t="s">
        <v>8</v>
      </c>
      <c r="O22" s="76">
        <f>'3.XT-C TT'!S21</f>
        <v>0</v>
      </c>
      <c r="P22" s="75" t="s">
        <v>10</v>
      </c>
      <c r="Q22" s="1151" t="s">
        <v>47</v>
      </c>
    </row>
    <row r="23" spans="1:17" ht="41.25" customHeight="1">
      <c r="A23" s="1153"/>
      <c r="B23" s="2296" t="s">
        <v>2</v>
      </c>
      <c r="C23" s="2296"/>
      <c r="D23" s="2296"/>
      <c r="E23" s="2296"/>
      <c r="F23" s="2296"/>
      <c r="G23" s="2296"/>
      <c r="H23" s="2296"/>
      <c r="I23" s="2296"/>
      <c r="J23" s="2296"/>
      <c r="K23" s="2296"/>
      <c r="L23" s="2296"/>
      <c r="M23" s="2296"/>
      <c r="N23" s="2296"/>
      <c r="O23" s="2296"/>
      <c r="P23" s="2296"/>
      <c r="Q23" s="2296"/>
    </row>
    <row r="24" spans="1:17" ht="47.25" customHeight="1">
      <c r="A24" s="1153" t="s">
        <v>7</v>
      </c>
      <c r="B24" s="2297" t="s">
        <v>23</v>
      </c>
      <c r="C24" s="2298"/>
      <c r="D24" s="2298"/>
      <c r="E24" s="2299"/>
      <c r="F24" s="85" t="s">
        <v>24</v>
      </c>
      <c r="G24" s="1094" t="s">
        <v>1424</v>
      </c>
      <c r="H24" s="1618" t="s">
        <v>1412</v>
      </c>
      <c r="I24" s="2229" t="s">
        <v>26</v>
      </c>
      <c r="J24" s="2230"/>
      <c r="K24" s="2229" t="s">
        <v>27</v>
      </c>
      <c r="L24" s="2230"/>
      <c r="M24" s="2229" t="s">
        <v>26</v>
      </c>
      <c r="N24" s="2230"/>
      <c r="O24" s="2229" t="s">
        <v>27</v>
      </c>
      <c r="P24" s="2230"/>
      <c r="Q24" s="10"/>
    </row>
    <row r="25" spans="1:17" ht="43.5" customHeight="1">
      <c r="A25" s="1153">
        <v>1</v>
      </c>
      <c r="B25" s="2297" t="s">
        <v>36</v>
      </c>
      <c r="C25" s="2298"/>
      <c r="D25" s="2298"/>
      <c r="E25" s="2299"/>
      <c r="F25" s="11" t="s">
        <v>28</v>
      </c>
      <c r="G25" s="1136" t="str">
        <f>'XM.GUI MAIL'!$E$91</f>
        <v>65~75</v>
      </c>
      <c r="H25" s="1136" t="str">
        <f>'XM.GUI MAIL'!$F$91</f>
        <v>(70±3)</v>
      </c>
      <c r="I25" s="2088">
        <f>'3.XT-C TT'!I28:J28</f>
        <v>0</v>
      </c>
      <c r="J25" s="2089"/>
      <c r="K25" s="2088">
        <f>'3.XT-C TT'!K28:L28</f>
        <v>0</v>
      </c>
      <c r="L25" s="2089"/>
      <c r="M25" s="2088">
        <f>'3.XT-C TT'!Q28</f>
        <v>0</v>
      </c>
      <c r="N25" s="2089"/>
      <c r="O25" s="2088">
        <f>'3.XT-C TT'!S28</f>
        <v>0</v>
      </c>
      <c r="P25" s="2089"/>
      <c r="Q25" s="1153"/>
    </row>
    <row r="26" spans="1:17" ht="43.5" customHeight="1">
      <c r="A26" s="1153">
        <v>2</v>
      </c>
      <c r="B26" s="2297" t="s">
        <v>37</v>
      </c>
      <c r="C26" s="2298"/>
      <c r="D26" s="2298"/>
      <c r="E26" s="2299"/>
      <c r="F26" s="11" t="s">
        <v>28</v>
      </c>
      <c r="G26" s="1136" t="str">
        <f>'XM.GUI MAIL'!$E$92</f>
        <v>65~75</v>
      </c>
      <c r="H26" s="1136" t="str">
        <f>'XM.GUI MAIL'!$F$92</f>
        <v>(70±3)</v>
      </c>
      <c r="I26" s="2088">
        <f>'3.XT-C TT'!I29:J29</f>
        <v>0</v>
      </c>
      <c r="J26" s="2089"/>
      <c r="K26" s="2088">
        <f>'3.XT-C TT'!K29:L29</f>
        <v>0</v>
      </c>
      <c r="L26" s="2089"/>
      <c r="M26" s="2088">
        <f>'3.XT-C TT'!Q29</f>
        <v>0</v>
      </c>
      <c r="N26" s="2089"/>
      <c r="O26" s="2088">
        <f>'3.XT-C TT'!S29</f>
        <v>0</v>
      </c>
      <c r="P26" s="2089"/>
      <c r="Q26" s="1153"/>
    </row>
    <row r="27" spans="1:17" ht="43.5" customHeight="1">
      <c r="A27" s="1153">
        <v>3</v>
      </c>
      <c r="B27" s="2297" t="s">
        <v>29</v>
      </c>
      <c r="C27" s="2298"/>
      <c r="D27" s="2298"/>
      <c r="E27" s="2299"/>
      <c r="F27" s="11" t="s">
        <v>28</v>
      </c>
      <c r="G27" s="1136" t="str">
        <f>'XM.GUI MAIL'!$E$93</f>
        <v>60~70</v>
      </c>
      <c r="H27" s="1136" t="str">
        <f>'XM.GUI MAIL'!$F$93</f>
        <v>(65±3)</v>
      </c>
      <c r="I27" s="2088">
        <f>'3.XT-C TT'!I30:J30</f>
        <v>0</v>
      </c>
      <c r="J27" s="2089"/>
      <c r="K27" s="2088">
        <f>'3.XT-C TT'!K30:L30</f>
        <v>0</v>
      </c>
      <c r="L27" s="2089"/>
      <c r="M27" s="2088">
        <f>'3.XT-C TT'!Q30</f>
        <v>0</v>
      </c>
      <c r="N27" s="2089"/>
      <c r="O27" s="2088">
        <f>'3.XT-C TT'!S30</f>
        <v>0</v>
      </c>
      <c r="P27" s="2089"/>
      <c r="Q27" s="1153"/>
    </row>
    <row r="28" spans="1:17" ht="43.5" customHeight="1">
      <c r="A28" s="1153">
        <v>4</v>
      </c>
      <c r="B28" s="2297" t="s">
        <v>30</v>
      </c>
      <c r="C28" s="2298"/>
      <c r="D28" s="2298"/>
      <c r="E28" s="2299"/>
      <c r="F28" s="11" t="s">
        <v>28</v>
      </c>
      <c r="G28" s="1136" t="str">
        <f>'XM.GUI MAIL'!$E$94</f>
        <v>60~70</v>
      </c>
      <c r="H28" s="1136" t="str">
        <f>'XM.GUI MAIL'!$F$94</f>
        <v>(65±3)</v>
      </c>
      <c r="I28" s="2088">
        <f>'3.XT-C TT'!I31:J31</f>
        <v>0</v>
      </c>
      <c r="J28" s="2089"/>
      <c r="K28" s="2088">
        <f>'3.XT-C TT'!K31:L31</f>
        <v>0</v>
      </c>
      <c r="L28" s="2089"/>
      <c r="M28" s="2088">
        <f>'3.XT-C TT'!Q31</f>
        <v>0</v>
      </c>
      <c r="N28" s="2089"/>
      <c r="O28" s="2088">
        <f>'3.XT-C TT'!S31</f>
        <v>0</v>
      </c>
      <c r="P28" s="2089"/>
      <c r="Q28" s="1153"/>
    </row>
    <row r="29" spans="1:17" ht="43.5" customHeight="1">
      <c r="A29" s="87">
        <v>5</v>
      </c>
      <c r="B29" s="2229" t="s">
        <v>127</v>
      </c>
      <c r="C29" s="2311"/>
      <c r="D29" s="2311"/>
      <c r="E29" s="2230"/>
      <c r="F29" s="11" t="s">
        <v>28</v>
      </c>
      <c r="G29" s="1136" t="str">
        <f>'XM.GUI MAIL'!$E$103</f>
        <v>24~28</v>
      </c>
      <c r="H29" s="1136" t="str">
        <f>'XM.GUI MAIL'!$F$103</f>
        <v>(26±2)</v>
      </c>
      <c r="I29" s="2091">
        <f>'XM.GUI MAIL'!I103</f>
        <v>0</v>
      </c>
      <c r="J29" s="2092"/>
      <c r="K29" s="2091">
        <f>'XM.GUI MAIL'!L103</f>
        <v>0</v>
      </c>
      <c r="L29" s="2092"/>
      <c r="M29" s="2091">
        <f>'XM.GUI MAIL'!U103</f>
        <v>0</v>
      </c>
      <c r="N29" s="2092"/>
      <c r="O29" s="2091">
        <f>'XM.GUI MAIL'!X103</f>
        <v>0</v>
      </c>
      <c r="P29" s="2092"/>
      <c r="Q29" s="1153"/>
    </row>
    <row r="30" spans="1:17" ht="43.5" customHeight="1">
      <c r="A30" s="87">
        <v>6</v>
      </c>
      <c r="B30" s="2220" t="s">
        <v>1397</v>
      </c>
      <c r="C30" s="2221"/>
      <c r="D30" s="2221"/>
      <c r="E30" s="2222"/>
      <c r="F30" s="11" t="s">
        <v>28</v>
      </c>
      <c r="G30" s="1136" t="str">
        <f>'XM.GUI MAIL'!$E$104</f>
        <v>40~60</v>
      </c>
      <c r="H30" s="1136" t="str">
        <f>'XM.GUI MAIL'!$F$104</f>
        <v>(50±10)</v>
      </c>
      <c r="I30" s="2091">
        <f>'XM.GUI MAIL'!I104</f>
        <v>0</v>
      </c>
      <c r="J30" s="2092"/>
      <c r="K30" s="2091">
        <f>'XM.GUI MAIL'!L104</f>
        <v>0</v>
      </c>
      <c r="L30" s="2092"/>
      <c r="M30" s="2091">
        <f>'XM.GUI MAIL'!U104</f>
        <v>0</v>
      </c>
      <c r="N30" s="2092"/>
      <c r="O30" s="2091">
        <f>'XM.GUI MAIL'!X104</f>
        <v>0</v>
      </c>
      <c r="P30" s="2092"/>
      <c r="Q30" s="1153"/>
    </row>
    <row r="31" spans="1:17" ht="43.5" customHeight="1">
      <c r="A31" s="87">
        <v>7</v>
      </c>
      <c r="B31" s="2229" t="s">
        <v>1399</v>
      </c>
      <c r="C31" s="2311"/>
      <c r="D31" s="2311"/>
      <c r="E31" s="2230"/>
      <c r="F31" s="11" t="s">
        <v>28</v>
      </c>
      <c r="G31" s="1136" t="str">
        <f>'XM.GUI MAIL'!$E$105</f>
        <v>20~30</v>
      </c>
      <c r="H31" s="1136" t="str">
        <f>'XM.GUI MAIL'!$F$105</f>
        <v>(25±5)</v>
      </c>
      <c r="I31" s="2091">
        <f>'XM.GUI MAIL'!I105</f>
        <v>0</v>
      </c>
      <c r="J31" s="2092"/>
      <c r="K31" s="2091">
        <f>'XM.GUI MAIL'!L105</f>
        <v>0</v>
      </c>
      <c r="L31" s="2092"/>
      <c r="M31" s="2091">
        <f>'XM.GUI MAIL'!U105</f>
        <v>0</v>
      </c>
      <c r="N31" s="2092"/>
      <c r="O31" s="2091">
        <f>'XM.GUI MAIL'!X105</f>
        <v>0</v>
      </c>
      <c r="P31" s="2092"/>
      <c r="Q31" s="1153"/>
    </row>
    <row r="32" spans="1:17" ht="43.5" customHeight="1">
      <c r="A32" s="1153">
        <v>8</v>
      </c>
      <c r="B32" s="2297" t="s">
        <v>33</v>
      </c>
      <c r="C32" s="2298"/>
      <c r="D32" s="2298"/>
      <c r="E32" s="2299"/>
      <c r="F32" s="11" t="s">
        <v>28</v>
      </c>
      <c r="G32" s="1136" t="str">
        <f>'XM.GUI MAIL'!$E$97</f>
        <v>55~65</v>
      </c>
      <c r="H32" s="1136" t="str">
        <f>'XM.GUI MAIL'!$F$97</f>
        <v>(60±3)</v>
      </c>
      <c r="I32" s="2088">
        <f>'3.XT-C TT'!I34:J34</f>
        <v>0</v>
      </c>
      <c r="J32" s="2089"/>
      <c r="K32" s="2088">
        <f>'3.XT-C TT'!K34:L34</f>
        <v>0</v>
      </c>
      <c r="L32" s="2089"/>
      <c r="M32" s="2088">
        <f>'3.XT-C TT'!Q34</f>
        <v>0</v>
      </c>
      <c r="N32" s="2089"/>
      <c r="O32" s="2088">
        <f>'3.XT-C TT'!S34</f>
        <v>0</v>
      </c>
      <c r="P32" s="2089"/>
      <c r="Q32" s="1153"/>
    </row>
    <row r="33" spans="1:17" ht="43.5" customHeight="1">
      <c r="A33" s="1153">
        <v>9</v>
      </c>
      <c r="B33" s="2297" t="s">
        <v>34</v>
      </c>
      <c r="C33" s="2298"/>
      <c r="D33" s="2298"/>
      <c r="E33" s="2299"/>
      <c r="F33" s="11" t="s">
        <v>28</v>
      </c>
      <c r="G33" s="1136" t="str">
        <f>'XM.GUI MAIL'!$E$98</f>
        <v>65~75</v>
      </c>
      <c r="H33" s="1136" t="str">
        <f>'XM.GUI MAIL'!$F$98</f>
        <v>(70±3)</v>
      </c>
      <c r="I33" s="2229" t="s">
        <v>50</v>
      </c>
      <c r="J33" s="2230"/>
      <c r="K33" s="2088">
        <f>'3.XT-C TT'!K35:L35</f>
        <v>0</v>
      </c>
      <c r="L33" s="2089"/>
      <c r="M33" s="2229" t="s">
        <v>50</v>
      </c>
      <c r="N33" s="2230"/>
      <c r="O33" s="2088">
        <f>'3.XT-C TT'!S35</f>
        <v>0</v>
      </c>
      <c r="P33" s="2089"/>
      <c r="Q33" s="1153"/>
    </row>
    <row r="34" spans="1:17" ht="18" customHeight="1">
      <c r="A34" s="71"/>
      <c r="B34" s="902"/>
      <c r="C34" s="902"/>
      <c r="D34" s="902"/>
      <c r="E34" s="902"/>
      <c r="F34" s="903"/>
      <c r="G34" s="1140"/>
      <c r="H34" s="1140"/>
      <c r="I34" s="607"/>
      <c r="J34" s="607"/>
      <c r="K34" s="607"/>
      <c r="L34" s="607"/>
      <c r="M34" s="607"/>
      <c r="N34" s="607"/>
      <c r="O34" s="607"/>
      <c r="P34" s="607"/>
      <c r="Q34" s="71"/>
    </row>
    <row r="35" spans="1:17" ht="28.5" customHeight="1">
      <c r="A35" s="2231" t="s">
        <v>151</v>
      </c>
      <c r="B35" s="2231"/>
      <c r="C35" s="2231"/>
      <c r="D35" s="2231"/>
      <c r="E35" s="2231"/>
      <c r="F35" s="2231"/>
      <c r="G35" s="2231"/>
      <c r="H35" s="2231"/>
      <c r="I35" s="2231"/>
      <c r="J35" s="2231"/>
      <c r="K35" s="2231"/>
      <c r="L35" s="2231"/>
      <c r="M35" s="2231"/>
      <c r="N35" s="2231"/>
      <c r="O35" s="1152"/>
      <c r="P35" s="1152"/>
      <c r="Q35" s="70"/>
    </row>
    <row r="36" spans="1:17" ht="43.5" customHeight="1">
      <c r="A36" s="2232" t="s">
        <v>1052</v>
      </c>
      <c r="B36" s="2232"/>
      <c r="C36" s="2232"/>
      <c r="D36" s="2232"/>
      <c r="E36" s="2232"/>
      <c r="F36" s="2232"/>
      <c r="G36" s="2232"/>
      <c r="H36" s="2232"/>
      <c r="I36" s="2232"/>
      <c r="J36" s="2232"/>
      <c r="K36" s="2232"/>
      <c r="L36" s="2232"/>
      <c r="M36" s="2232"/>
      <c r="N36" s="2267"/>
      <c r="O36" s="2268" t="s">
        <v>96</v>
      </c>
      <c r="P36" s="2130"/>
      <c r="Q36" s="85" t="s">
        <v>17</v>
      </c>
    </row>
    <row r="37" spans="1:17" ht="40.5" customHeight="1">
      <c r="A37" s="9"/>
      <c r="B37" s="1703" t="s">
        <v>143</v>
      </c>
      <c r="C37" s="1654"/>
      <c r="D37" s="1654"/>
      <c r="E37" s="1654"/>
      <c r="F37" s="1655"/>
      <c r="G37" s="1656" t="str">
        <f>'1. XL-1E kh'!$G$3</f>
        <v>2023/03/21</v>
      </c>
      <c r="H37" s="1646"/>
      <c r="I37" s="28"/>
      <c r="J37" s="28"/>
      <c r="K37" s="28"/>
      <c r="L37" s="29"/>
      <c r="M37" s="29"/>
      <c r="N37" s="29"/>
      <c r="O37" s="2269" t="str">
        <f>MENU!AD7</f>
        <v>L.Yen</v>
      </c>
      <c r="P37" s="2270"/>
      <c r="Q37" s="84" t="s">
        <v>11</v>
      </c>
    </row>
    <row r="38" spans="1:17" s="71" customFormat="1" ht="36" customHeight="1">
      <c r="A38" s="2271" t="s">
        <v>7</v>
      </c>
      <c r="B38" s="2272" t="s">
        <v>79</v>
      </c>
      <c r="C38" s="2273"/>
      <c r="D38" s="2273"/>
      <c r="E38" s="2274"/>
      <c r="F38" s="2278" t="s">
        <v>136</v>
      </c>
      <c r="G38" s="2125" t="s">
        <v>1424</v>
      </c>
      <c r="H38" s="2173" t="s">
        <v>1412</v>
      </c>
      <c r="I38" s="2128">
        <v>0.76041666666666663</v>
      </c>
      <c r="J38" s="2129"/>
      <c r="K38" s="2129"/>
      <c r="L38" s="2130"/>
      <c r="M38" s="2128">
        <v>9.375E-2</v>
      </c>
      <c r="N38" s="2129"/>
      <c r="O38" s="2129"/>
      <c r="P38" s="2130"/>
      <c r="Q38" s="2208" t="s">
        <v>41</v>
      </c>
    </row>
    <row r="39" spans="1:17" s="71" customFormat="1" ht="30" customHeight="1">
      <c r="A39" s="2271"/>
      <c r="B39" s="2275"/>
      <c r="C39" s="2276"/>
      <c r="D39" s="2276"/>
      <c r="E39" s="2277"/>
      <c r="F39" s="2279"/>
      <c r="G39" s="2126"/>
      <c r="H39" s="2174"/>
      <c r="I39" s="60" t="s">
        <v>145</v>
      </c>
      <c r="J39" s="2134" t="s">
        <v>1</v>
      </c>
      <c r="K39" s="2135"/>
      <c r="L39" s="2136"/>
      <c r="M39" s="60" t="s">
        <v>145</v>
      </c>
      <c r="N39" s="2134" t="s">
        <v>1</v>
      </c>
      <c r="O39" s="2135"/>
      <c r="P39" s="2136"/>
      <c r="Q39" s="2209"/>
    </row>
    <row r="40" spans="1:17" ht="39" customHeight="1">
      <c r="A40" s="2280">
        <v>1</v>
      </c>
      <c r="B40" s="2282" t="s">
        <v>154</v>
      </c>
      <c r="C40" s="2283"/>
      <c r="D40" s="2286" t="s">
        <v>258</v>
      </c>
      <c r="E40" s="2287"/>
      <c r="F40" s="1165" t="s">
        <v>4</v>
      </c>
      <c r="G40" s="1000" t="str">
        <f>'XM.GUI MAIL'!$E$68</f>
        <v>40~60</v>
      </c>
      <c r="H40" s="1000" t="str">
        <f>'XM.GUI MAIL'!$F$68</f>
        <v>(50±5)</v>
      </c>
      <c r="I40" s="61">
        <f>'3.XT-C TT(CA2)'!I6</f>
        <v>0</v>
      </c>
      <c r="J40" s="62"/>
      <c r="K40" s="63">
        <f>'3.XT-C TT(CA2)'!K6</f>
        <v>0</v>
      </c>
      <c r="L40" s="64" t="s">
        <v>9</v>
      </c>
      <c r="M40" s="61">
        <f>'3.XT-C TT(CA2)'!Q6</f>
        <v>0</v>
      </c>
      <c r="N40" s="72" t="s">
        <v>8</v>
      </c>
      <c r="O40" s="73">
        <f>'3.XT-C TT(CA2)'!S6</f>
        <v>0</v>
      </c>
      <c r="P40" s="75" t="s">
        <v>9</v>
      </c>
      <c r="Q40" s="1151" t="s">
        <v>42</v>
      </c>
    </row>
    <row r="41" spans="1:17" ht="39" customHeight="1">
      <c r="A41" s="2281"/>
      <c r="B41" s="2284"/>
      <c r="C41" s="2285"/>
      <c r="D41" s="2286" t="s">
        <v>259</v>
      </c>
      <c r="E41" s="2287"/>
      <c r="F41" s="1138" t="s">
        <v>58</v>
      </c>
      <c r="G41" s="1000" t="s">
        <v>1370</v>
      </c>
      <c r="H41" s="1000"/>
      <c r="I41" s="61"/>
      <c r="J41" s="62" t="s">
        <v>8</v>
      </c>
      <c r="K41" s="63">
        <f>'3.XT-C TT(CA2)'!K7</f>
        <v>0</v>
      </c>
      <c r="L41" s="64" t="s">
        <v>10</v>
      </c>
      <c r="M41" s="61"/>
      <c r="N41" s="72" t="s">
        <v>8</v>
      </c>
      <c r="O41" s="73">
        <f>'3.XT-C TT(CA2)'!S7</f>
        <v>0</v>
      </c>
      <c r="P41" s="75" t="s">
        <v>10</v>
      </c>
      <c r="Q41" s="1151"/>
    </row>
    <row r="42" spans="1:17" ht="39" customHeight="1">
      <c r="A42" s="2280">
        <v>2</v>
      </c>
      <c r="B42" s="2282" t="s">
        <v>155</v>
      </c>
      <c r="C42" s="2283"/>
      <c r="D42" s="2286" t="s">
        <v>258</v>
      </c>
      <c r="E42" s="2287"/>
      <c r="F42" s="1165" t="s">
        <v>4</v>
      </c>
      <c r="G42" s="1000" t="str">
        <f>'XM.GUI MAIL'!$E$69</f>
        <v>40~60</v>
      </c>
      <c r="H42" s="1000" t="str">
        <f>'XM.GUI MAIL'!$F$69</f>
        <v>(50±5)</v>
      </c>
      <c r="I42" s="61">
        <f>'3.XT-C TT(CA2)'!I8</f>
        <v>0</v>
      </c>
      <c r="J42" s="62" t="s">
        <v>8</v>
      </c>
      <c r="K42" s="63">
        <f>'3.XT-C TT(CA2)'!K8</f>
        <v>0</v>
      </c>
      <c r="L42" s="64" t="s">
        <v>9</v>
      </c>
      <c r="M42" s="61">
        <f>'3.XT-C TT(CA2)'!Q8</f>
        <v>0</v>
      </c>
      <c r="N42" s="72" t="s">
        <v>8</v>
      </c>
      <c r="O42" s="73">
        <f>'3.XT-C TT(CA2)'!S8</f>
        <v>0</v>
      </c>
      <c r="P42" s="75" t="s">
        <v>9</v>
      </c>
      <c r="Q42" s="1151" t="s">
        <v>42</v>
      </c>
    </row>
    <row r="43" spans="1:17" ht="39" customHeight="1">
      <c r="A43" s="2281"/>
      <c r="B43" s="2284"/>
      <c r="C43" s="2285"/>
      <c r="D43" s="2286" t="s">
        <v>259</v>
      </c>
      <c r="E43" s="2287"/>
      <c r="F43" s="1138" t="s">
        <v>58</v>
      </c>
      <c r="G43" s="1000" t="s">
        <v>1370</v>
      </c>
      <c r="H43" s="1000"/>
      <c r="I43" s="61"/>
      <c r="J43" s="62" t="s">
        <v>8</v>
      </c>
      <c r="K43" s="63">
        <f>'3.XT-C TT(CA2)'!K9</f>
        <v>0</v>
      </c>
      <c r="L43" s="64" t="s">
        <v>10</v>
      </c>
      <c r="M43" s="61"/>
      <c r="N43" s="72" t="s">
        <v>8</v>
      </c>
      <c r="O43" s="73">
        <f>'3.XT-C TT(CA2)'!S9</f>
        <v>0</v>
      </c>
      <c r="P43" s="75" t="s">
        <v>10</v>
      </c>
      <c r="Q43" s="1151"/>
    </row>
    <row r="44" spans="1:17" ht="39" customHeight="1">
      <c r="A44" s="2280">
        <v>3</v>
      </c>
      <c r="B44" s="2289" t="s">
        <v>156</v>
      </c>
      <c r="C44" s="2290"/>
      <c r="D44" s="2291" t="s">
        <v>260</v>
      </c>
      <c r="E44" s="2292" t="s">
        <v>260</v>
      </c>
      <c r="F44" s="1165" t="s">
        <v>4</v>
      </c>
      <c r="G44" s="1000" t="str">
        <f>'XM.GUI MAIL'!$E$70</f>
        <v>50~70</v>
      </c>
      <c r="H44" s="1000" t="str">
        <f>'XM.GUI MAIL'!$F$70</f>
        <v>(60±5)</v>
      </c>
      <c r="I44" s="61">
        <f>'3.XT-C TT(CA2)'!I10</f>
        <v>0</v>
      </c>
      <c r="J44" s="72" t="s">
        <v>8</v>
      </c>
      <c r="K44" s="63">
        <f>'3.XT-C TT(CA2)'!K10</f>
        <v>0</v>
      </c>
      <c r="L44" s="30" t="s">
        <v>9</v>
      </c>
      <c r="M44" s="61">
        <f>'3.XT-C TT(CA2)'!Q10</f>
        <v>0</v>
      </c>
      <c r="N44" s="72" t="s">
        <v>8</v>
      </c>
      <c r="O44" s="73">
        <f>'3.XT-C TT(CA2)'!S10</f>
        <v>0</v>
      </c>
      <c r="P44" s="75" t="s">
        <v>9</v>
      </c>
      <c r="Q44" s="1151" t="s">
        <v>42</v>
      </c>
    </row>
    <row r="45" spans="1:17" ht="39" customHeight="1">
      <c r="A45" s="2288"/>
      <c r="B45" s="2290"/>
      <c r="C45" s="2290"/>
      <c r="D45" s="2291" t="s">
        <v>261</v>
      </c>
      <c r="E45" s="2292" t="s">
        <v>261</v>
      </c>
      <c r="F45" s="1138" t="s">
        <v>58</v>
      </c>
      <c r="G45" s="1000" t="s">
        <v>1371</v>
      </c>
      <c r="H45" s="1000"/>
      <c r="I45" s="61"/>
      <c r="J45" s="62" t="s">
        <v>8</v>
      </c>
      <c r="K45" s="63">
        <f>'3.XT-C TT(CA2)'!K11</f>
        <v>0</v>
      </c>
      <c r="L45" s="64" t="s">
        <v>10</v>
      </c>
      <c r="M45" s="61"/>
      <c r="N45" s="72" t="s">
        <v>8</v>
      </c>
      <c r="O45" s="73">
        <f>'3.XT-C TT(CA2)'!S11</f>
        <v>0</v>
      </c>
      <c r="P45" s="75" t="s">
        <v>10</v>
      </c>
      <c r="Q45" s="1151"/>
    </row>
    <row r="46" spans="1:17" ht="39" customHeight="1">
      <c r="A46" s="2280">
        <v>4</v>
      </c>
      <c r="B46" s="2289" t="s">
        <v>157</v>
      </c>
      <c r="C46" s="2290"/>
      <c r="D46" s="2291" t="s">
        <v>260</v>
      </c>
      <c r="E46" s="2292" t="s">
        <v>260</v>
      </c>
      <c r="F46" s="1165" t="s">
        <v>4</v>
      </c>
      <c r="G46" s="1000" t="str">
        <f>'XM.GUI MAIL'!$E$71</f>
        <v>50~70</v>
      </c>
      <c r="H46" s="1000" t="str">
        <f>'XM.GUI MAIL'!$F$71</f>
        <v>(60±5)</v>
      </c>
      <c r="I46" s="61">
        <f>'3.XT-C TT(CA2)'!I12</f>
        <v>0</v>
      </c>
      <c r="J46" s="72" t="s">
        <v>8</v>
      </c>
      <c r="K46" s="63">
        <f>'3.XT-C TT(CA2)'!K12</f>
        <v>0</v>
      </c>
      <c r="L46" s="30" t="s">
        <v>9</v>
      </c>
      <c r="M46" s="61">
        <f>'3.XT-C TT(CA2)'!Q12</f>
        <v>0</v>
      </c>
      <c r="N46" s="72" t="s">
        <v>8</v>
      </c>
      <c r="O46" s="73">
        <f>'3.XT-C TT(CA2)'!S12</f>
        <v>0</v>
      </c>
      <c r="P46" s="75" t="s">
        <v>9</v>
      </c>
      <c r="Q46" s="1151" t="s">
        <v>42</v>
      </c>
    </row>
    <row r="47" spans="1:17" ht="39" customHeight="1">
      <c r="A47" s="2288"/>
      <c r="B47" s="2290"/>
      <c r="C47" s="2290"/>
      <c r="D47" s="2291" t="s">
        <v>261</v>
      </c>
      <c r="E47" s="2292" t="s">
        <v>261</v>
      </c>
      <c r="F47" s="1138" t="s">
        <v>58</v>
      </c>
      <c r="G47" s="1000" t="s">
        <v>1371</v>
      </c>
      <c r="H47" s="1000"/>
      <c r="I47" s="61"/>
      <c r="J47" s="72" t="s">
        <v>8</v>
      </c>
      <c r="K47" s="63">
        <f>'3.XT-C TT(CA2)'!K13</f>
        <v>0</v>
      </c>
      <c r="L47" s="77" t="s">
        <v>10</v>
      </c>
      <c r="M47" s="61"/>
      <c r="N47" s="72" t="s">
        <v>8</v>
      </c>
      <c r="O47" s="73">
        <f>'3.XT-C TT(CA2)'!S13</f>
        <v>0</v>
      </c>
      <c r="P47" s="75" t="s">
        <v>10</v>
      </c>
      <c r="Q47" s="1151"/>
    </row>
    <row r="48" spans="1:17" ht="37.5" customHeight="1">
      <c r="A48" s="2280">
        <v>5</v>
      </c>
      <c r="B48" s="2303" t="s">
        <v>133</v>
      </c>
      <c r="C48" s="2304"/>
      <c r="D48" s="2309" t="s">
        <v>124</v>
      </c>
      <c r="E48" s="2310"/>
      <c r="F48" s="604" t="s">
        <v>4</v>
      </c>
      <c r="G48" s="1000" t="str">
        <f>'XM.GUI MAIL'!$E$84</f>
        <v>5~6</v>
      </c>
      <c r="H48" s="1000" t="str">
        <f>'XM.GUI MAIL'!$F$84</f>
        <v>(5.5± 0.5L)</v>
      </c>
      <c r="I48" s="61" t="str">
        <f>'XM.GUI MAIL'!AA84</f>
        <v/>
      </c>
      <c r="J48" s="904" t="s">
        <v>8</v>
      </c>
      <c r="K48" s="905" t="str">
        <f>'XM.GUI MAIL'!AD84</f>
        <v/>
      </c>
      <c r="L48" s="77" t="s">
        <v>9</v>
      </c>
      <c r="M48" s="61" t="str">
        <f>'XM.GUI MAIL'!AM84</f>
        <v/>
      </c>
      <c r="N48" s="72" t="s">
        <v>8</v>
      </c>
      <c r="O48" s="905" t="str">
        <f>'XM.GUI MAIL'!AP84</f>
        <v/>
      </c>
      <c r="P48" s="75" t="s">
        <v>9</v>
      </c>
      <c r="Q48" s="1151" t="s">
        <v>43</v>
      </c>
    </row>
    <row r="49" spans="1:17" ht="31.5" hidden="1" customHeight="1">
      <c r="A49" s="2281"/>
      <c r="B49" s="2305"/>
      <c r="C49" s="2306"/>
      <c r="D49" s="2309" t="s">
        <v>134</v>
      </c>
      <c r="E49" s="2310"/>
      <c r="F49" s="604" t="s">
        <v>4</v>
      </c>
      <c r="G49" s="1000" t="s">
        <v>126</v>
      </c>
      <c r="H49" s="1000" t="s">
        <v>126</v>
      </c>
      <c r="I49" s="67">
        <f>'XM.GUI MAIL'!AA85</f>
        <v>0</v>
      </c>
      <c r="J49" s="904"/>
      <c r="K49" s="905" t="str">
        <f>'XM.GUI MAIL'!AD85</f>
        <v/>
      </c>
      <c r="L49" s="77"/>
      <c r="M49" s="67">
        <f>'XM.GUI MAIL'!AM85</f>
        <v>0</v>
      </c>
      <c r="N49" s="72"/>
      <c r="O49" s="905" t="str">
        <f>'XM.GUI MAIL'!AP85</f>
        <v/>
      </c>
      <c r="P49" s="75"/>
      <c r="Q49" s="1151"/>
    </row>
    <row r="50" spans="1:17" ht="36.75" customHeight="1">
      <c r="A50" s="2288"/>
      <c r="B50" s="2305"/>
      <c r="C50" s="2306"/>
      <c r="D50" s="2309" t="s">
        <v>108</v>
      </c>
      <c r="E50" s="2310"/>
      <c r="F50" s="604" t="s">
        <v>4</v>
      </c>
      <c r="G50" s="1000" t="str">
        <f>'XM.GUI MAIL'!$E$86</f>
        <v>120~130</v>
      </c>
      <c r="H50" s="1000" t="str">
        <f>'XM.GUI MAIL'!$F$86</f>
        <v>(125 ± 5)</v>
      </c>
      <c r="I50" s="61">
        <f>'XM.GUI MAIL'!AA86</f>
        <v>0</v>
      </c>
      <c r="J50" s="904" t="s">
        <v>8</v>
      </c>
      <c r="K50" s="905" t="str">
        <f>'XM.GUI MAIL'!AD86</f>
        <v/>
      </c>
      <c r="L50" s="77" t="s">
        <v>1050</v>
      </c>
      <c r="M50" s="61">
        <f>'XM.GUI MAIL'!AM86</f>
        <v>0</v>
      </c>
      <c r="N50" s="72" t="s">
        <v>8</v>
      </c>
      <c r="O50" s="905" t="str">
        <f>'XM.GUI MAIL'!AP86</f>
        <v/>
      </c>
      <c r="P50" s="75" t="s">
        <v>1050</v>
      </c>
      <c r="Q50" s="1151" t="s">
        <v>44</v>
      </c>
    </row>
    <row r="51" spans="1:17" s="7" customFormat="1" ht="31.5" hidden="1" customHeight="1">
      <c r="A51" s="2280">
        <v>6</v>
      </c>
      <c r="B51" s="2307"/>
      <c r="C51" s="2308"/>
      <c r="D51" s="1501" t="s">
        <v>137</v>
      </c>
      <c r="E51" s="1502"/>
      <c r="F51" s="604" t="s">
        <v>4</v>
      </c>
      <c r="G51" s="1000" t="s">
        <v>138</v>
      </c>
      <c r="H51" s="1000" t="s">
        <v>138</v>
      </c>
      <c r="I51" s="67" t="str">
        <f>'XM.GUI MAIL'!AA87</f>
        <v/>
      </c>
      <c r="J51" s="904" t="s">
        <v>8</v>
      </c>
      <c r="K51" s="905" t="str">
        <f>'XM.GUI MAIL'!AD87</f>
        <v/>
      </c>
      <c r="L51" s="77" t="s">
        <v>10</v>
      </c>
      <c r="M51" s="67" t="str">
        <f>'XM.GUI MAIL'!AM87</f>
        <v/>
      </c>
      <c r="N51" s="72" t="s">
        <v>8</v>
      </c>
      <c r="O51" s="905" t="str">
        <f>'XM.GUI MAIL'!AP87</f>
        <v/>
      </c>
      <c r="P51" s="75" t="s">
        <v>10</v>
      </c>
      <c r="Q51" s="1151" t="s">
        <v>45</v>
      </c>
    </row>
    <row r="52" spans="1:17" ht="35.25" customHeight="1">
      <c r="A52" s="2288"/>
      <c r="B52" s="2229" t="s">
        <v>135</v>
      </c>
      <c r="C52" s="2230"/>
      <c r="D52" s="2309" t="s">
        <v>5</v>
      </c>
      <c r="E52" s="2310"/>
      <c r="F52" s="87" t="s">
        <v>5</v>
      </c>
      <c r="G52" s="1000" t="str">
        <f>'XM.GUI MAIL'!$E$88</f>
        <v>3.0-4.5</v>
      </c>
      <c r="H52" s="1000" t="str">
        <f>'XM.GUI MAIL'!$F$88</f>
        <v>(4.3±0.2)</v>
      </c>
      <c r="I52" s="67">
        <f>'XM.GUI MAIL'!AA88</f>
        <v>0</v>
      </c>
      <c r="J52" s="904" t="s">
        <v>8</v>
      </c>
      <c r="K52" s="905"/>
      <c r="L52" s="77"/>
      <c r="M52" s="67">
        <f>'XM.GUI MAIL'!AM88</f>
        <v>0</v>
      </c>
      <c r="N52" s="72" t="s">
        <v>8</v>
      </c>
      <c r="O52" s="905"/>
      <c r="P52" s="75"/>
      <c r="Q52" s="121"/>
    </row>
    <row r="53" spans="1:17" ht="37.5" customHeight="1">
      <c r="A53" s="1153">
        <v>7</v>
      </c>
      <c r="B53" s="2300" t="s">
        <v>1036</v>
      </c>
      <c r="C53" s="2301"/>
      <c r="D53" s="2301"/>
      <c r="E53" s="2302"/>
      <c r="F53" s="87" t="s">
        <v>6</v>
      </c>
      <c r="G53" s="1134" t="str">
        <f>'XM.GUI MAIL'!$E$76</f>
        <v>40~50</v>
      </c>
      <c r="H53" s="1134" t="str">
        <f>'XM.GUI MAIL'!$F$76</f>
        <v>(45±5)</v>
      </c>
      <c r="I53" s="68">
        <f>'3.XT-C TT(CA2)'!I18</f>
        <v>0</v>
      </c>
      <c r="J53" s="72" t="s">
        <v>8</v>
      </c>
      <c r="K53" s="73">
        <f>'3.XT-C TT(CA2)'!K18</f>
        <v>0</v>
      </c>
      <c r="L53" s="30" t="s">
        <v>10</v>
      </c>
      <c r="M53" s="68">
        <f>'3.XT-C TT(CA2)'!Q18</f>
        <v>0</v>
      </c>
      <c r="N53" s="72" t="s">
        <v>8</v>
      </c>
      <c r="O53" s="73">
        <f>'3.XT-C TT(CA2)'!S18</f>
        <v>0</v>
      </c>
      <c r="P53" s="75" t="s">
        <v>10</v>
      </c>
      <c r="Q53" s="1151" t="s">
        <v>46</v>
      </c>
    </row>
    <row r="54" spans="1:17" ht="37.5" customHeight="1">
      <c r="A54" s="1153">
        <v>8</v>
      </c>
      <c r="B54" s="2300" t="s">
        <v>1037</v>
      </c>
      <c r="C54" s="2301"/>
      <c r="D54" s="2301"/>
      <c r="E54" s="2302"/>
      <c r="F54" s="87" t="s">
        <v>6</v>
      </c>
      <c r="G54" s="1134" t="str">
        <f>'XM.GUI MAIL'!$E$77</f>
        <v>40~50</v>
      </c>
      <c r="H54" s="1134" t="str">
        <f>'XM.GUI MAIL'!$F$77</f>
        <v>(45±5)</v>
      </c>
      <c r="I54" s="68">
        <f>'3.XT-C TT(CA2)'!I19</f>
        <v>0</v>
      </c>
      <c r="J54" s="72" t="s">
        <v>8</v>
      </c>
      <c r="K54" s="73">
        <f>'3.XT-C TT(CA2)'!K19</f>
        <v>0</v>
      </c>
      <c r="L54" s="30" t="s">
        <v>10</v>
      </c>
      <c r="M54" s="68">
        <f>'3.XT-C TT(CA2)'!Q19</f>
        <v>0</v>
      </c>
      <c r="N54" s="72" t="s">
        <v>8</v>
      </c>
      <c r="O54" s="73">
        <f>'3.XT-C TT(CA2)'!S19</f>
        <v>0</v>
      </c>
      <c r="P54" s="75" t="s">
        <v>10</v>
      </c>
      <c r="Q54" s="1135" t="s">
        <v>46</v>
      </c>
    </row>
    <row r="55" spans="1:17" ht="37.5" customHeight="1">
      <c r="A55" s="1153">
        <v>9</v>
      </c>
      <c r="B55" s="2293" t="s">
        <v>86</v>
      </c>
      <c r="C55" s="2294"/>
      <c r="D55" s="2294"/>
      <c r="E55" s="2295"/>
      <c r="F55" s="87" t="s">
        <v>6</v>
      </c>
      <c r="G55" s="1134" t="str">
        <f>'XM.GUI MAIL'!$E$78</f>
        <v>20~40</v>
      </c>
      <c r="H55" s="1134" t="str">
        <f>'XM.GUI MAIL'!$F$78</f>
        <v>(30±5)</v>
      </c>
      <c r="I55" s="68">
        <f>'3.XT-C TT(CA2)'!I20</f>
        <v>0</v>
      </c>
      <c r="J55" s="72" t="s">
        <v>8</v>
      </c>
      <c r="K55" s="73">
        <f>'3.XT-C TT(CA2)'!K20</f>
        <v>0</v>
      </c>
      <c r="L55" s="30" t="s">
        <v>10</v>
      </c>
      <c r="M55" s="68">
        <f>'3.XT-C TT(CA2)'!Q20</f>
        <v>0</v>
      </c>
      <c r="N55" s="72" t="s">
        <v>8</v>
      </c>
      <c r="O55" s="73">
        <f>'3.XT-C TT(CA2)'!S20</f>
        <v>0</v>
      </c>
      <c r="P55" s="75" t="s">
        <v>10</v>
      </c>
      <c r="Q55" s="1151" t="s">
        <v>47</v>
      </c>
    </row>
    <row r="56" spans="1:17" ht="37.5" customHeight="1">
      <c r="A56" s="1153">
        <v>10</v>
      </c>
      <c r="B56" s="2293" t="s">
        <v>1038</v>
      </c>
      <c r="C56" s="2294" t="s">
        <v>1038</v>
      </c>
      <c r="D56" s="2294" t="s">
        <v>1038</v>
      </c>
      <c r="E56" s="2295" t="s">
        <v>1038</v>
      </c>
      <c r="F56" s="87" t="s">
        <v>6</v>
      </c>
      <c r="G56" s="1134" t="str">
        <f>'XM.GUI MAIL'!$E$79</f>
        <v>0.5~1.5</v>
      </c>
      <c r="H56" s="1134" t="str">
        <f>'XM.GUI MAIL'!$F$79</f>
        <v>(1±0.4)</v>
      </c>
      <c r="I56" s="69">
        <f>'3.XT-C TT(CA2)'!I21</f>
        <v>0</v>
      </c>
      <c r="J56" s="72" t="s">
        <v>8</v>
      </c>
      <c r="K56" s="73">
        <f>'3.XT-C TT(CA2)'!K21</f>
        <v>0</v>
      </c>
      <c r="L56" s="78" t="s">
        <v>10</v>
      </c>
      <c r="M56" s="69">
        <f>'3.XT-C TT(CA2)'!Q21</f>
        <v>0</v>
      </c>
      <c r="N56" s="72" t="s">
        <v>8</v>
      </c>
      <c r="O56" s="73">
        <f>'3.XT-C TT(CA2)'!S21</f>
        <v>0</v>
      </c>
      <c r="P56" s="75" t="s">
        <v>10</v>
      </c>
      <c r="Q56" s="1151" t="s">
        <v>47</v>
      </c>
    </row>
    <row r="57" spans="1:17" ht="36" customHeight="1">
      <c r="A57" s="1153"/>
      <c r="B57" s="2297" t="s">
        <v>153</v>
      </c>
      <c r="C57" s="2298"/>
      <c r="D57" s="2298"/>
      <c r="E57" s="2298"/>
      <c r="F57" s="2298"/>
      <c r="G57" s="2298"/>
      <c r="H57" s="2298"/>
      <c r="I57" s="2298"/>
      <c r="J57" s="2298"/>
      <c r="K57" s="2298"/>
      <c r="L57" s="2298"/>
      <c r="M57" s="2298"/>
      <c r="N57" s="2298"/>
      <c r="O57" s="2298"/>
      <c r="P57" s="2298"/>
      <c r="Q57" s="2299"/>
    </row>
    <row r="58" spans="1:17" ht="46.5" customHeight="1">
      <c r="A58" s="1153" t="s">
        <v>7</v>
      </c>
      <c r="B58" s="2297" t="s">
        <v>23</v>
      </c>
      <c r="C58" s="2298"/>
      <c r="D58" s="2298"/>
      <c r="E58" s="2299"/>
      <c r="F58" s="85" t="s">
        <v>24</v>
      </c>
      <c r="G58" s="1094" t="s">
        <v>1424</v>
      </c>
      <c r="H58" s="1618" t="s">
        <v>1412</v>
      </c>
      <c r="I58" s="2229" t="s">
        <v>26</v>
      </c>
      <c r="J58" s="2230"/>
      <c r="K58" s="2229" t="s">
        <v>27</v>
      </c>
      <c r="L58" s="2230"/>
      <c r="M58" s="2229" t="s">
        <v>26</v>
      </c>
      <c r="N58" s="2230"/>
      <c r="O58" s="2229" t="s">
        <v>27</v>
      </c>
      <c r="P58" s="2230"/>
      <c r="Q58" s="10"/>
    </row>
    <row r="59" spans="1:17" ht="39" customHeight="1">
      <c r="A59" s="1153">
        <v>1</v>
      </c>
      <c r="B59" s="2297" t="s">
        <v>36</v>
      </c>
      <c r="C59" s="2298"/>
      <c r="D59" s="2298"/>
      <c r="E59" s="2299"/>
      <c r="F59" s="11" t="s">
        <v>28</v>
      </c>
      <c r="G59" s="1136" t="str">
        <f>'XM.GUI MAIL'!$E$91</f>
        <v>65~75</v>
      </c>
      <c r="H59" s="1136" t="str">
        <f>'XM.GUI MAIL'!$F$91</f>
        <v>(70±3)</v>
      </c>
      <c r="I59" s="2088">
        <f>'3.XT-C TT(CA2)'!I28:J28</f>
        <v>0</v>
      </c>
      <c r="J59" s="2089"/>
      <c r="K59" s="2088">
        <f>'3.XT-C TT(CA2)'!K28:L28</f>
        <v>0</v>
      </c>
      <c r="L59" s="2089"/>
      <c r="M59" s="2088">
        <f>'3.XT-C TT(CA2)'!Q28</f>
        <v>0</v>
      </c>
      <c r="N59" s="2089"/>
      <c r="O59" s="2088">
        <f>'3.XT-C TT(CA2)'!S28</f>
        <v>0</v>
      </c>
      <c r="P59" s="2089"/>
      <c r="Q59" s="1153"/>
    </row>
    <row r="60" spans="1:17" ht="39" customHeight="1">
      <c r="A60" s="1153">
        <v>2</v>
      </c>
      <c r="B60" s="2297" t="s">
        <v>37</v>
      </c>
      <c r="C60" s="2298"/>
      <c r="D60" s="2298"/>
      <c r="E60" s="2299"/>
      <c r="F60" s="11" t="s">
        <v>28</v>
      </c>
      <c r="G60" s="1136" t="str">
        <f>'XM.GUI MAIL'!$E$92</f>
        <v>65~75</v>
      </c>
      <c r="H60" s="1136" t="str">
        <f>'XM.GUI MAIL'!$F$92</f>
        <v>(70±3)</v>
      </c>
      <c r="I60" s="2088">
        <f>'3.XT-C TT(CA2)'!I29:J29</f>
        <v>0</v>
      </c>
      <c r="J60" s="2089"/>
      <c r="K60" s="2088">
        <f>'3.XT-C TT(CA2)'!K29:L29</f>
        <v>0</v>
      </c>
      <c r="L60" s="2089"/>
      <c r="M60" s="2088">
        <f>'3.XT-C TT(CA2)'!Q29</f>
        <v>0</v>
      </c>
      <c r="N60" s="2089"/>
      <c r="O60" s="2088">
        <f>'3.XT-C TT(CA2)'!S29</f>
        <v>0</v>
      </c>
      <c r="P60" s="2089"/>
      <c r="Q60" s="1153"/>
    </row>
    <row r="61" spans="1:17" ht="39" customHeight="1">
      <c r="A61" s="1153">
        <v>3</v>
      </c>
      <c r="B61" s="2297" t="s">
        <v>29</v>
      </c>
      <c r="C61" s="2298"/>
      <c r="D61" s="2298"/>
      <c r="E61" s="2299"/>
      <c r="F61" s="11" t="s">
        <v>28</v>
      </c>
      <c r="G61" s="1136" t="str">
        <f>'XM.GUI MAIL'!$E$93</f>
        <v>60~70</v>
      </c>
      <c r="H61" s="1136" t="str">
        <f>'XM.GUI MAIL'!$F$93</f>
        <v>(65±3)</v>
      </c>
      <c r="I61" s="2088">
        <f>'3.XT-C TT(CA2)'!I30:J30</f>
        <v>0</v>
      </c>
      <c r="J61" s="2089"/>
      <c r="K61" s="2088">
        <f>'3.XT-C TT(CA2)'!K30:L30</f>
        <v>0</v>
      </c>
      <c r="L61" s="2089"/>
      <c r="M61" s="2088">
        <f>'3.XT-C TT(CA2)'!Q30</f>
        <v>0</v>
      </c>
      <c r="N61" s="2089"/>
      <c r="O61" s="2088">
        <f>'3.XT-C TT(CA2)'!S30</f>
        <v>0</v>
      </c>
      <c r="P61" s="2089"/>
      <c r="Q61" s="1153"/>
    </row>
    <row r="62" spans="1:17" ht="39" customHeight="1">
      <c r="A62" s="1153">
        <v>4</v>
      </c>
      <c r="B62" s="2297" t="s">
        <v>30</v>
      </c>
      <c r="C62" s="2298"/>
      <c r="D62" s="2298"/>
      <c r="E62" s="2299"/>
      <c r="F62" s="11" t="s">
        <v>28</v>
      </c>
      <c r="G62" s="1136" t="str">
        <f>'XM.GUI MAIL'!$E$94</f>
        <v>60~70</v>
      </c>
      <c r="H62" s="1136" t="str">
        <f>'XM.GUI MAIL'!$F$94</f>
        <v>(65±3)</v>
      </c>
      <c r="I62" s="2088">
        <f>'3.XT-C TT(CA2)'!I31:J31</f>
        <v>0</v>
      </c>
      <c r="J62" s="2089"/>
      <c r="K62" s="2088">
        <f>'3.XT-C TT(CA2)'!K31:L31</f>
        <v>0</v>
      </c>
      <c r="L62" s="2089"/>
      <c r="M62" s="2088">
        <f>'3.XT-C TT(CA2)'!Q31</f>
        <v>0</v>
      </c>
      <c r="N62" s="2089"/>
      <c r="O62" s="2088">
        <f>'3.XT-C TT(CA2)'!S31</f>
        <v>0</v>
      </c>
      <c r="P62" s="2089"/>
      <c r="Q62" s="1153"/>
    </row>
    <row r="63" spans="1:17" ht="39" customHeight="1">
      <c r="A63" s="87">
        <v>5</v>
      </c>
      <c r="B63" s="2229" t="s">
        <v>127</v>
      </c>
      <c r="C63" s="2311"/>
      <c r="D63" s="2311"/>
      <c r="E63" s="2230"/>
      <c r="F63" s="11" t="s">
        <v>28</v>
      </c>
      <c r="G63" s="1136" t="str">
        <f>'XM.GUI MAIL'!$E$103</f>
        <v>24~28</v>
      </c>
      <c r="H63" s="1136" t="str">
        <f>'XM.GUI MAIL'!$F$103</f>
        <v>(26±2)</v>
      </c>
      <c r="I63" s="2091">
        <f>'XM.GUI MAIL'!AA103</f>
        <v>0</v>
      </c>
      <c r="J63" s="2092"/>
      <c r="K63" s="2091">
        <f>'XM.GUI MAIL'!AD103</f>
        <v>0</v>
      </c>
      <c r="L63" s="2092"/>
      <c r="M63" s="2091">
        <f>'XM.GUI MAIL'!AM103</f>
        <v>0</v>
      </c>
      <c r="N63" s="2092"/>
      <c r="O63" s="2091">
        <f>'XM.GUI MAIL'!AP103</f>
        <v>0</v>
      </c>
      <c r="P63" s="2092"/>
      <c r="Q63" s="1153"/>
    </row>
    <row r="64" spans="1:17" ht="39" customHeight="1">
      <c r="A64" s="87">
        <v>6</v>
      </c>
      <c r="B64" s="2220" t="s">
        <v>1397</v>
      </c>
      <c r="C64" s="2221"/>
      <c r="D64" s="2221"/>
      <c r="E64" s="2222"/>
      <c r="F64" s="11" t="s">
        <v>28</v>
      </c>
      <c r="G64" s="1136" t="str">
        <f>'XM.GUI MAIL'!$E$104</f>
        <v>40~60</v>
      </c>
      <c r="H64" s="1136" t="str">
        <f>'XM.GUI MAIL'!$F$104</f>
        <v>(50±10)</v>
      </c>
      <c r="I64" s="2091">
        <f>'XM.GUI MAIL'!AA104</f>
        <v>0</v>
      </c>
      <c r="J64" s="2092"/>
      <c r="K64" s="2091">
        <f>'XM.GUI MAIL'!AD104</f>
        <v>0</v>
      </c>
      <c r="L64" s="2092"/>
      <c r="M64" s="2091">
        <f>'XM.GUI MAIL'!AM104</f>
        <v>0</v>
      </c>
      <c r="N64" s="2092"/>
      <c r="O64" s="2091">
        <f>'XM.GUI MAIL'!AP104</f>
        <v>0</v>
      </c>
      <c r="P64" s="2092"/>
      <c r="Q64" s="1153"/>
    </row>
    <row r="65" spans="1:17" ht="39" customHeight="1">
      <c r="A65" s="87">
        <v>7</v>
      </c>
      <c r="B65" s="2229" t="s">
        <v>132</v>
      </c>
      <c r="C65" s="2311"/>
      <c r="D65" s="2311"/>
      <c r="E65" s="2230"/>
      <c r="F65" s="11" t="s">
        <v>28</v>
      </c>
      <c r="G65" s="1136" t="str">
        <f>'XM.GUI MAIL'!$E$105</f>
        <v>20~30</v>
      </c>
      <c r="H65" s="1136" t="str">
        <f>'XM.GUI MAIL'!$F$105</f>
        <v>(25±5)</v>
      </c>
      <c r="I65" s="2091">
        <f>'XM.GUI MAIL'!AA105</f>
        <v>0</v>
      </c>
      <c r="J65" s="2092"/>
      <c r="K65" s="2091">
        <f>'XM.GUI MAIL'!AD105</f>
        <v>0</v>
      </c>
      <c r="L65" s="2092"/>
      <c r="M65" s="2091">
        <f>'XM.GUI MAIL'!AM105</f>
        <v>0</v>
      </c>
      <c r="N65" s="2092"/>
      <c r="O65" s="2091">
        <f>'XM.GUI MAIL'!AP105</f>
        <v>0</v>
      </c>
      <c r="P65" s="2092"/>
      <c r="Q65" s="1153"/>
    </row>
    <row r="66" spans="1:17" ht="39" customHeight="1">
      <c r="A66" s="1153">
        <v>8</v>
      </c>
      <c r="B66" s="2297" t="s">
        <v>33</v>
      </c>
      <c r="C66" s="2298"/>
      <c r="D66" s="2298"/>
      <c r="E66" s="2299"/>
      <c r="F66" s="11" t="s">
        <v>28</v>
      </c>
      <c r="G66" s="1136" t="str">
        <f>'XM.GUI MAIL'!$E$97</f>
        <v>55~65</v>
      </c>
      <c r="H66" s="1136" t="str">
        <f>'XM.GUI MAIL'!$F$97</f>
        <v>(60±3)</v>
      </c>
      <c r="I66" s="2088">
        <f>'3.XT-C TT(CA2)'!I34:J34</f>
        <v>0</v>
      </c>
      <c r="J66" s="2089"/>
      <c r="K66" s="2088">
        <f>'3.XT-C TT(CA2)'!K34:L34</f>
        <v>0</v>
      </c>
      <c r="L66" s="2089"/>
      <c r="M66" s="2088">
        <f>'3.XT-C TT(CA2)'!Q34</f>
        <v>0</v>
      </c>
      <c r="N66" s="2089"/>
      <c r="O66" s="2088">
        <f>'3.XT-C TT(CA2)'!S34</f>
        <v>0</v>
      </c>
      <c r="P66" s="2089"/>
      <c r="Q66" s="1153"/>
    </row>
    <row r="67" spans="1:17" ht="39" customHeight="1">
      <c r="A67" s="1153">
        <v>9</v>
      </c>
      <c r="B67" s="2297" t="s">
        <v>34</v>
      </c>
      <c r="C67" s="2298"/>
      <c r="D67" s="2298"/>
      <c r="E67" s="2299"/>
      <c r="F67" s="11" t="s">
        <v>28</v>
      </c>
      <c r="G67" s="1136" t="str">
        <f>'XM.GUI MAIL'!$E$98</f>
        <v>65~75</v>
      </c>
      <c r="H67" s="1136" t="str">
        <f>'XM.GUI MAIL'!$F$98</f>
        <v>(70±3)</v>
      </c>
      <c r="I67" s="2229"/>
      <c r="J67" s="2230"/>
      <c r="K67" s="2088">
        <f>'3.XT-C TT(CA2)'!K35:L35</f>
        <v>0</v>
      </c>
      <c r="L67" s="2089"/>
      <c r="M67" s="2229"/>
      <c r="N67" s="2230"/>
      <c r="O67" s="2088">
        <f>'3.XT-C TT(CA2)'!S35</f>
        <v>0</v>
      </c>
      <c r="P67" s="2089"/>
      <c r="Q67" s="1153"/>
    </row>
  </sheetData>
  <sheetProtection selectLockedCells="1"/>
  <mergeCells count="186">
    <mergeCell ref="Q4:Q5"/>
    <mergeCell ref="J5:L5"/>
    <mergeCell ref="N5:P5"/>
    <mergeCell ref="A6:A7"/>
    <mergeCell ref="B6:C7"/>
    <mergeCell ref="D6:E6"/>
    <mergeCell ref="D7:E7"/>
    <mergeCell ref="A1:N1"/>
    <mergeCell ref="A2:N2"/>
    <mergeCell ref="O2:P2"/>
    <mergeCell ref="O3:P3"/>
    <mergeCell ref="A4:A5"/>
    <mergeCell ref="B4:E5"/>
    <mergeCell ref="F4:F5"/>
    <mergeCell ref="G4:G5"/>
    <mergeCell ref="I4:L4"/>
    <mergeCell ref="M4:P4"/>
    <mergeCell ref="H4:H5"/>
    <mergeCell ref="A8:A9"/>
    <mergeCell ref="B8:C9"/>
    <mergeCell ref="D8:E8"/>
    <mergeCell ref="D9:E9"/>
    <mergeCell ref="D10:E10"/>
    <mergeCell ref="A10:A11"/>
    <mergeCell ref="B10:C11"/>
    <mergeCell ref="D11:E11"/>
    <mergeCell ref="A12:A13"/>
    <mergeCell ref="B12:C13"/>
    <mergeCell ref="D12:E12"/>
    <mergeCell ref="D13:E13"/>
    <mergeCell ref="A14:A16"/>
    <mergeCell ref="B14:C17"/>
    <mergeCell ref="D14:E14"/>
    <mergeCell ref="D15:E15"/>
    <mergeCell ref="D16:E16"/>
    <mergeCell ref="A17:A18"/>
    <mergeCell ref="B23:Q23"/>
    <mergeCell ref="B24:E24"/>
    <mergeCell ref="I24:J24"/>
    <mergeCell ref="K24:L24"/>
    <mergeCell ref="M24:N24"/>
    <mergeCell ref="O24:P24"/>
    <mergeCell ref="B18:C18"/>
    <mergeCell ref="D18:E18"/>
    <mergeCell ref="B19:E19"/>
    <mergeCell ref="B20:E20"/>
    <mergeCell ref="B21:E21"/>
    <mergeCell ref="B22:E22"/>
    <mergeCell ref="B25:E25"/>
    <mergeCell ref="I25:J25"/>
    <mergeCell ref="K25:L25"/>
    <mergeCell ref="M25:N25"/>
    <mergeCell ref="O25:P25"/>
    <mergeCell ref="B26:E26"/>
    <mergeCell ref="I26:J26"/>
    <mergeCell ref="K26:L26"/>
    <mergeCell ref="M26:N26"/>
    <mergeCell ref="O26:P26"/>
    <mergeCell ref="B27:E27"/>
    <mergeCell ref="I27:J27"/>
    <mergeCell ref="K27:L27"/>
    <mergeCell ref="M27:N27"/>
    <mergeCell ref="O27:P27"/>
    <mergeCell ref="B28:E28"/>
    <mergeCell ref="I28:J28"/>
    <mergeCell ref="K28:L28"/>
    <mergeCell ref="M28:N28"/>
    <mergeCell ref="O28:P28"/>
    <mergeCell ref="B29:E29"/>
    <mergeCell ref="I29:J29"/>
    <mergeCell ref="K29:L29"/>
    <mergeCell ref="M29:N29"/>
    <mergeCell ref="O29:P29"/>
    <mergeCell ref="B30:E30"/>
    <mergeCell ref="I30:J30"/>
    <mergeCell ref="K30:L30"/>
    <mergeCell ref="M30:N30"/>
    <mergeCell ref="O30:P30"/>
    <mergeCell ref="B33:E33"/>
    <mergeCell ref="I33:J33"/>
    <mergeCell ref="K33:L33"/>
    <mergeCell ref="M33:N33"/>
    <mergeCell ref="O33:P33"/>
    <mergeCell ref="A35:N35"/>
    <mergeCell ref="B31:E31"/>
    <mergeCell ref="I31:J31"/>
    <mergeCell ref="K31:L31"/>
    <mergeCell ref="M31:N31"/>
    <mergeCell ref="O31:P31"/>
    <mergeCell ref="B32:E32"/>
    <mergeCell ref="I32:J32"/>
    <mergeCell ref="K32:L32"/>
    <mergeCell ref="M32:N32"/>
    <mergeCell ref="O32:P32"/>
    <mergeCell ref="Q38:Q39"/>
    <mergeCell ref="J39:L39"/>
    <mergeCell ref="N39:P39"/>
    <mergeCell ref="A40:A41"/>
    <mergeCell ref="B40:C41"/>
    <mergeCell ref="D40:E40"/>
    <mergeCell ref="D41:E41"/>
    <mergeCell ref="A36:N36"/>
    <mergeCell ref="O36:P36"/>
    <mergeCell ref="O37:P37"/>
    <mergeCell ref="A38:A39"/>
    <mergeCell ref="B38:E39"/>
    <mergeCell ref="F38:F39"/>
    <mergeCell ref="G38:G39"/>
    <mergeCell ref="I38:L38"/>
    <mergeCell ref="M38:P38"/>
    <mergeCell ref="H38:H39"/>
    <mergeCell ref="A42:A43"/>
    <mergeCell ref="B42:C43"/>
    <mergeCell ref="D42:E42"/>
    <mergeCell ref="D43:E43"/>
    <mergeCell ref="D44:E44"/>
    <mergeCell ref="A44:A45"/>
    <mergeCell ref="B44:C45"/>
    <mergeCell ref="D45:E45"/>
    <mergeCell ref="A46:A47"/>
    <mergeCell ref="B46:C47"/>
    <mergeCell ref="D46:E46"/>
    <mergeCell ref="D47:E47"/>
    <mergeCell ref="A48:A50"/>
    <mergeCell ref="B48:C51"/>
    <mergeCell ref="D48:E48"/>
    <mergeCell ref="D49:E49"/>
    <mergeCell ref="D50:E50"/>
    <mergeCell ref="A51:A52"/>
    <mergeCell ref="B57:Q57"/>
    <mergeCell ref="B58:E58"/>
    <mergeCell ref="I58:J58"/>
    <mergeCell ref="K58:L58"/>
    <mergeCell ref="M58:N58"/>
    <mergeCell ref="O58:P58"/>
    <mergeCell ref="B52:C52"/>
    <mergeCell ref="D52:E52"/>
    <mergeCell ref="B53:E53"/>
    <mergeCell ref="B54:E54"/>
    <mergeCell ref="B55:E55"/>
    <mergeCell ref="B56:E56"/>
    <mergeCell ref="B59:E59"/>
    <mergeCell ref="I59:J59"/>
    <mergeCell ref="K59:L59"/>
    <mergeCell ref="M59:N59"/>
    <mergeCell ref="O59:P59"/>
    <mergeCell ref="B60:E60"/>
    <mergeCell ref="I60:J60"/>
    <mergeCell ref="K60:L60"/>
    <mergeCell ref="M60:N60"/>
    <mergeCell ref="O60:P60"/>
    <mergeCell ref="B61:E61"/>
    <mergeCell ref="I61:J61"/>
    <mergeCell ref="K61:L61"/>
    <mergeCell ref="M61:N61"/>
    <mergeCell ref="O61:P61"/>
    <mergeCell ref="B62:E62"/>
    <mergeCell ref="I62:J62"/>
    <mergeCell ref="K62:L62"/>
    <mergeCell ref="M62:N62"/>
    <mergeCell ref="O62:P62"/>
    <mergeCell ref="B63:E63"/>
    <mergeCell ref="I63:J63"/>
    <mergeCell ref="K63:L63"/>
    <mergeCell ref="M63:N63"/>
    <mergeCell ref="O63:P63"/>
    <mergeCell ref="B64:E64"/>
    <mergeCell ref="I64:J64"/>
    <mergeCell ref="K64:L64"/>
    <mergeCell ref="M64:N64"/>
    <mergeCell ref="O64:P64"/>
    <mergeCell ref="B67:E67"/>
    <mergeCell ref="I67:J67"/>
    <mergeCell ref="K67:L67"/>
    <mergeCell ref="M67:N67"/>
    <mergeCell ref="O67:P67"/>
    <mergeCell ref="B65:E65"/>
    <mergeCell ref="I65:J65"/>
    <mergeCell ref="K65:L65"/>
    <mergeCell ref="M65:N65"/>
    <mergeCell ref="O65:P65"/>
    <mergeCell ref="B66:E66"/>
    <mergeCell ref="I66:J66"/>
    <mergeCell ref="K66:L66"/>
    <mergeCell ref="M66:N66"/>
    <mergeCell ref="O66:P66"/>
  </mergeCells>
  <phoneticPr fontId="6" type="noConversion"/>
  <conditionalFormatting sqref="I19:I20 M19:M20">
    <cfRule type="expression" dxfId="3019" priority="383">
      <formula>I19&lt;30%</formula>
    </cfRule>
    <cfRule type="expression" dxfId="3018" priority="384">
      <formula>I19&gt;60%</formula>
    </cfRule>
  </conditionalFormatting>
  <conditionalFormatting sqref="I22 M22">
    <cfRule type="expression" dxfId="3017" priority="381">
      <formula>I22&lt;0.5%</formula>
    </cfRule>
    <cfRule type="expression" dxfId="3016" priority="382">
      <formula>I22&gt;1.5%</formula>
    </cfRule>
  </conditionalFormatting>
  <conditionalFormatting sqref="M53:M54 I53:I54">
    <cfRule type="expression" dxfId="3015" priority="365">
      <formula>I53&lt;30%</formula>
    </cfRule>
    <cfRule type="expression" dxfId="3014" priority="366">
      <formula>I53&gt;60%</formula>
    </cfRule>
  </conditionalFormatting>
  <conditionalFormatting sqref="I56 M56">
    <cfRule type="expression" dxfId="3013" priority="363">
      <formula>I56&lt;0.5%</formula>
    </cfRule>
    <cfRule type="expression" dxfId="3012" priority="364">
      <formula>I56&gt;1.5%</formula>
    </cfRule>
  </conditionalFormatting>
  <conditionalFormatting sqref="I10 I12 M10 M12">
    <cfRule type="expression" dxfId="3011" priority="326" stopIfTrue="1">
      <formula>I10&lt;50</formula>
    </cfRule>
  </conditionalFormatting>
  <conditionalFormatting sqref="I10 I12 M10 M12">
    <cfRule type="expression" dxfId="3010" priority="325" stopIfTrue="1">
      <formula>I10&gt;70</formula>
    </cfRule>
  </conditionalFormatting>
  <conditionalFormatting sqref="I44 I46 M44 M46">
    <cfRule type="expression" dxfId="3009" priority="322" stopIfTrue="1">
      <formula>I44&lt;50</formula>
    </cfRule>
  </conditionalFormatting>
  <conditionalFormatting sqref="I44 I46 M44 M46">
    <cfRule type="expression" dxfId="3008" priority="321" stopIfTrue="1">
      <formula>I44&gt;70</formula>
    </cfRule>
  </conditionalFormatting>
  <conditionalFormatting sqref="I6 I8 M6 M8">
    <cfRule type="expression" dxfId="3007" priority="320" stopIfTrue="1">
      <formula>I6&lt;40</formula>
    </cfRule>
  </conditionalFormatting>
  <conditionalFormatting sqref="I6 I8 M6 M8">
    <cfRule type="expression" dxfId="3006" priority="319" stopIfTrue="1">
      <formula>I6&gt;60</formula>
    </cfRule>
  </conditionalFormatting>
  <conditionalFormatting sqref="I40">
    <cfRule type="expression" dxfId="3005" priority="312" stopIfTrue="1">
      <formula>I40&lt;40</formula>
    </cfRule>
  </conditionalFormatting>
  <conditionalFormatting sqref="I40">
    <cfRule type="expression" dxfId="3004" priority="311" stopIfTrue="1">
      <formula>I40&gt;60</formula>
    </cfRule>
  </conditionalFormatting>
  <conditionalFormatting sqref="I42">
    <cfRule type="expression" dxfId="3003" priority="310" stopIfTrue="1">
      <formula>I42&lt;40</formula>
    </cfRule>
  </conditionalFormatting>
  <conditionalFormatting sqref="I42">
    <cfRule type="expression" dxfId="3002" priority="309" stopIfTrue="1">
      <formula>I42&gt;60</formula>
    </cfRule>
  </conditionalFormatting>
  <conditionalFormatting sqref="M40">
    <cfRule type="expression" dxfId="3001" priority="308" stopIfTrue="1">
      <formula>M40&lt;40</formula>
    </cfRule>
  </conditionalFormatting>
  <conditionalFormatting sqref="M40">
    <cfRule type="expression" dxfId="3000" priority="307" stopIfTrue="1">
      <formula>M40&gt;60</formula>
    </cfRule>
  </conditionalFormatting>
  <conditionalFormatting sqref="M42">
    <cfRule type="expression" dxfId="2999" priority="306" stopIfTrue="1">
      <formula>M42&lt;40</formula>
    </cfRule>
  </conditionalFormatting>
  <conditionalFormatting sqref="M42">
    <cfRule type="expression" dxfId="2998" priority="305" stopIfTrue="1">
      <formula>M42&gt;60</formula>
    </cfRule>
  </conditionalFormatting>
  <conditionalFormatting sqref="I55 I21 M21">
    <cfRule type="expression" dxfId="2997" priority="303">
      <formula>I21&lt;20%</formula>
    </cfRule>
    <cfRule type="expression" dxfId="2996" priority="304">
      <formula>I21&gt;40%</formula>
    </cfRule>
  </conditionalFormatting>
  <conditionalFormatting sqref="M55">
    <cfRule type="expression" dxfId="2995" priority="301">
      <formula>M55&lt;20%</formula>
    </cfRule>
    <cfRule type="expression" dxfId="2994" priority="302">
      <formula>M55&gt;40%</formula>
    </cfRule>
  </conditionalFormatting>
  <conditionalFormatting sqref="I14 M14">
    <cfRule type="expression" dxfId="2993" priority="295" stopIfTrue="1">
      <formula>I14&gt;6</formula>
    </cfRule>
    <cfRule type="expression" dxfId="2992" priority="296" stopIfTrue="1">
      <formula>I14&lt;5</formula>
    </cfRule>
  </conditionalFormatting>
  <conditionalFormatting sqref="I15 M15">
    <cfRule type="expression" dxfId="2991" priority="293" stopIfTrue="1">
      <formula>I15&gt;1.9</formula>
    </cfRule>
    <cfRule type="expression" dxfId="2990" priority="294" stopIfTrue="1">
      <formula>I15&lt;1.7</formula>
    </cfRule>
  </conditionalFormatting>
  <conditionalFormatting sqref="I16 M16">
    <cfRule type="expression" dxfId="2989" priority="291" stopIfTrue="1">
      <formula>I16&gt;130</formula>
    </cfRule>
    <cfRule type="expression" dxfId="2988" priority="292" stopIfTrue="1">
      <formula>I16&lt;120</formula>
    </cfRule>
  </conditionalFormatting>
  <conditionalFormatting sqref="I17 M17">
    <cfRule type="expression" dxfId="2987" priority="289" stopIfTrue="1">
      <formula>I17&gt;135</formula>
    </cfRule>
    <cfRule type="expression" dxfId="2986" priority="290" stopIfTrue="1">
      <formula>I17&lt;125</formula>
    </cfRule>
  </conditionalFormatting>
  <conditionalFormatting sqref="I18 M18">
    <cfRule type="expression" dxfId="2985" priority="287" stopIfTrue="1">
      <formula>I18&gt;4.5</formula>
    </cfRule>
    <cfRule type="expression" dxfId="2984" priority="288" stopIfTrue="1">
      <formula>I18&lt;3</formula>
    </cfRule>
  </conditionalFormatting>
  <conditionalFormatting sqref="I48">
    <cfRule type="expression" dxfId="2983" priority="275" stopIfTrue="1">
      <formula>I48&gt;6</formula>
    </cfRule>
    <cfRule type="expression" dxfId="2982" priority="276" stopIfTrue="1">
      <formula>I48&lt;5</formula>
    </cfRule>
  </conditionalFormatting>
  <conditionalFormatting sqref="I49">
    <cfRule type="expression" dxfId="2981" priority="273" stopIfTrue="1">
      <formula>I49&gt;1.9</formula>
    </cfRule>
    <cfRule type="expression" dxfId="2980" priority="274" stopIfTrue="1">
      <formula>I49&lt;1.7</formula>
    </cfRule>
  </conditionalFormatting>
  <conditionalFormatting sqref="I50">
    <cfRule type="expression" dxfId="2979" priority="271" stopIfTrue="1">
      <formula>I50&gt;130</formula>
    </cfRule>
    <cfRule type="expression" dxfId="2978" priority="272" stopIfTrue="1">
      <formula>I50&lt;120</formula>
    </cfRule>
  </conditionalFormatting>
  <conditionalFormatting sqref="I51">
    <cfRule type="expression" dxfId="2977" priority="269" stopIfTrue="1">
      <formula>I51&gt;135</formula>
    </cfRule>
    <cfRule type="expression" dxfId="2976" priority="270" stopIfTrue="1">
      <formula>I51&lt;125</formula>
    </cfRule>
  </conditionalFormatting>
  <conditionalFormatting sqref="I52">
    <cfRule type="expression" dxfId="2975" priority="267" stopIfTrue="1">
      <formula>I52&gt;4.5</formula>
    </cfRule>
    <cfRule type="expression" dxfId="2974" priority="268" stopIfTrue="1">
      <formula>I52&lt;3</formula>
    </cfRule>
  </conditionalFormatting>
  <conditionalFormatting sqref="M48">
    <cfRule type="expression" dxfId="2973" priority="265" stopIfTrue="1">
      <formula>M48&gt;6</formula>
    </cfRule>
    <cfRule type="expression" dxfId="2972" priority="266" stopIfTrue="1">
      <formula>M48&lt;5</formula>
    </cfRule>
  </conditionalFormatting>
  <conditionalFormatting sqref="M49">
    <cfRule type="expression" dxfId="2971" priority="263" stopIfTrue="1">
      <formula>M49&gt;1.9</formula>
    </cfRule>
    <cfRule type="expression" dxfId="2970" priority="264" stopIfTrue="1">
      <formula>M49&lt;1.7</formula>
    </cfRule>
  </conditionalFormatting>
  <conditionalFormatting sqref="M50">
    <cfRule type="expression" dxfId="2969" priority="261" stopIfTrue="1">
      <formula>M50&gt;130</formula>
    </cfRule>
    <cfRule type="expression" dxfId="2968" priority="262" stopIfTrue="1">
      <formula>M50&lt;120</formula>
    </cfRule>
  </conditionalFormatting>
  <conditionalFormatting sqref="M51">
    <cfRule type="expression" dxfId="2967" priority="259" stopIfTrue="1">
      <formula>M51&gt;135</formula>
    </cfRule>
    <cfRule type="expression" dxfId="2966" priority="260" stopIfTrue="1">
      <formula>M51&lt;125</formula>
    </cfRule>
  </conditionalFormatting>
  <conditionalFormatting sqref="M52">
    <cfRule type="expression" dxfId="2965" priority="257" stopIfTrue="1">
      <formula>M52&gt;4.5</formula>
    </cfRule>
    <cfRule type="expression" dxfId="2964" priority="258" stopIfTrue="1">
      <formula>M52&lt;3</formula>
    </cfRule>
  </conditionalFormatting>
  <conditionalFormatting sqref="I65">
    <cfRule type="expression" dxfId="2963" priority="127">
      <formula>I65&lt;20</formula>
    </cfRule>
    <cfRule type="expression" dxfId="2962" priority="128">
      <formula>I65&gt;30</formula>
    </cfRule>
  </conditionalFormatting>
  <conditionalFormatting sqref="I63">
    <cfRule type="expression" dxfId="2961" priority="125">
      <formula>I63&lt;24</formula>
    </cfRule>
    <cfRule type="expression" dxfId="2960" priority="126">
      <formula>I63&gt;28</formula>
    </cfRule>
  </conditionalFormatting>
  <conditionalFormatting sqref="I64">
    <cfRule type="expression" dxfId="2959" priority="123">
      <formula>I64&lt;40</formula>
    </cfRule>
    <cfRule type="expression" dxfId="2958" priority="124">
      <formula>I64&gt;60</formula>
    </cfRule>
  </conditionalFormatting>
  <conditionalFormatting sqref="K65 M65 O65">
    <cfRule type="expression" dxfId="2957" priority="121">
      <formula>K65&lt;20</formula>
    </cfRule>
    <cfRule type="expression" dxfId="2956" priority="122">
      <formula>K65&gt;30</formula>
    </cfRule>
  </conditionalFormatting>
  <conditionalFormatting sqref="K63 M63 O63">
    <cfRule type="expression" dxfId="2955" priority="119">
      <formula>K63&lt;24</formula>
    </cfRule>
    <cfRule type="expression" dxfId="2954" priority="120">
      <formula>K63&gt;28</formula>
    </cfRule>
  </conditionalFormatting>
  <conditionalFormatting sqref="K64 M64 O64">
    <cfRule type="expression" dxfId="2953" priority="117">
      <formula>K64&lt;40</formula>
    </cfRule>
    <cfRule type="expression" dxfId="2952" priority="118">
      <formula>K64&gt;60</formula>
    </cfRule>
  </conditionalFormatting>
  <conditionalFormatting sqref="I25">
    <cfRule type="cellIs" dxfId="2951" priority="113" operator="between">
      <formula>65</formula>
      <formula>66.9</formula>
    </cfRule>
    <cfRule type="cellIs" dxfId="2950" priority="114" operator="between">
      <formula>73.1</formula>
      <formula>75</formula>
    </cfRule>
    <cfRule type="expression" dxfId="2949" priority="115">
      <formula>I25&lt;65</formula>
    </cfRule>
    <cfRule type="expression" dxfId="2948" priority="116">
      <formula>I25&gt;75</formula>
    </cfRule>
  </conditionalFormatting>
  <conditionalFormatting sqref="I26">
    <cfRule type="cellIs" dxfId="2947" priority="109" operator="between">
      <formula>65</formula>
      <formula>66.9</formula>
    </cfRule>
    <cfRule type="cellIs" dxfId="2946" priority="110" operator="between">
      <formula>73.1</formula>
      <formula>75</formula>
    </cfRule>
    <cfRule type="expression" dxfId="2945" priority="111">
      <formula>I26&lt;65</formula>
    </cfRule>
    <cfRule type="expression" dxfId="2944" priority="112">
      <formula>I26&gt;75</formula>
    </cfRule>
  </conditionalFormatting>
  <conditionalFormatting sqref="I27">
    <cfRule type="cellIs" dxfId="2943" priority="105" operator="between">
      <formula>60</formula>
      <formula>56.9</formula>
    </cfRule>
    <cfRule type="cellIs" dxfId="2942" priority="106" operator="between">
      <formula>68.1</formula>
      <formula>70</formula>
    </cfRule>
    <cfRule type="expression" dxfId="2941" priority="107">
      <formula>I27&lt;60</formula>
    </cfRule>
    <cfRule type="expression" dxfId="2940" priority="108">
      <formula>I27&gt;70</formula>
    </cfRule>
  </conditionalFormatting>
  <conditionalFormatting sqref="I28">
    <cfRule type="cellIs" dxfId="2939" priority="101" operator="between">
      <formula>60</formula>
      <formula>56.9</formula>
    </cfRule>
    <cfRule type="cellIs" dxfId="2938" priority="102" operator="between">
      <formula>68.1</formula>
      <formula>70</formula>
    </cfRule>
    <cfRule type="expression" dxfId="2937" priority="103">
      <formula>I28&lt;60</formula>
    </cfRule>
    <cfRule type="expression" dxfId="2936" priority="104">
      <formula>I28&gt;70</formula>
    </cfRule>
  </conditionalFormatting>
  <conditionalFormatting sqref="K25">
    <cfRule type="cellIs" dxfId="2935" priority="97" operator="between">
      <formula>65</formula>
      <formula>66.9</formula>
    </cfRule>
    <cfRule type="cellIs" dxfId="2934" priority="98" operator="between">
      <formula>73.1</formula>
      <formula>75</formula>
    </cfRule>
    <cfRule type="expression" dxfId="2933" priority="99">
      <formula>K25&lt;65</formula>
    </cfRule>
    <cfRule type="expression" dxfId="2932" priority="100">
      <formula>K25&gt;75</formula>
    </cfRule>
  </conditionalFormatting>
  <conditionalFormatting sqref="K26">
    <cfRule type="cellIs" dxfId="2931" priority="93" operator="between">
      <formula>65</formula>
      <formula>66.9</formula>
    </cfRule>
    <cfRule type="cellIs" dxfId="2930" priority="94" operator="between">
      <formula>73.1</formula>
      <formula>75</formula>
    </cfRule>
    <cfRule type="expression" dxfId="2929" priority="95">
      <formula>K26&lt;65</formula>
    </cfRule>
    <cfRule type="expression" dxfId="2928" priority="96">
      <formula>K26&gt;75</formula>
    </cfRule>
  </conditionalFormatting>
  <conditionalFormatting sqref="K27">
    <cfRule type="cellIs" dxfId="2927" priority="89" operator="between">
      <formula>60</formula>
      <formula>56.9</formula>
    </cfRule>
    <cfRule type="cellIs" dxfId="2926" priority="90" operator="between">
      <formula>68.1</formula>
      <formula>70</formula>
    </cfRule>
    <cfRule type="expression" dxfId="2925" priority="91">
      <formula>K27&lt;60</formula>
    </cfRule>
    <cfRule type="expression" dxfId="2924" priority="92">
      <formula>K27&gt;70</formula>
    </cfRule>
  </conditionalFormatting>
  <conditionalFormatting sqref="K28">
    <cfRule type="cellIs" dxfId="2923" priority="85" operator="between">
      <formula>60</formula>
      <formula>56.9</formula>
    </cfRule>
    <cfRule type="cellIs" dxfId="2922" priority="86" operator="between">
      <formula>68.1</formula>
      <formula>70</formula>
    </cfRule>
    <cfRule type="expression" dxfId="2921" priority="87">
      <formula>K28&lt;60</formula>
    </cfRule>
    <cfRule type="expression" dxfId="2920" priority="88">
      <formula>K28&gt;70</formula>
    </cfRule>
  </conditionalFormatting>
  <conditionalFormatting sqref="M25">
    <cfRule type="cellIs" dxfId="2919" priority="81" operator="between">
      <formula>65</formula>
      <formula>66.9</formula>
    </cfRule>
    <cfRule type="cellIs" dxfId="2918" priority="82" operator="between">
      <formula>73.1</formula>
      <formula>75</formula>
    </cfRule>
    <cfRule type="expression" dxfId="2917" priority="83">
      <formula>M25&lt;65</formula>
    </cfRule>
    <cfRule type="expression" dxfId="2916" priority="84">
      <formula>M25&gt;75</formula>
    </cfRule>
  </conditionalFormatting>
  <conditionalFormatting sqref="M26">
    <cfRule type="cellIs" dxfId="2915" priority="77" operator="between">
      <formula>65</formula>
      <formula>66.9</formula>
    </cfRule>
    <cfRule type="cellIs" dxfId="2914" priority="78" operator="between">
      <formula>73.1</formula>
      <formula>75</formula>
    </cfRule>
    <cfRule type="expression" dxfId="2913" priority="79">
      <formula>M26&lt;65</formula>
    </cfRule>
    <cfRule type="expression" dxfId="2912" priority="80">
      <formula>M26&gt;75</formula>
    </cfRule>
  </conditionalFormatting>
  <conditionalFormatting sqref="M27">
    <cfRule type="cellIs" dxfId="2911" priority="73" operator="between">
      <formula>60</formula>
      <formula>56.9</formula>
    </cfRule>
    <cfRule type="cellIs" dxfId="2910" priority="74" operator="between">
      <formula>68.1</formula>
      <formula>70</formula>
    </cfRule>
    <cfRule type="expression" dxfId="2909" priority="75">
      <formula>M27&lt;60</formula>
    </cfRule>
    <cfRule type="expression" dxfId="2908" priority="76">
      <formula>M27&gt;70</formula>
    </cfRule>
  </conditionalFormatting>
  <conditionalFormatting sqref="M28">
    <cfRule type="cellIs" dxfId="2907" priority="69" operator="between">
      <formula>60</formula>
      <formula>56.9</formula>
    </cfRule>
    <cfRule type="cellIs" dxfId="2906" priority="70" operator="between">
      <formula>68.1</formula>
      <formula>70</formula>
    </cfRule>
    <cfRule type="expression" dxfId="2905" priority="71">
      <formula>M28&lt;60</formula>
    </cfRule>
    <cfRule type="expression" dxfId="2904" priority="72">
      <formula>M28&gt;70</formula>
    </cfRule>
  </conditionalFormatting>
  <conditionalFormatting sqref="O25">
    <cfRule type="cellIs" dxfId="2903" priority="65" operator="between">
      <formula>65</formula>
      <formula>66.9</formula>
    </cfRule>
    <cfRule type="cellIs" dxfId="2902" priority="66" operator="between">
      <formula>73.1</formula>
      <formula>75</formula>
    </cfRule>
    <cfRule type="expression" dxfId="2901" priority="67">
      <formula>O25&lt;65</formula>
    </cfRule>
    <cfRule type="expression" dxfId="2900" priority="68">
      <formula>O25&gt;75</formula>
    </cfRule>
  </conditionalFormatting>
  <conditionalFormatting sqref="O26">
    <cfRule type="cellIs" dxfId="2899" priority="61" operator="between">
      <formula>65</formula>
      <formula>66.9</formula>
    </cfRule>
    <cfRule type="cellIs" dxfId="2898" priority="62" operator="between">
      <formula>73.1</formula>
      <formula>75</formula>
    </cfRule>
    <cfRule type="expression" dxfId="2897" priority="63">
      <formula>O26&lt;65</formula>
    </cfRule>
    <cfRule type="expression" dxfId="2896" priority="64">
      <formula>O26&gt;75</formula>
    </cfRule>
  </conditionalFormatting>
  <conditionalFormatting sqref="O27">
    <cfRule type="cellIs" dxfId="2895" priority="57" operator="between">
      <formula>60</formula>
      <formula>56.9</formula>
    </cfRule>
    <cfRule type="cellIs" dxfId="2894" priority="58" operator="between">
      <formula>68.1</formula>
      <formula>70</formula>
    </cfRule>
    <cfRule type="expression" dxfId="2893" priority="59">
      <formula>O27&lt;60</formula>
    </cfRule>
    <cfRule type="expression" dxfId="2892" priority="60">
      <formula>O27&gt;70</formula>
    </cfRule>
  </conditionalFormatting>
  <conditionalFormatting sqref="O28">
    <cfRule type="cellIs" dxfId="2891" priority="53" operator="between">
      <formula>60</formula>
      <formula>56.9</formula>
    </cfRule>
    <cfRule type="cellIs" dxfId="2890" priority="54" operator="between">
      <formula>68.1</formula>
      <formula>70</formula>
    </cfRule>
    <cfRule type="expression" dxfId="2889" priority="55">
      <formula>O28&lt;60</formula>
    </cfRule>
    <cfRule type="expression" dxfId="2888" priority="56">
      <formula>O28&gt;70</formula>
    </cfRule>
  </conditionalFormatting>
  <conditionalFormatting sqref="K33">
    <cfRule type="cellIs" dxfId="2887" priority="49" operator="between">
      <formula>65</formula>
      <formula>66.9</formula>
    </cfRule>
    <cfRule type="cellIs" dxfId="2886" priority="50" operator="between">
      <formula>73.1</formula>
      <formula>75</formula>
    </cfRule>
    <cfRule type="expression" dxfId="2885" priority="51">
      <formula>K33&lt;65</formula>
    </cfRule>
    <cfRule type="expression" dxfId="2884" priority="52">
      <formula>K33&gt;75</formula>
    </cfRule>
  </conditionalFormatting>
  <conditionalFormatting sqref="K32">
    <cfRule type="cellIs" dxfId="2883" priority="45" operator="between">
      <formula>55</formula>
      <formula>56.9</formula>
    </cfRule>
    <cfRule type="cellIs" dxfId="2882" priority="46" operator="between">
      <formula>63.1</formula>
      <formula>65</formula>
    </cfRule>
    <cfRule type="expression" dxfId="2881" priority="47">
      <formula>K32&lt;55</formula>
    </cfRule>
    <cfRule type="expression" dxfId="2880" priority="48">
      <formula>K32&gt;65</formula>
    </cfRule>
  </conditionalFormatting>
  <conditionalFormatting sqref="I32">
    <cfRule type="cellIs" dxfId="2879" priority="41" operator="between">
      <formula>55</formula>
      <formula>56.9</formula>
    </cfRule>
    <cfRule type="cellIs" dxfId="2878" priority="42" operator="between">
      <formula>63.1</formula>
      <formula>65</formula>
    </cfRule>
    <cfRule type="expression" dxfId="2877" priority="43">
      <formula>I32&lt;55</formula>
    </cfRule>
    <cfRule type="expression" dxfId="2876" priority="44">
      <formula>I32&gt;65</formula>
    </cfRule>
  </conditionalFormatting>
  <conditionalFormatting sqref="O33">
    <cfRule type="cellIs" dxfId="2875" priority="37" operator="between">
      <formula>65</formula>
      <formula>66.9</formula>
    </cfRule>
    <cfRule type="cellIs" dxfId="2874" priority="38" operator="between">
      <formula>73.1</formula>
      <formula>75</formula>
    </cfRule>
    <cfRule type="expression" dxfId="2873" priority="39">
      <formula>O33&lt;65</formula>
    </cfRule>
    <cfRule type="expression" dxfId="2872" priority="40">
      <formula>O33&gt;75</formula>
    </cfRule>
  </conditionalFormatting>
  <conditionalFormatting sqref="O32">
    <cfRule type="cellIs" dxfId="2871" priority="33" operator="between">
      <formula>55</formula>
      <formula>56.9</formula>
    </cfRule>
    <cfRule type="cellIs" dxfId="2870" priority="34" operator="between">
      <formula>63.1</formula>
      <formula>65</formula>
    </cfRule>
    <cfRule type="expression" dxfId="2869" priority="35">
      <formula>O32&lt;55</formula>
    </cfRule>
    <cfRule type="expression" dxfId="2868" priority="36">
      <formula>O32&gt;65</formula>
    </cfRule>
  </conditionalFormatting>
  <conditionalFormatting sqref="M32">
    <cfRule type="cellIs" dxfId="2867" priority="29" operator="between">
      <formula>55</formula>
      <formula>56.9</formula>
    </cfRule>
    <cfRule type="cellIs" dxfId="2866" priority="30" operator="between">
      <formula>63.1</formula>
      <formula>65</formula>
    </cfRule>
    <cfRule type="expression" dxfId="2865" priority="31">
      <formula>M32&lt;55</formula>
    </cfRule>
    <cfRule type="expression" dxfId="2864" priority="32">
      <formula>M32&gt;65</formula>
    </cfRule>
  </conditionalFormatting>
  <conditionalFormatting sqref="I31">
    <cfRule type="expression" dxfId="2863" priority="27">
      <formula>I31&lt;20</formula>
    </cfRule>
    <cfRule type="expression" dxfId="2862" priority="28">
      <formula>I31&gt;30</formula>
    </cfRule>
  </conditionalFormatting>
  <conditionalFormatting sqref="I29">
    <cfRule type="expression" dxfId="2861" priority="25">
      <formula>I29&lt;24</formula>
    </cfRule>
    <cfRule type="expression" dxfId="2860" priority="26">
      <formula>I29&gt;28</formula>
    </cfRule>
  </conditionalFormatting>
  <conditionalFormatting sqref="I30">
    <cfRule type="expression" dxfId="2859" priority="23">
      <formula>I30&lt;40</formula>
    </cfRule>
    <cfRule type="expression" dxfId="2858" priority="24">
      <formula>I30&gt;60</formula>
    </cfRule>
  </conditionalFormatting>
  <conditionalFormatting sqref="K31 M31 O31">
    <cfRule type="expression" dxfId="2857" priority="21">
      <formula>K31&lt;20</formula>
    </cfRule>
    <cfRule type="expression" dxfId="2856" priority="22">
      <formula>K31&gt;30</formula>
    </cfRule>
  </conditionalFormatting>
  <conditionalFormatting sqref="K29 M29 O29">
    <cfRule type="expression" dxfId="2855" priority="19">
      <formula>K29&lt;24</formula>
    </cfRule>
    <cfRule type="expression" dxfId="2854" priority="20">
      <formula>K29&gt;28</formula>
    </cfRule>
  </conditionalFormatting>
  <conditionalFormatting sqref="K30 M30 O30">
    <cfRule type="expression" dxfId="2853" priority="17">
      <formula>K30&lt;40</formula>
    </cfRule>
    <cfRule type="expression" dxfId="2852" priority="18">
      <formula>K30&gt;60</formula>
    </cfRule>
  </conditionalFormatting>
  <conditionalFormatting sqref="K59:K60 O59:O60 I59:I60 M59:M60">
    <cfRule type="cellIs" dxfId="2851" priority="13" operator="between">
      <formula>65</formula>
      <formula>66.9</formula>
    </cfRule>
    <cfRule type="cellIs" dxfId="2850" priority="14" operator="between">
      <formula>73.1</formula>
      <formula>75</formula>
    </cfRule>
    <cfRule type="expression" dxfId="2849" priority="15">
      <formula>I59&lt;65</formula>
    </cfRule>
    <cfRule type="expression" dxfId="2848" priority="16">
      <formula>I59&gt;75</formula>
    </cfRule>
  </conditionalFormatting>
  <conditionalFormatting sqref="I61:I62 K61:K62 M61:M62 O61:O62">
    <cfRule type="cellIs" dxfId="2847" priority="9" operator="between">
      <formula>60</formula>
      <formula>61.9</formula>
    </cfRule>
    <cfRule type="cellIs" dxfId="2846" priority="10" operator="between">
      <formula>68.1</formula>
      <formula>70</formula>
    </cfRule>
    <cfRule type="expression" dxfId="2845" priority="11">
      <formula>I61&lt;60</formula>
    </cfRule>
    <cfRule type="expression" dxfId="2844" priority="12">
      <formula>I61&gt;70</formula>
    </cfRule>
  </conditionalFormatting>
  <conditionalFormatting sqref="K67 O67">
    <cfRule type="cellIs" dxfId="2843" priority="5" operator="between">
      <formula>65</formula>
      <formula>66.9</formula>
    </cfRule>
    <cfRule type="cellIs" dxfId="2842" priority="6" operator="between">
      <formula>73.1</formula>
      <formula>75</formula>
    </cfRule>
    <cfRule type="expression" dxfId="2841" priority="7">
      <formula>K67&lt;65</formula>
    </cfRule>
    <cfRule type="expression" dxfId="2840" priority="8">
      <formula>K67&gt;75</formula>
    </cfRule>
  </conditionalFormatting>
  <conditionalFormatting sqref="K66 O66 I66 M66">
    <cfRule type="cellIs" dxfId="2839" priority="1" operator="between">
      <formula>55</formula>
      <formula>56.9</formula>
    </cfRule>
    <cfRule type="cellIs" dxfId="2838" priority="2" operator="between">
      <formula>63.1</formula>
      <formula>65</formula>
    </cfRule>
    <cfRule type="expression" dxfId="2837" priority="3">
      <formula>I66&lt;55</formula>
    </cfRule>
    <cfRule type="expression" dxfId="2836" priority="4">
      <formula>I66&gt;65</formula>
    </cfRule>
  </conditionalFormatting>
  <pageMargins left="0.39" right="0" top="0" bottom="0" header="0" footer="0"/>
  <pageSetup paperSize="9" scale="70" orientation="portrait" verticalDpi="300" r:id="rId1"/>
  <headerFooter alignWithMargins="0">
    <oddFooter>&amp;L&amp;10DCC No.：      Q4-CXVN-PC01-IS10-02&amp;C&amp;10Ver.： 01&amp;R&amp;10保存期限： 1 年</oddFooter>
  </headerFooter>
  <drawing r:id="rId2"/>
</worksheet>
</file>

<file path=xl/worksheets/sheet26.xml><?xml version="1.0" encoding="utf-8"?>
<worksheet xmlns="http://schemas.openxmlformats.org/spreadsheetml/2006/main" xmlns:r="http://schemas.openxmlformats.org/officeDocument/2006/relationships">
  <sheetPr codeName="Sheet12">
    <tabColor rgb="FFC00000"/>
  </sheetPr>
  <dimension ref="A1:BF108"/>
  <sheetViews>
    <sheetView showGridLines="0" topLeftCell="A82" zoomScale="55" zoomScaleNormal="55" workbookViewId="0">
      <selection activeCell="AP98" sqref="AP98:AQ98"/>
    </sheetView>
  </sheetViews>
  <sheetFormatPr defaultRowHeight="15.75"/>
  <cols>
    <col min="1" max="1" width="16.25" style="292" customWidth="1"/>
    <col min="2" max="2" width="16.25" style="292" hidden="1" customWidth="1"/>
    <col min="3" max="3" width="22.625" style="292" customWidth="1"/>
    <col min="4" max="4" width="14.625" style="292" customWidth="1"/>
    <col min="5" max="5" width="14.5" style="1727" customWidth="1"/>
    <col min="6" max="6" width="13.5" style="1727" customWidth="1"/>
    <col min="7" max="7" width="12" style="1525" hidden="1" customWidth="1"/>
    <col min="8" max="8" width="12.875" style="292" hidden="1" customWidth="1"/>
    <col min="9" max="9" width="9.5" style="292" customWidth="1"/>
    <col min="10" max="10" width="11.375" style="292" hidden="1" customWidth="1"/>
    <col min="11" max="11" width="2.5" style="292" customWidth="1"/>
    <col min="12" max="12" width="10" style="292" customWidth="1"/>
    <col min="13" max="13" width="5" style="292" customWidth="1"/>
    <col min="14" max="14" width="6.625" style="292" hidden="1" customWidth="1"/>
    <col min="15" max="15" width="7.75" style="292" customWidth="1"/>
    <col min="16" max="16" width="5.75" style="292" hidden="1" customWidth="1"/>
    <col min="17" max="17" width="3" style="292" customWidth="1"/>
    <col min="18" max="18" width="9" style="292" customWidth="1"/>
    <col min="19" max="19" width="5.25" style="292" customWidth="1"/>
    <col min="20" max="20" width="9" style="292" hidden="1" customWidth="1"/>
    <col min="21" max="21" width="8.375" style="292" customWidth="1"/>
    <col min="22" max="22" width="9" style="292" hidden="1" customWidth="1"/>
    <col min="23" max="23" width="3.75" style="292" customWidth="1"/>
    <col min="24" max="24" width="8.375" style="292" customWidth="1"/>
    <col min="25" max="25" width="5.375" style="292" customWidth="1"/>
    <col min="26" max="26" width="9" style="292" hidden="1" customWidth="1"/>
    <col min="27" max="27" width="8.25" style="292" customWidth="1"/>
    <col min="28" max="28" width="9" style="292" hidden="1" customWidth="1"/>
    <col min="29" max="29" width="4" style="292" customWidth="1"/>
    <col min="30" max="30" width="7.75" style="292" customWidth="1"/>
    <col min="31" max="31" width="6" style="48" customWidth="1"/>
    <col min="32" max="32" width="7.5" style="292" hidden="1" customWidth="1"/>
    <col min="33" max="33" width="7.625" style="292" customWidth="1"/>
    <col min="34" max="34" width="9" style="292" hidden="1" customWidth="1"/>
    <col min="35" max="35" width="4" style="292" customWidth="1"/>
    <col min="36" max="36" width="7.875" style="292" customWidth="1"/>
    <col min="37" max="37" width="4.875" style="48" customWidth="1"/>
    <col min="38" max="38" width="7" style="292" hidden="1" customWidth="1"/>
    <col min="39" max="39" width="9.25" style="292" customWidth="1"/>
    <col min="40" max="40" width="9" style="292" hidden="1" customWidth="1"/>
    <col min="41" max="41" width="4" style="292" customWidth="1"/>
    <col min="42" max="42" width="7.875" style="292" customWidth="1"/>
    <col min="43" max="43" width="4.875" style="48" customWidth="1"/>
    <col min="44" max="44" width="6.75" style="292" customWidth="1"/>
    <col min="45" max="45" width="13.125" style="292" customWidth="1"/>
    <col min="46" max="46" width="20.625" style="292" customWidth="1"/>
    <col min="47" max="47" width="18.125" style="292" customWidth="1"/>
    <col min="48" max="48" width="24.125" style="292" customWidth="1"/>
    <col min="49" max="49" width="23.5" style="292" customWidth="1"/>
    <col min="50" max="50" width="18.125" style="292" customWidth="1"/>
    <col min="51" max="51" width="7.625" style="292" customWidth="1"/>
    <col min="52" max="52" width="18.125" style="292" customWidth="1"/>
    <col min="53" max="53" width="7.125" style="292" customWidth="1"/>
    <col min="54" max="55" width="18.125" style="292" customWidth="1"/>
    <col min="56" max="56" width="12" style="292" customWidth="1"/>
    <col min="57" max="57" width="24.75" style="292" customWidth="1"/>
    <col min="58" max="16384" width="9" style="292"/>
  </cols>
  <sheetData>
    <row r="1" spans="1:46" ht="52.5" customHeight="1">
      <c r="A1" s="322"/>
      <c r="B1" s="322"/>
      <c r="C1" s="323" t="s">
        <v>266</v>
      </c>
      <c r="D1" s="324"/>
      <c r="E1" s="1706"/>
      <c r="F1" s="1706"/>
      <c r="G1" s="1526"/>
      <c r="H1" s="324"/>
      <c r="I1" s="324"/>
      <c r="J1" s="324"/>
      <c r="K1" s="324"/>
      <c r="L1" s="324"/>
      <c r="M1" s="324"/>
      <c r="N1" s="324"/>
      <c r="O1" s="324"/>
      <c r="P1" s="324"/>
      <c r="Q1" s="324"/>
      <c r="R1" s="324"/>
      <c r="S1" s="324"/>
      <c r="T1" s="324"/>
      <c r="U1" s="324"/>
      <c r="V1" s="324"/>
      <c r="W1" s="324"/>
      <c r="X1" s="324"/>
      <c r="Y1" s="324"/>
      <c r="Z1" s="324"/>
      <c r="AA1" s="324"/>
      <c r="AB1" s="324"/>
      <c r="AC1" s="324"/>
      <c r="AD1" s="324"/>
      <c r="AE1" s="292"/>
      <c r="AK1" s="292"/>
      <c r="AQ1" s="292"/>
    </row>
    <row r="2" spans="1:46" ht="52.5" customHeight="1">
      <c r="A2" s="879" t="str">
        <f>MENU!$AC$9</f>
        <v>2023/03/21</v>
      </c>
      <c r="B2" s="325"/>
      <c r="C2" s="326" t="s">
        <v>252</v>
      </c>
      <c r="D2" s="327"/>
      <c r="E2" s="1707"/>
      <c r="F2" s="1708"/>
      <c r="G2" s="1527"/>
      <c r="H2" s="327"/>
      <c r="I2" s="327"/>
      <c r="J2" s="327"/>
      <c r="K2" s="327"/>
      <c r="L2" s="327"/>
      <c r="M2" s="327"/>
      <c r="N2" s="327"/>
      <c r="O2" s="327"/>
      <c r="P2" s="327"/>
      <c r="Q2" s="327"/>
      <c r="R2" s="327"/>
      <c r="S2" s="327"/>
      <c r="T2" s="327"/>
      <c r="U2" s="327"/>
      <c r="V2" s="327"/>
      <c r="W2" s="327"/>
      <c r="X2" s="327"/>
      <c r="Y2" s="327"/>
      <c r="Z2" s="327"/>
      <c r="AA2" s="327"/>
      <c r="AB2" s="327"/>
      <c r="AC2" s="327"/>
      <c r="AD2" s="327"/>
      <c r="AE2" s="292"/>
      <c r="AK2" s="292"/>
      <c r="AQ2" s="292"/>
    </row>
    <row r="3" spans="1:46" ht="41.25" customHeight="1">
      <c r="A3" s="1182" t="s">
        <v>230</v>
      </c>
      <c r="B3" s="1183"/>
      <c r="C3" s="1184"/>
      <c r="D3" s="1184"/>
      <c r="E3" s="1709"/>
      <c r="F3" s="1710"/>
      <c r="G3" s="1528"/>
      <c r="H3" s="1185"/>
      <c r="I3" s="1186"/>
      <c r="J3" s="1185"/>
      <c r="K3" s="1185"/>
      <c r="L3" s="1187"/>
      <c r="M3" s="1187"/>
      <c r="N3" s="1187"/>
      <c r="O3" s="1187"/>
      <c r="P3" s="1187"/>
      <c r="Q3" s="1187"/>
      <c r="R3" s="1187"/>
      <c r="S3" s="1185"/>
      <c r="T3" s="1185"/>
      <c r="U3" s="1185"/>
      <c r="V3" s="1185"/>
      <c r="W3" s="1185"/>
      <c r="X3" s="1185"/>
      <c r="Y3" s="1185"/>
      <c r="Z3" s="1185"/>
      <c r="AA3" s="1185"/>
      <c r="AB3" s="1185"/>
      <c r="AC3" s="1185"/>
      <c r="AD3" s="1185"/>
      <c r="AE3" s="1185"/>
      <c r="AF3" s="1180"/>
      <c r="AG3" s="1183"/>
      <c r="AH3" s="1188"/>
      <c r="AI3" s="1188"/>
      <c r="AJ3" s="1188"/>
      <c r="AK3" s="1188"/>
      <c r="AL3" s="1188"/>
      <c r="AM3" s="1188"/>
      <c r="AN3" s="1188"/>
      <c r="AO3" s="1188"/>
      <c r="AP3" s="1188"/>
      <c r="AQ3" s="1189"/>
    </row>
    <row r="4" spans="1:46" ht="24.75" customHeight="1">
      <c r="A4" s="1632"/>
      <c r="B4" s="1620"/>
      <c r="C4" s="1632"/>
      <c r="D4" s="1632"/>
      <c r="E4" s="1711"/>
      <c r="F4" s="1711"/>
      <c r="G4" s="2373" t="s">
        <v>140</v>
      </c>
      <c r="H4" s="98"/>
      <c r="I4" s="298" t="s">
        <v>239</v>
      </c>
      <c r="J4" s="298"/>
      <c r="K4" s="298"/>
      <c r="L4" s="298"/>
      <c r="M4" s="298"/>
      <c r="N4" s="99"/>
      <c r="O4" s="315" t="s">
        <v>240</v>
      </c>
      <c r="P4" s="298"/>
      <c r="Q4" s="298"/>
      <c r="R4" s="298"/>
      <c r="S4" s="299"/>
      <c r="T4" s="298"/>
      <c r="U4" s="298" t="s">
        <v>241</v>
      </c>
      <c r="V4" s="298"/>
      <c r="W4" s="298"/>
      <c r="X4" s="298"/>
      <c r="Y4" s="298"/>
      <c r="Z4" s="99"/>
      <c r="AA4" s="315" t="s">
        <v>242</v>
      </c>
      <c r="AB4" s="298"/>
      <c r="AC4" s="298"/>
      <c r="AD4" s="298"/>
      <c r="AE4" s="299"/>
      <c r="AF4" s="298"/>
      <c r="AG4" s="298" t="s">
        <v>243</v>
      </c>
      <c r="AH4" s="298"/>
      <c r="AI4" s="298"/>
      <c r="AJ4" s="298"/>
      <c r="AK4" s="298"/>
      <c r="AL4" s="298"/>
      <c r="AM4" s="315" t="s">
        <v>244</v>
      </c>
      <c r="AN4" s="298"/>
      <c r="AO4" s="298"/>
      <c r="AP4" s="299"/>
      <c r="AQ4" s="1122"/>
    </row>
    <row r="5" spans="1:46" ht="63.75" customHeight="1">
      <c r="A5" s="1624" t="s">
        <v>267</v>
      </c>
      <c r="B5" s="1620" t="s">
        <v>350</v>
      </c>
      <c r="C5" s="1624" t="s">
        <v>348</v>
      </c>
      <c r="D5" s="1624" t="s">
        <v>1366</v>
      </c>
      <c r="E5" s="1712" t="s">
        <v>1443</v>
      </c>
      <c r="F5" s="1712" t="s">
        <v>1412</v>
      </c>
      <c r="G5" s="2374"/>
      <c r="H5" s="20"/>
      <c r="I5" s="1157" t="s">
        <v>145</v>
      </c>
      <c r="J5" s="34" t="s">
        <v>1</v>
      </c>
      <c r="K5" s="316" t="s">
        <v>1</v>
      </c>
      <c r="L5" s="316"/>
      <c r="M5" s="317"/>
      <c r="N5" s="100"/>
      <c r="O5" s="1157" t="s">
        <v>145</v>
      </c>
      <c r="P5" s="34" t="s">
        <v>1</v>
      </c>
      <c r="Q5" s="316" t="s">
        <v>1</v>
      </c>
      <c r="R5" s="316"/>
      <c r="S5" s="317"/>
      <c r="T5" s="20"/>
      <c r="U5" s="1157" t="s">
        <v>145</v>
      </c>
      <c r="V5" s="34" t="s">
        <v>1</v>
      </c>
      <c r="W5" s="316" t="s">
        <v>1</v>
      </c>
      <c r="X5" s="316"/>
      <c r="Y5" s="317"/>
      <c r="Z5" s="100"/>
      <c r="AA5" s="1157" t="s">
        <v>145</v>
      </c>
      <c r="AB5" s="34" t="s">
        <v>1</v>
      </c>
      <c r="AC5" s="316" t="s">
        <v>1</v>
      </c>
      <c r="AD5" s="316"/>
      <c r="AE5" s="317"/>
      <c r="AF5" s="100"/>
      <c r="AG5" s="1157" t="s">
        <v>145</v>
      </c>
      <c r="AH5" s="34" t="s">
        <v>1</v>
      </c>
      <c r="AI5" s="316" t="s">
        <v>1</v>
      </c>
      <c r="AJ5" s="316"/>
      <c r="AK5" s="317"/>
      <c r="AL5" s="100"/>
      <c r="AM5" s="1157" t="s">
        <v>145</v>
      </c>
      <c r="AN5" s="34" t="s">
        <v>1</v>
      </c>
      <c r="AO5" s="316" t="s">
        <v>1</v>
      </c>
      <c r="AP5" s="316"/>
      <c r="AQ5" s="317"/>
      <c r="AS5" s="1174" t="s">
        <v>1068</v>
      </c>
      <c r="AT5" s="1175" t="s">
        <v>1067</v>
      </c>
    </row>
    <row r="6" spans="1:46" ht="34.5" customHeight="1">
      <c r="A6" s="1161" t="s">
        <v>268</v>
      </c>
      <c r="B6" s="1161" t="s">
        <v>234</v>
      </c>
      <c r="C6" s="1161" t="s">
        <v>80</v>
      </c>
      <c r="D6" s="52" t="s">
        <v>4</v>
      </c>
      <c r="E6" s="1713" t="s">
        <v>1487</v>
      </c>
      <c r="F6" s="1713" t="s">
        <v>1480</v>
      </c>
      <c r="G6" s="1529">
        <v>30</v>
      </c>
      <c r="H6" s="102">
        <f>XM.HN!B3</f>
        <v>0</v>
      </c>
      <c r="I6" s="1733">
        <f>H6*4</f>
        <v>0</v>
      </c>
      <c r="J6" s="1734">
        <f>($G$6-I6)*2693/1000</f>
        <v>80.790000000000006</v>
      </c>
      <c r="K6" s="1735" t="s">
        <v>8</v>
      </c>
      <c r="L6" s="1816">
        <f>IF(I6=0,0,IF(J6&lt;0,0,J6))</f>
        <v>0</v>
      </c>
      <c r="M6" s="1736" t="s">
        <v>9</v>
      </c>
      <c r="N6" s="1737">
        <f>XM.HN!C3</f>
        <v>0</v>
      </c>
      <c r="O6" s="1657">
        <f>N6*4</f>
        <v>0</v>
      </c>
      <c r="P6" s="1734">
        <f>($G$6-O6)*2693/1000</f>
        <v>80.790000000000006</v>
      </c>
      <c r="Q6" s="1735" t="s">
        <v>8</v>
      </c>
      <c r="R6" s="1816">
        <f>IF(O6=0,0,IF(P6&lt;0,0,P6))</f>
        <v>0</v>
      </c>
      <c r="S6" s="1736" t="s">
        <v>9</v>
      </c>
      <c r="T6" s="1737">
        <f>XM.HN!D3</f>
        <v>0</v>
      </c>
      <c r="U6" s="1733">
        <f>T6*4</f>
        <v>0</v>
      </c>
      <c r="V6" s="1734">
        <f>($G$6-U6)*2693/1000</f>
        <v>80.790000000000006</v>
      </c>
      <c r="W6" s="1735" t="s">
        <v>8</v>
      </c>
      <c r="X6" s="1816">
        <f>IF(U6=0,0,IF(V6&lt;0,0,V6))</f>
        <v>0</v>
      </c>
      <c r="Y6" s="1736" t="s">
        <v>9</v>
      </c>
      <c r="Z6" s="1737">
        <f>XM.HN!E3</f>
        <v>0</v>
      </c>
      <c r="AA6" s="1733">
        <f>Z6*4</f>
        <v>0</v>
      </c>
      <c r="AB6" s="1734">
        <f>($G$6-AA6)*2693/1000</f>
        <v>80.790000000000006</v>
      </c>
      <c r="AC6" s="1735" t="s">
        <v>8</v>
      </c>
      <c r="AD6" s="1816">
        <f>IF(AA6=0,0,IF(AB6&lt;0,0,AB6))</f>
        <v>0</v>
      </c>
      <c r="AE6" s="1736" t="s">
        <v>9</v>
      </c>
      <c r="AF6" s="1737">
        <f>XM.HN!F3</f>
        <v>0</v>
      </c>
      <c r="AG6" s="1733">
        <f>AF6*4</f>
        <v>0</v>
      </c>
      <c r="AH6" s="1734">
        <f>($G$6-AG6)*2693/1000</f>
        <v>80.790000000000006</v>
      </c>
      <c r="AI6" s="1735" t="s">
        <v>8</v>
      </c>
      <c r="AJ6" s="1816">
        <f>IF(AG6=0,0,IF(AH6&lt;0,0,AH6))</f>
        <v>0</v>
      </c>
      <c r="AK6" s="1736" t="s">
        <v>9</v>
      </c>
      <c r="AL6" s="1737">
        <f>XM.HN!G3</f>
        <v>0</v>
      </c>
      <c r="AM6" s="1733">
        <f>AL6*4</f>
        <v>0</v>
      </c>
      <c r="AN6" s="1734">
        <f>($G$6-AM6)*2693/1000</f>
        <v>80.790000000000006</v>
      </c>
      <c r="AO6" s="1735" t="s">
        <v>8</v>
      </c>
      <c r="AP6" s="1816">
        <f>IF(AM6=0,0,IF(AN6&lt;0,0,AN6))</f>
        <v>0</v>
      </c>
      <c r="AQ6" s="39" t="s">
        <v>9</v>
      </c>
      <c r="AS6" s="1176" t="s">
        <v>1069</v>
      </c>
      <c r="AT6" s="2369" t="s">
        <v>1081</v>
      </c>
    </row>
    <row r="7" spans="1:46" ht="34.5" customHeight="1">
      <c r="A7" s="1161" t="s">
        <v>269</v>
      </c>
      <c r="B7" s="1161" t="s">
        <v>234</v>
      </c>
      <c r="C7" s="1161" t="s">
        <v>81</v>
      </c>
      <c r="D7" s="1165" t="s">
        <v>4</v>
      </c>
      <c r="E7" s="1713" t="s">
        <v>1487</v>
      </c>
      <c r="F7" s="1713" t="s">
        <v>1480</v>
      </c>
      <c r="G7" s="1529">
        <v>30</v>
      </c>
      <c r="H7" s="102">
        <f>XM.HN!B4</f>
        <v>0</v>
      </c>
      <c r="I7" s="1657">
        <f>H7*4</f>
        <v>0</v>
      </c>
      <c r="J7" s="1734">
        <f>($G$7-I7)*3305/1000</f>
        <v>99.15</v>
      </c>
      <c r="K7" s="1735" t="s">
        <v>8</v>
      </c>
      <c r="L7" s="1816">
        <f t="shared" ref="L7:L17" si="0">IF(I7=0,0,IF(J7&lt;0,0,J7))</f>
        <v>0</v>
      </c>
      <c r="M7" s="1736" t="s">
        <v>9</v>
      </c>
      <c r="N7" s="1737">
        <f>XM.HN!C4</f>
        <v>0</v>
      </c>
      <c r="O7" s="1657">
        <f>N7*4</f>
        <v>0</v>
      </c>
      <c r="P7" s="1734">
        <f>($G$7-O7)*3305/1000</f>
        <v>99.15</v>
      </c>
      <c r="Q7" s="1735" t="s">
        <v>8</v>
      </c>
      <c r="R7" s="1816">
        <f t="shared" ref="R7:R17" si="1">IF(O7=0,0,IF(P7&lt;0,0,P7))</f>
        <v>0</v>
      </c>
      <c r="S7" s="1736" t="s">
        <v>9</v>
      </c>
      <c r="T7" s="1737">
        <f>XM.HN!D4</f>
        <v>0</v>
      </c>
      <c r="U7" s="1657">
        <f>T7*4</f>
        <v>0</v>
      </c>
      <c r="V7" s="1734">
        <f>($G$7-U7)*3305/1000</f>
        <v>99.15</v>
      </c>
      <c r="W7" s="1735" t="s">
        <v>8</v>
      </c>
      <c r="X7" s="1816">
        <f t="shared" ref="X7:X17" si="2">IF(U7=0,0,IF(V7&lt;0,0,V7))</f>
        <v>0</v>
      </c>
      <c r="Y7" s="1736" t="s">
        <v>9</v>
      </c>
      <c r="Z7" s="1737">
        <f>XM.HN!E4</f>
        <v>0</v>
      </c>
      <c r="AA7" s="1657">
        <f>Z7*4</f>
        <v>0</v>
      </c>
      <c r="AB7" s="1734">
        <f>($G$7-AA7)*3305/1000</f>
        <v>99.15</v>
      </c>
      <c r="AC7" s="1735" t="s">
        <v>8</v>
      </c>
      <c r="AD7" s="1816">
        <f t="shared" ref="AD7:AD17" si="3">IF(AA7=0,0,IF(AB7&lt;0,0,AB7))</f>
        <v>0</v>
      </c>
      <c r="AE7" s="1736" t="s">
        <v>9</v>
      </c>
      <c r="AF7" s="1737">
        <f>XM.HN!F4</f>
        <v>0</v>
      </c>
      <c r="AG7" s="1657">
        <f>AF7*4</f>
        <v>0</v>
      </c>
      <c r="AH7" s="1734">
        <f>($G$7-AG7)*3305/1000</f>
        <v>99.15</v>
      </c>
      <c r="AI7" s="1735" t="s">
        <v>8</v>
      </c>
      <c r="AJ7" s="1816">
        <f t="shared" ref="AJ7:AJ17" si="4">IF(AG7=0,0,IF(AH7&lt;0,0,AH7))</f>
        <v>0</v>
      </c>
      <c r="AK7" s="1736" t="s">
        <v>9</v>
      </c>
      <c r="AL7" s="1737">
        <f>XM.HN!G4</f>
        <v>0</v>
      </c>
      <c r="AM7" s="1657">
        <f>AL7*4</f>
        <v>0</v>
      </c>
      <c r="AN7" s="1734">
        <f>($G$7-AM7)*3305/1000</f>
        <v>99.15</v>
      </c>
      <c r="AO7" s="1735" t="s">
        <v>8</v>
      </c>
      <c r="AP7" s="1816">
        <f t="shared" ref="AP7:AP17" si="5">IF(AM7=0,0,IF(AN7&lt;0,0,AN7))</f>
        <v>0</v>
      </c>
      <c r="AQ7" s="39" t="s">
        <v>9</v>
      </c>
      <c r="AS7" s="1176" t="s">
        <v>1069</v>
      </c>
      <c r="AT7" s="2369"/>
    </row>
    <row r="8" spans="1:46" ht="34.5" customHeight="1">
      <c r="A8" s="1161" t="s">
        <v>270</v>
      </c>
      <c r="B8" s="1161" t="s">
        <v>234</v>
      </c>
      <c r="C8" s="1161" t="s">
        <v>52</v>
      </c>
      <c r="D8" s="52" t="s">
        <v>4</v>
      </c>
      <c r="E8" s="1713" t="s">
        <v>1488</v>
      </c>
      <c r="F8" s="1713" t="s">
        <v>1481</v>
      </c>
      <c r="G8" s="1529">
        <v>70</v>
      </c>
      <c r="H8" s="102">
        <f>XM.HN!B5</f>
        <v>0</v>
      </c>
      <c r="I8" s="1669">
        <f>H8*4</f>
        <v>0</v>
      </c>
      <c r="J8" s="1734">
        <f>($G$8-I8)*1156/1000</f>
        <v>80.92</v>
      </c>
      <c r="K8" s="1735" t="s">
        <v>8</v>
      </c>
      <c r="L8" s="1816">
        <f t="shared" si="0"/>
        <v>0</v>
      </c>
      <c r="M8" s="1736" t="s">
        <v>9</v>
      </c>
      <c r="N8" s="1737">
        <f>XM.HN!C5</f>
        <v>0</v>
      </c>
      <c r="O8" s="1669">
        <f>N8*4</f>
        <v>0</v>
      </c>
      <c r="P8" s="1734">
        <f>($G$8-O8)*1156/1000</f>
        <v>80.92</v>
      </c>
      <c r="Q8" s="1735" t="s">
        <v>8</v>
      </c>
      <c r="R8" s="1816">
        <f t="shared" si="1"/>
        <v>0</v>
      </c>
      <c r="S8" s="1736" t="s">
        <v>9</v>
      </c>
      <c r="T8" s="1737">
        <f>XM.HN!D5</f>
        <v>0</v>
      </c>
      <c r="U8" s="1669">
        <f>T8*4</f>
        <v>0</v>
      </c>
      <c r="V8" s="1734">
        <f>($G$8-U8)*1156/1000</f>
        <v>80.92</v>
      </c>
      <c r="W8" s="1735" t="s">
        <v>8</v>
      </c>
      <c r="X8" s="1816">
        <f t="shared" si="2"/>
        <v>0</v>
      </c>
      <c r="Y8" s="1736" t="s">
        <v>9</v>
      </c>
      <c r="Z8" s="1737">
        <f>XM.HN!E5</f>
        <v>0</v>
      </c>
      <c r="AA8" s="1669">
        <f>Z8*4</f>
        <v>0</v>
      </c>
      <c r="AB8" s="1734">
        <f>($G$8-AA8)*1156/1000</f>
        <v>80.92</v>
      </c>
      <c r="AC8" s="1735" t="s">
        <v>8</v>
      </c>
      <c r="AD8" s="1816">
        <f t="shared" si="3"/>
        <v>0</v>
      </c>
      <c r="AE8" s="1736" t="s">
        <v>9</v>
      </c>
      <c r="AF8" s="1737">
        <f>XM.HN!F5</f>
        <v>0</v>
      </c>
      <c r="AG8" s="1669">
        <f>AF8*4</f>
        <v>0</v>
      </c>
      <c r="AH8" s="1734">
        <f>($G$8-AG8)*1156/1000</f>
        <v>80.92</v>
      </c>
      <c r="AI8" s="1735" t="s">
        <v>8</v>
      </c>
      <c r="AJ8" s="1816">
        <f t="shared" si="4"/>
        <v>0</v>
      </c>
      <c r="AK8" s="1736" t="s">
        <v>9</v>
      </c>
      <c r="AL8" s="1737">
        <f>XM.HN!G5</f>
        <v>0</v>
      </c>
      <c r="AM8" s="1669">
        <f>AL8*4</f>
        <v>0</v>
      </c>
      <c r="AN8" s="1734">
        <f>($G$8-AM8)*1156/1000</f>
        <v>80.92</v>
      </c>
      <c r="AO8" s="1735" t="s">
        <v>8</v>
      </c>
      <c r="AP8" s="1816">
        <f t="shared" si="5"/>
        <v>0</v>
      </c>
      <c r="AQ8" s="39" t="s">
        <v>9</v>
      </c>
      <c r="AS8" s="1176" t="s">
        <v>1069</v>
      </c>
      <c r="AT8" s="2369"/>
    </row>
    <row r="9" spans="1:46" ht="34.5" customHeight="1">
      <c r="A9" s="1161" t="s">
        <v>271</v>
      </c>
      <c r="B9" s="1161" t="s">
        <v>234</v>
      </c>
      <c r="C9" s="1161" t="s">
        <v>53</v>
      </c>
      <c r="D9" s="52" t="s">
        <v>4</v>
      </c>
      <c r="E9" s="1713" t="s">
        <v>1488</v>
      </c>
      <c r="F9" s="1713" t="s">
        <v>1481</v>
      </c>
      <c r="G9" s="1529">
        <v>70</v>
      </c>
      <c r="H9" s="102">
        <f>XM.HN!B6</f>
        <v>0</v>
      </c>
      <c r="I9" s="1669">
        <f>H9*4</f>
        <v>0</v>
      </c>
      <c r="J9" s="1734">
        <f>($G$9-I9)*1459/1000</f>
        <v>102.13</v>
      </c>
      <c r="K9" s="1735" t="s">
        <v>8</v>
      </c>
      <c r="L9" s="1816">
        <f t="shared" si="0"/>
        <v>0</v>
      </c>
      <c r="M9" s="1736" t="s">
        <v>9</v>
      </c>
      <c r="N9" s="1737">
        <f>XM.HN!C6</f>
        <v>0</v>
      </c>
      <c r="O9" s="1669">
        <f>N9*4</f>
        <v>0</v>
      </c>
      <c r="P9" s="1734">
        <f>($G$9-O9)*1459/1000</f>
        <v>102.13</v>
      </c>
      <c r="Q9" s="1735" t="s">
        <v>8</v>
      </c>
      <c r="R9" s="1816">
        <f t="shared" si="1"/>
        <v>0</v>
      </c>
      <c r="S9" s="1736" t="s">
        <v>9</v>
      </c>
      <c r="T9" s="1737">
        <f>XM.HN!D6</f>
        <v>0</v>
      </c>
      <c r="U9" s="1669">
        <f>T9*4</f>
        <v>0</v>
      </c>
      <c r="V9" s="1734">
        <f>($G$9-U9)*1459/1000</f>
        <v>102.13</v>
      </c>
      <c r="W9" s="1735" t="s">
        <v>8</v>
      </c>
      <c r="X9" s="1816">
        <f t="shared" si="2"/>
        <v>0</v>
      </c>
      <c r="Y9" s="1736" t="s">
        <v>9</v>
      </c>
      <c r="Z9" s="1737">
        <f>XM.HN!E6</f>
        <v>0</v>
      </c>
      <c r="AA9" s="1669">
        <f>Z9*4</f>
        <v>0</v>
      </c>
      <c r="AB9" s="1734">
        <f>($G$9-AA9)*1459/1000</f>
        <v>102.13</v>
      </c>
      <c r="AC9" s="1735" t="s">
        <v>8</v>
      </c>
      <c r="AD9" s="1816">
        <f t="shared" si="3"/>
        <v>0</v>
      </c>
      <c r="AE9" s="1736" t="s">
        <v>9</v>
      </c>
      <c r="AF9" s="1737">
        <f>XM.HN!F6</f>
        <v>0</v>
      </c>
      <c r="AG9" s="1669">
        <f>AF9*4</f>
        <v>0</v>
      </c>
      <c r="AH9" s="1734">
        <f>($G$9-AG9)*1459/1000</f>
        <v>102.13</v>
      </c>
      <c r="AI9" s="1735" t="s">
        <v>8</v>
      </c>
      <c r="AJ9" s="1816">
        <f t="shared" si="4"/>
        <v>0</v>
      </c>
      <c r="AK9" s="1736" t="s">
        <v>9</v>
      </c>
      <c r="AL9" s="1737">
        <f>XM.HN!G6</f>
        <v>0</v>
      </c>
      <c r="AM9" s="1669">
        <f>AL9*4</f>
        <v>0</v>
      </c>
      <c r="AN9" s="1734">
        <f>($G$9-AM9)*1459/1000</f>
        <v>102.13</v>
      </c>
      <c r="AO9" s="1735" t="s">
        <v>8</v>
      </c>
      <c r="AP9" s="1816">
        <f t="shared" si="5"/>
        <v>0</v>
      </c>
      <c r="AQ9" s="39" t="s">
        <v>9</v>
      </c>
      <c r="AS9" s="1176" t="s">
        <v>1069</v>
      </c>
      <c r="AT9" s="2369"/>
    </row>
    <row r="10" spans="1:46" ht="34.5" customHeight="1">
      <c r="A10" s="1161" t="s">
        <v>272</v>
      </c>
      <c r="B10" s="1161" t="s">
        <v>234</v>
      </c>
      <c r="C10" s="1159" t="s">
        <v>59</v>
      </c>
      <c r="D10" s="1165" t="s">
        <v>4</v>
      </c>
      <c r="E10" s="1714" t="s">
        <v>1489</v>
      </c>
      <c r="F10" s="1714" t="s">
        <v>1482</v>
      </c>
      <c r="G10" s="1530">
        <v>140</v>
      </c>
      <c r="H10" s="102">
        <f>XM.HN!B7</f>
        <v>0</v>
      </c>
      <c r="I10" s="1733">
        <f>H10*8</f>
        <v>0</v>
      </c>
      <c r="J10" s="1734">
        <f>($G$10-I10)*19951/1000</f>
        <v>2793.14</v>
      </c>
      <c r="K10" s="1735" t="s">
        <v>8</v>
      </c>
      <c r="L10" s="1816">
        <f t="shared" si="0"/>
        <v>0</v>
      </c>
      <c r="M10" s="1736" t="s">
        <v>9</v>
      </c>
      <c r="N10" s="1737">
        <f>XM.HN!C7</f>
        <v>0</v>
      </c>
      <c r="O10" s="1657">
        <f>N10*8</f>
        <v>0</v>
      </c>
      <c r="P10" s="1734">
        <f>($G$10-O10)*19951/1000</f>
        <v>2793.14</v>
      </c>
      <c r="Q10" s="1735" t="s">
        <v>8</v>
      </c>
      <c r="R10" s="1816">
        <f t="shared" si="1"/>
        <v>0</v>
      </c>
      <c r="S10" s="1736" t="s">
        <v>9</v>
      </c>
      <c r="T10" s="1737">
        <f>XM.HN!D7</f>
        <v>0</v>
      </c>
      <c r="U10" s="1733">
        <f>T10*8</f>
        <v>0</v>
      </c>
      <c r="V10" s="1734">
        <f>($G$10-U10)*19951/1000</f>
        <v>2793.14</v>
      </c>
      <c r="W10" s="1735" t="s">
        <v>8</v>
      </c>
      <c r="X10" s="1816">
        <f t="shared" si="2"/>
        <v>0</v>
      </c>
      <c r="Y10" s="1736" t="s">
        <v>9</v>
      </c>
      <c r="Z10" s="1737">
        <f>XM.HN!E7</f>
        <v>0</v>
      </c>
      <c r="AA10" s="1733">
        <f>Z10*8</f>
        <v>0</v>
      </c>
      <c r="AB10" s="1734">
        <f>($G$10-AA10)*19951/1000</f>
        <v>2793.14</v>
      </c>
      <c r="AC10" s="1735" t="s">
        <v>8</v>
      </c>
      <c r="AD10" s="1816">
        <f t="shared" si="3"/>
        <v>0</v>
      </c>
      <c r="AE10" s="1736" t="s">
        <v>9</v>
      </c>
      <c r="AF10" s="1737">
        <f>XM.HN!F7</f>
        <v>0</v>
      </c>
      <c r="AG10" s="1733">
        <f>AF10*8</f>
        <v>0</v>
      </c>
      <c r="AH10" s="1734">
        <f>($G$10-AG10)*19951/1000</f>
        <v>2793.14</v>
      </c>
      <c r="AI10" s="1735" t="s">
        <v>8</v>
      </c>
      <c r="AJ10" s="1816">
        <f t="shared" si="4"/>
        <v>0</v>
      </c>
      <c r="AK10" s="1736" t="s">
        <v>9</v>
      </c>
      <c r="AL10" s="1737">
        <f>XM.HN!G7</f>
        <v>0</v>
      </c>
      <c r="AM10" s="1733">
        <f>AL10*8</f>
        <v>0</v>
      </c>
      <c r="AN10" s="1734">
        <f>($G$10-AM10)*19951/1000</f>
        <v>2793.14</v>
      </c>
      <c r="AO10" s="1735" t="s">
        <v>8</v>
      </c>
      <c r="AP10" s="1816">
        <f t="shared" si="5"/>
        <v>0</v>
      </c>
      <c r="AQ10" s="39" t="s">
        <v>9</v>
      </c>
      <c r="AS10" s="1176" t="s">
        <v>1069</v>
      </c>
      <c r="AT10" s="1613" t="s">
        <v>1408</v>
      </c>
    </row>
    <row r="11" spans="1:46" ht="34.5" customHeight="1">
      <c r="A11" s="52" t="s">
        <v>273</v>
      </c>
      <c r="B11" s="1161" t="s">
        <v>234</v>
      </c>
      <c r="C11" s="1144" t="s">
        <v>60</v>
      </c>
      <c r="D11" s="1165" t="s">
        <v>4</v>
      </c>
      <c r="E11" s="1758" t="s">
        <v>1519</v>
      </c>
      <c r="F11" s="1713" t="s">
        <v>1483</v>
      </c>
      <c r="G11" s="1531">
        <v>9</v>
      </c>
      <c r="H11" s="102">
        <f>XM.HN!B8</f>
        <v>0</v>
      </c>
      <c r="I11" s="1738">
        <f>H11*1.3</f>
        <v>0</v>
      </c>
      <c r="J11" s="1734">
        <f>($G$11-I11)*19951/1000</f>
        <v>179.559</v>
      </c>
      <c r="K11" s="1735" t="s">
        <v>8</v>
      </c>
      <c r="L11" s="1816">
        <f t="shared" si="0"/>
        <v>0</v>
      </c>
      <c r="M11" s="1736" t="s">
        <v>9</v>
      </c>
      <c r="N11" s="1737">
        <f>XM.HN!C8</f>
        <v>0</v>
      </c>
      <c r="O11" s="664">
        <f>N11*1.3</f>
        <v>0</v>
      </c>
      <c r="P11" s="1734">
        <f>($G$11-O11)*19951/1000</f>
        <v>179.559</v>
      </c>
      <c r="Q11" s="1735" t="s">
        <v>8</v>
      </c>
      <c r="R11" s="1816">
        <f t="shared" si="1"/>
        <v>0</v>
      </c>
      <c r="S11" s="1736" t="s">
        <v>9</v>
      </c>
      <c r="T11" s="1737">
        <f>XM.HN!D8</f>
        <v>0</v>
      </c>
      <c r="U11" s="1738">
        <f>T11*1.3</f>
        <v>0</v>
      </c>
      <c r="V11" s="1734">
        <f>($G$11-U11)*19951/1000</f>
        <v>179.559</v>
      </c>
      <c r="W11" s="1735" t="s">
        <v>8</v>
      </c>
      <c r="X11" s="1816">
        <f t="shared" si="2"/>
        <v>0</v>
      </c>
      <c r="Y11" s="1736" t="s">
        <v>9</v>
      </c>
      <c r="Z11" s="1737">
        <f>XM.HN!E8</f>
        <v>0</v>
      </c>
      <c r="AA11" s="1738">
        <f>Z11*1.3</f>
        <v>0</v>
      </c>
      <c r="AB11" s="1734">
        <f>($G$11-AA11)*19951/1000</f>
        <v>179.559</v>
      </c>
      <c r="AC11" s="1735" t="s">
        <v>8</v>
      </c>
      <c r="AD11" s="1816">
        <f t="shared" si="3"/>
        <v>0</v>
      </c>
      <c r="AE11" s="1736" t="s">
        <v>9</v>
      </c>
      <c r="AF11" s="1737">
        <f>XM.HN!F8</f>
        <v>0</v>
      </c>
      <c r="AG11" s="1738">
        <f>AF11*1.3</f>
        <v>0</v>
      </c>
      <c r="AH11" s="1734">
        <f>($G$11-AG11)*19951/1000</f>
        <v>179.559</v>
      </c>
      <c r="AI11" s="1735" t="s">
        <v>8</v>
      </c>
      <c r="AJ11" s="1816">
        <f t="shared" si="4"/>
        <v>0</v>
      </c>
      <c r="AK11" s="1736" t="s">
        <v>9</v>
      </c>
      <c r="AL11" s="1737">
        <f>XM.HN!G8</f>
        <v>0</v>
      </c>
      <c r="AM11" s="1738">
        <f>AL11*1.3</f>
        <v>0</v>
      </c>
      <c r="AN11" s="1734">
        <f>($G$11-AM11)*19951/1000</f>
        <v>179.559</v>
      </c>
      <c r="AO11" s="1735" t="s">
        <v>8</v>
      </c>
      <c r="AP11" s="1816">
        <f t="shared" si="5"/>
        <v>0</v>
      </c>
      <c r="AQ11" s="39" t="s">
        <v>9</v>
      </c>
      <c r="AS11" s="1176"/>
      <c r="AT11" s="1179" t="s">
        <v>1090</v>
      </c>
    </row>
    <row r="12" spans="1:46" ht="34.5" customHeight="1">
      <c r="A12" s="308" t="s">
        <v>279</v>
      </c>
      <c r="B12" s="1161" t="s">
        <v>234</v>
      </c>
      <c r="C12" s="1163" t="s">
        <v>1034</v>
      </c>
      <c r="D12" s="1165" t="s">
        <v>3</v>
      </c>
      <c r="E12" s="1713" t="s">
        <v>1490</v>
      </c>
      <c r="F12" s="1713" t="s">
        <v>1484</v>
      </c>
      <c r="G12" s="1531">
        <v>14</v>
      </c>
      <c r="H12" s="102">
        <f>XM.HN!B9</f>
        <v>0</v>
      </c>
      <c r="I12" s="1738">
        <f>H12*100/6.95/10</f>
        <v>0</v>
      </c>
      <c r="J12" s="1734">
        <f>($G$12-I12)*575/100</f>
        <v>80.5</v>
      </c>
      <c r="K12" s="1735" t="s">
        <v>8</v>
      </c>
      <c r="L12" s="1816">
        <f t="shared" si="0"/>
        <v>0</v>
      </c>
      <c r="M12" s="1739" t="s">
        <v>10</v>
      </c>
      <c r="N12" s="1740">
        <f>XM.HN!C9</f>
        <v>0</v>
      </c>
      <c r="O12" s="664">
        <f>N12*100/6.95/10</f>
        <v>0</v>
      </c>
      <c r="P12" s="1734">
        <f>($G$12-O12)*575/100</f>
        <v>80.5</v>
      </c>
      <c r="Q12" s="1735" t="s">
        <v>8</v>
      </c>
      <c r="R12" s="1816">
        <f t="shared" si="1"/>
        <v>0</v>
      </c>
      <c r="S12" s="1739" t="s">
        <v>10</v>
      </c>
      <c r="T12" s="1741">
        <f>XM.HN!D9</f>
        <v>0</v>
      </c>
      <c r="U12" s="1738">
        <f>T12*100/6.95/10</f>
        <v>0</v>
      </c>
      <c r="V12" s="1734">
        <f>($G$12-U12)*575/100</f>
        <v>80.5</v>
      </c>
      <c r="W12" s="1735" t="s">
        <v>8</v>
      </c>
      <c r="X12" s="1816">
        <f t="shared" si="2"/>
        <v>0</v>
      </c>
      <c r="Y12" s="1739" t="s">
        <v>10</v>
      </c>
      <c r="Z12" s="1742">
        <f>XM.HN!E9</f>
        <v>0</v>
      </c>
      <c r="AA12" s="1738">
        <f>Z12*100/6.95/10</f>
        <v>0</v>
      </c>
      <c r="AB12" s="1734">
        <f>($G$12-AA12)*575/100</f>
        <v>80.5</v>
      </c>
      <c r="AC12" s="1735" t="s">
        <v>8</v>
      </c>
      <c r="AD12" s="1816">
        <f t="shared" si="3"/>
        <v>0</v>
      </c>
      <c r="AE12" s="1739" t="s">
        <v>10</v>
      </c>
      <c r="AF12" s="1741">
        <f>XM.HN!F9</f>
        <v>0</v>
      </c>
      <c r="AG12" s="1738">
        <f>AF12*100/6.95/10</f>
        <v>0</v>
      </c>
      <c r="AH12" s="1734">
        <f>($G$12-AG12)*575/100</f>
        <v>80.5</v>
      </c>
      <c r="AI12" s="1735" t="s">
        <v>8</v>
      </c>
      <c r="AJ12" s="1816">
        <f t="shared" si="4"/>
        <v>0</v>
      </c>
      <c r="AK12" s="1739" t="s">
        <v>10</v>
      </c>
      <c r="AL12" s="1741">
        <f>XM.HN!G9</f>
        <v>0</v>
      </c>
      <c r="AM12" s="1738">
        <f>AL12*100/6.95/10</f>
        <v>0</v>
      </c>
      <c r="AN12" s="1734">
        <f>($G$12-AM12)*575/100</f>
        <v>80.5</v>
      </c>
      <c r="AO12" s="1735" t="s">
        <v>8</v>
      </c>
      <c r="AP12" s="1816">
        <f t="shared" si="5"/>
        <v>0</v>
      </c>
      <c r="AQ12" s="39" t="s">
        <v>10</v>
      </c>
      <c r="AS12" s="1176" t="s">
        <v>1069</v>
      </c>
      <c r="AT12" s="1172" t="s">
        <v>1079</v>
      </c>
    </row>
    <row r="13" spans="1:46" ht="34.5" customHeight="1">
      <c r="A13" s="308" t="s">
        <v>281</v>
      </c>
      <c r="B13" s="1161" t="s">
        <v>234</v>
      </c>
      <c r="C13" s="311" t="s">
        <v>131</v>
      </c>
      <c r="D13" s="1165" t="s">
        <v>5</v>
      </c>
      <c r="E13" s="1714" t="s">
        <v>1431</v>
      </c>
      <c r="F13" s="1714" t="s">
        <v>1414</v>
      </c>
      <c r="G13" s="1532"/>
      <c r="H13" s="102"/>
      <c r="I13" s="1738">
        <f>XM.HN!B16</f>
        <v>0</v>
      </c>
      <c r="J13" s="40"/>
      <c r="K13" s="1743"/>
      <c r="L13" s="1816"/>
      <c r="M13" s="40"/>
      <c r="N13" s="269"/>
      <c r="O13" s="664">
        <f>XM.HN!C16</f>
        <v>0</v>
      </c>
      <c r="P13" s="40"/>
      <c r="Q13" s="1743"/>
      <c r="R13" s="1816"/>
      <c r="S13" s="40"/>
      <c r="T13" s="40"/>
      <c r="U13" s="1738">
        <f>XM.HN!D16</f>
        <v>0</v>
      </c>
      <c r="V13" s="40"/>
      <c r="W13" s="1743"/>
      <c r="X13" s="1816"/>
      <c r="Y13" s="40"/>
      <c r="Z13" s="40"/>
      <c r="AA13" s="1738">
        <f>XM.HN!E16</f>
        <v>0</v>
      </c>
      <c r="AB13" s="40"/>
      <c r="AC13" s="1743"/>
      <c r="AD13" s="1816"/>
      <c r="AE13" s="40"/>
      <c r="AF13" s="1737"/>
      <c r="AG13" s="1738">
        <f>XM.HN!F16</f>
        <v>0</v>
      </c>
      <c r="AH13" s="40"/>
      <c r="AI13" s="1743"/>
      <c r="AJ13" s="1816"/>
      <c r="AK13" s="40"/>
      <c r="AL13" s="1737"/>
      <c r="AM13" s="1738">
        <f>XM.HN!G16</f>
        <v>0</v>
      </c>
      <c r="AN13" s="40"/>
      <c r="AO13" s="1743"/>
      <c r="AP13" s="1816"/>
      <c r="AQ13" s="42"/>
      <c r="AS13" s="1171"/>
      <c r="AT13" s="1173"/>
    </row>
    <row r="14" spans="1:46" ht="34.5" customHeight="1">
      <c r="A14" s="309" t="s">
        <v>274</v>
      </c>
      <c r="B14" s="1161" t="s">
        <v>234</v>
      </c>
      <c r="C14" s="1889" t="s">
        <v>61</v>
      </c>
      <c r="D14" s="1165" t="s">
        <v>6</v>
      </c>
      <c r="E14" s="1715" t="s">
        <v>1493</v>
      </c>
      <c r="F14" s="1715" t="s">
        <v>1466</v>
      </c>
      <c r="G14" s="1533">
        <v>0.45</v>
      </c>
      <c r="H14" s="102">
        <f>XM.HN!B10</f>
        <v>0</v>
      </c>
      <c r="I14" s="1745">
        <f>(1*H14*36.5)/(1*10)/32%/100</f>
        <v>0</v>
      </c>
      <c r="J14" s="1746">
        <f>($G$14-I14)*2122</f>
        <v>954.9</v>
      </c>
      <c r="K14" s="1739" t="s">
        <v>8</v>
      </c>
      <c r="L14" s="1816">
        <f t="shared" si="0"/>
        <v>0</v>
      </c>
      <c r="M14" s="1747" t="s">
        <v>10</v>
      </c>
      <c r="N14" s="1124">
        <f>XM.HN!C10</f>
        <v>0</v>
      </c>
      <c r="O14" s="337">
        <f>(1*N14*36.5)/(1*10)/32%/100</f>
        <v>0</v>
      </c>
      <c r="P14" s="1746">
        <f>($G$14-O14)*2122</f>
        <v>954.9</v>
      </c>
      <c r="Q14" s="1739" t="s">
        <v>8</v>
      </c>
      <c r="R14" s="1816">
        <f t="shared" si="1"/>
        <v>0</v>
      </c>
      <c r="S14" s="1747" t="s">
        <v>10</v>
      </c>
      <c r="T14" s="1124">
        <f>XM.HN!D10</f>
        <v>0</v>
      </c>
      <c r="U14" s="1745">
        <f>(1*T14*36.5)/(1*10)/32%/100</f>
        <v>0</v>
      </c>
      <c r="V14" s="1746">
        <f>($G$14-U14)*2122</f>
        <v>954.9</v>
      </c>
      <c r="W14" s="1739" t="s">
        <v>8</v>
      </c>
      <c r="X14" s="1816">
        <f t="shared" si="2"/>
        <v>0</v>
      </c>
      <c r="Y14" s="1747" t="s">
        <v>10</v>
      </c>
      <c r="Z14" s="1124">
        <f>XM.HN!E10</f>
        <v>0</v>
      </c>
      <c r="AA14" s="1745">
        <f>(1*Z14*36.5)/(1*10)/32%/100</f>
        <v>0</v>
      </c>
      <c r="AB14" s="1746">
        <f>($G$14-AA14)*2122</f>
        <v>954.9</v>
      </c>
      <c r="AC14" s="1739" t="s">
        <v>8</v>
      </c>
      <c r="AD14" s="1816">
        <f t="shared" si="3"/>
        <v>0</v>
      </c>
      <c r="AE14" s="1747" t="s">
        <v>10</v>
      </c>
      <c r="AF14" s="1737">
        <f>XM.HN!F10</f>
        <v>0</v>
      </c>
      <c r="AG14" s="1745">
        <f>(1*AF14*36.5)/(1*10)/32%/100</f>
        <v>0</v>
      </c>
      <c r="AH14" s="1746">
        <f>($G$14-AG14)*2122</f>
        <v>954.9</v>
      </c>
      <c r="AI14" s="1739" t="s">
        <v>8</v>
      </c>
      <c r="AJ14" s="1816">
        <f t="shared" si="4"/>
        <v>0</v>
      </c>
      <c r="AK14" s="1747" t="s">
        <v>10</v>
      </c>
      <c r="AL14" s="1737">
        <f>XM.HN!G10</f>
        <v>0</v>
      </c>
      <c r="AM14" s="1745">
        <f>(1*AL14*36.5)/(1*10)/32%/100</f>
        <v>0</v>
      </c>
      <c r="AN14" s="1746">
        <f>($G$14-AM14)*2122</f>
        <v>954.9</v>
      </c>
      <c r="AO14" s="1739" t="s">
        <v>8</v>
      </c>
      <c r="AP14" s="1816">
        <f t="shared" si="5"/>
        <v>0</v>
      </c>
      <c r="AQ14" s="39" t="s">
        <v>10</v>
      </c>
      <c r="AS14" s="52" t="s">
        <v>1074</v>
      </c>
      <c r="AT14" s="2369" t="s">
        <v>1070</v>
      </c>
    </row>
    <row r="15" spans="1:46" ht="34.5" customHeight="1">
      <c r="A15" s="309" t="s">
        <v>275</v>
      </c>
      <c r="B15" s="1161" t="s">
        <v>234</v>
      </c>
      <c r="C15" s="1159" t="s">
        <v>62</v>
      </c>
      <c r="D15" s="1165" t="s">
        <v>6</v>
      </c>
      <c r="E15" s="1715" t="s">
        <v>1492</v>
      </c>
      <c r="F15" s="1715" t="s">
        <v>1485</v>
      </c>
      <c r="G15" s="1533">
        <v>0.22</v>
      </c>
      <c r="H15" s="102">
        <f>XM.HN!B11</f>
        <v>0</v>
      </c>
      <c r="I15" s="1745">
        <f>(1*H15*36.5)/(1*10)/32%/100</f>
        <v>0</v>
      </c>
      <c r="J15" s="1746">
        <f>($G$15-I15)*612</f>
        <v>134.64000000000001</v>
      </c>
      <c r="K15" s="1739" t="s">
        <v>8</v>
      </c>
      <c r="L15" s="1816">
        <f t="shared" si="0"/>
        <v>0</v>
      </c>
      <c r="M15" s="1747" t="s">
        <v>10</v>
      </c>
      <c r="N15" s="1748">
        <f>XM.HN!C11</f>
        <v>0</v>
      </c>
      <c r="O15" s="337">
        <f>(1*N15*36.5)/(1*10)/32%/100</f>
        <v>0</v>
      </c>
      <c r="P15" s="1746">
        <f>($G$15-O15)*612</f>
        <v>134.64000000000001</v>
      </c>
      <c r="Q15" s="1739" t="s">
        <v>8</v>
      </c>
      <c r="R15" s="1816">
        <f t="shared" si="1"/>
        <v>0</v>
      </c>
      <c r="S15" s="1747" t="s">
        <v>10</v>
      </c>
      <c r="T15" s="1124">
        <f>XM.HN!D11</f>
        <v>0</v>
      </c>
      <c r="U15" s="1745">
        <f>(1*T15*36.5)/(1*10)/32%/100</f>
        <v>0</v>
      </c>
      <c r="V15" s="1746">
        <f>($G$15-U15)*612</f>
        <v>134.64000000000001</v>
      </c>
      <c r="W15" s="1739" t="s">
        <v>8</v>
      </c>
      <c r="X15" s="1816">
        <f t="shared" si="2"/>
        <v>0</v>
      </c>
      <c r="Y15" s="1747" t="s">
        <v>10</v>
      </c>
      <c r="Z15" s="1124">
        <f>XM.HN!E11</f>
        <v>0</v>
      </c>
      <c r="AA15" s="1745">
        <f>(1*Z15*36.5)/(1*10)/32%/100</f>
        <v>0</v>
      </c>
      <c r="AB15" s="1746">
        <f>($G$15-AA15)*612</f>
        <v>134.64000000000001</v>
      </c>
      <c r="AC15" s="1739" t="s">
        <v>8</v>
      </c>
      <c r="AD15" s="1816">
        <f t="shared" si="3"/>
        <v>0</v>
      </c>
      <c r="AE15" s="1747" t="s">
        <v>10</v>
      </c>
      <c r="AF15" s="1124">
        <f>XM.HN!F11</f>
        <v>0</v>
      </c>
      <c r="AG15" s="1745">
        <f>(1*AF15*36.5)/(1*10)/32%/100</f>
        <v>0</v>
      </c>
      <c r="AH15" s="1746">
        <f>($G$15-AG15)*612</f>
        <v>134.64000000000001</v>
      </c>
      <c r="AI15" s="1739" t="s">
        <v>8</v>
      </c>
      <c r="AJ15" s="1816">
        <f t="shared" si="4"/>
        <v>0</v>
      </c>
      <c r="AK15" s="1747" t="s">
        <v>10</v>
      </c>
      <c r="AL15" s="1124">
        <f>XM.HN!G11</f>
        <v>0</v>
      </c>
      <c r="AM15" s="1745">
        <f>(1*AL15*36.5)/(1*10)/32%/100</f>
        <v>0</v>
      </c>
      <c r="AN15" s="1746">
        <f>($G$15-AM15)*612</f>
        <v>134.64000000000001</v>
      </c>
      <c r="AO15" s="1739" t="s">
        <v>8</v>
      </c>
      <c r="AP15" s="1816">
        <f t="shared" si="5"/>
        <v>0</v>
      </c>
      <c r="AQ15" s="45" t="s">
        <v>10</v>
      </c>
      <c r="AS15" s="52" t="s">
        <v>1074</v>
      </c>
      <c r="AT15" s="2369"/>
    </row>
    <row r="16" spans="1:46" ht="34.5" customHeight="1">
      <c r="A16" s="309" t="s">
        <v>276</v>
      </c>
      <c r="B16" s="1161" t="s">
        <v>234</v>
      </c>
      <c r="C16" s="1159" t="s">
        <v>63</v>
      </c>
      <c r="D16" s="52" t="s">
        <v>6</v>
      </c>
      <c r="E16" s="1715" t="s">
        <v>1494</v>
      </c>
      <c r="F16" s="1715" t="s">
        <v>1478</v>
      </c>
      <c r="G16" s="1533">
        <v>0.1</v>
      </c>
      <c r="H16" s="102">
        <f>XM.HN!B12</f>
        <v>0</v>
      </c>
      <c r="I16" s="1745">
        <f>(1*H16*36.5)/(5*10)/32%/100</f>
        <v>0</v>
      </c>
      <c r="J16" s="1744">
        <f>($G$16-I16)*575</f>
        <v>57.5</v>
      </c>
      <c r="K16" s="1739" t="s">
        <v>8</v>
      </c>
      <c r="L16" s="1816">
        <f t="shared" si="0"/>
        <v>0</v>
      </c>
      <c r="M16" s="1747" t="s">
        <v>10</v>
      </c>
      <c r="N16" s="1744">
        <f>XM.HN!C12</f>
        <v>0</v>
      </c>
      <c r="O16" s="337">
        <f>(1*N16*36.5)/(5*10)/32%/100</f>
        <v>0</v>
      </c>
      <c r="P16" s="1744">
        <f>($G$16-O16)*575</f>
        <v>57.5</v>
      </c>
      <c r="Q16" s="1739" t="s">
        <v>8</v>
      </c>
      <c r="R16" s="1816">
        <f t="shared" si="1"/>
        <v>0</v>
      </c>
      <c r="S16" s="1747" t="s">
        <v>10</v>
      </c>
      <c r="T16" s="1744">
        <f>XM.HN!D12</f>
        <v>0</v>
      </c>
      <c r="U16" s="1745">
        <f>(1*T16*36.5)/(5*10)/32%/100</f>
        <v>0</v>
      </c>
      <c r="V16" s="1744">
        <f>($G$16-U16)*575</f>
        <v>57.5</v>
      </c>
      <c r="W16" s="1739" t="s">
        <v>8</v>
      </c>
      <c r="X16" s="1816">
        <f t="shared" si="2"/>
        <v>0</v>
      </c>
      <c r="Y16" s="1747" t="s">
        <v>10</v>
      </c>
      <c r="Z16" s="1744">
        <f>XM.HN!E12</f>
        <v>0</v>
      </c>
      <c r="AA16" s="1745">
        <f>(1*Z16*36.5)/(5*10)/32%/100</f>
        <v>0</v>
      </c>
      <c r="AB16" s="1744">
        <f>($G$16-AA16)*575</f>
        <v>57.5</v>
      </c>
      <c r="AC16" s="1739" t="s">
        <v>8</v>
      </c>
      <c r="AD16" s="1816">
        <f t="shared" si="3"/>
        <v>0</v>
      </c>
      <c r="AE16" s="1747" t="s">
        <v>10</v>
      </c>
      <c r="AF16" s="1744">
        <f>XM.HN!F12</f>
        <v>0</v>
      </c>
      <c r="AG16" s="1745">
        <f>(1*AF16*36.5)/(5*10)/32%/100</f>
        <v>0</v>
      </c>
      <c r="AH16" s="1744">
        <f>($G$16-AG16)*575</f>
        <v>57.5</v>
      </c>
      <c r="AI16" s="1739" t="s">
        <v>8</v>
      </c>
      <c r="AJ16" s="1816">
        <f t="shared" si="4"/>
        <v>0</v>
      </c>
      <c r="AK16" s="1747" t="s">
        <v>10</v>
      </c>
      <c r="AL16" s="1744">
        <f>XM.HN!G12</f>
        <v>0</v>
      </c>
      <c r="AM16" s="1745">
        <f>(1*AL16*36.5)/(5*10)/32%/100</f>
        <v>0</v>
      </c>
      <c r="AN16" s="1744">
        <f>($G$16-AM16)*575</f>
        <v>57.5</v>
      </c>
      <c r="AO16" s="1739" t="s">
        <v>8</v>
      </c>
      <c r="AP16" s="1816">
        <f t="shared" si="5"/>
        <v>0</v>
      </c>
      <c r="AQ16" s="45" t="s">
        <v>10</v>
      </c>
      <c r="AS16" s="52" t="s">
        <v>1074</v>
      </c>
      <c r="AT16" s="1171" t="s">
        <v>1072</v>
      </c>
    </row>
    <row r="17" spans="1:48" ht="34.5" customHeight="1">
      <c r="A17" s="309" t="s">
        <v>277</v>
      </c>
      <c r="B17" s="1161" t="s">
        <v>234</v>
      </c>
      <c r="C17" s="1159" t="s">
        <v>162</v>
      </c>
      <c r="D17" s="1166" t="s">
        <v>1054</v>
      </c>
      <c r="E17" s="1716" t="s">
        <v>1495</v>
      </c>
      <c r="F17" s="1716" t="s">
        <v>1468</v>
      </c>
      <c r="G17" s="1534">
        <v>0.01</v>
      </c>
      <c r="H17" s="102">
        <f>XM.HN!B13</f>
        <v>0</v>
      </c>
      <c r="I17" s="1749">
        <f>(1*H17*6.301)/5/100</f>
        <v>0</v>
      </c>
      <c r="J17" s="1746">
        <f>($G$17-I17)*530/65%</f>
        <v>8.1538461538461533</v>
      </c>
      <c r="K17" s="1739" t="s">
        <v>8</v>
      </c>
      <c r="L17" s="1815">
        <f t="shared" si="0"/>
        <v>0</v>
      </c>
      <c r="M17" s="1747" t="s">
        <v>10</v>
      </c>
      <c r="N17" s="1124">
        <f>XM.HN!C13</f>
        <v>0</v>
      </c>
      <c r="O17" s="340">
        <f>(1*N17*6.301)/5/100</f>
        <v>0</v>
      </c>
      <c r="P17" s="1746">
        <f>($G$17-O17)*530/65%</f>
        <v>8.1538461538461533</v>
      </c>
      <c r="Q17" s="1739" t="s">
        <v>8</v>
      </c>
      <c r="R17" s="1815">
        <f t="shared" si="1"/>
        <v>0</v>
      </c>
      <c r="S17" s="1747" t="s">
        <v>10</v>
      </c>
      <c r="T17" s="1124">
        <f>XM.HN!D13</f>
        <v>0</v>
      </c>
      <c r="U17" s="1749">
        <f>(1*T17*6.301)/5/100</f>
        <v>0</v>
      </c>
      <c r="V17" s="1746">
        <f>($G$17-U17)*530/65%</f>
        <v>8.1538461538461533</v>
      </c>
      <c r="W17" s="1739" t="s">
        <v>8</v>
      </c>
      <c r="X17" s="1815">
        <f t="shared" si="2"/>
        <v>0</v>
      </c>
      <c r="Y17" s="1747" t="s">
        <v>10</v>
      </c>
      <c r="Z17" s="1124">
        <f>XM.HN!E13</f>
        <v>0</v>
      </c>
      <c r="AA17" s="1749">
        <f>(1*Z17*6.301)/5/100</f>
        <v>0</v>
      </c>
      <c r="AB17" s="1746">
        <f>($G$17-AA17)*530/65%</f>
        <v>8.1538461538461533</v>
      </c>
      <c r="AC17" s="1739" t="s">
        <v>8</v>
      </c>
      <c r="AD17" s="1815">
        <f t="shared" si="3"/>
        <v>0</v>
      </c>
      <c r="AE17" s="1747" t="s">
        <v>10</v>
      </c>
      <c r="AF17" s="1737">
        <f>XM.HN!F13</f>
        <v>0</v>
      </c>
      <c r="AG17" s="1749">
        <f>(1*AF17*6.301)/5/100</f>
        <v>0</v>
      </c>
      <c r="AH17" s="1746">
        <f>($G$17-AG17)*530/65%</f>
        <v>8.1538461538461533</v>
      </c>
      <c r="AI17" s="1739" t="s">
        <v>8</v>
      </c>
      <c r="AJ17" s="1816">
        <f t="shared" si="4"/>
        <v>0</v>
      </c>
      <c r="AK17" s="1747" t="s">
        <v>10</v>
      </c>
      <c r="AL17" s="1737">
        <f>XM.HN!G13</f>
        <v>0</v>
      </c>
      <c r="AM17" s="1749">
        <f>(1*AL17*6.301)/5/100</f>
        <v>0</v>
      </c>
      <c r="AN17" s="1746">
        <f>($G$17-AM17)*530/65%</f>
        <v>8.1538461538461533</v>
      </c>
      <c r="AO17" s="1739" t="s">
        <v>8</v>
      </c>
      <c r="AP17" s="1815">
        <f t="shared" si="5"/>
        <v>0</v>
      </c>
      <c r="AQ17" s="45" t="s">
        <v>10</v>
      </c>
      <c r="AS17" s="52" t="s">
        <v>1074</v>
      </c>
      <c r="AT17" s="1171" t="s">
        <v>1073</v>
      </c>
    </row>
    <row r="18" spans="1:48" ht="32.25" customHeight="1">
      <c r="A18" s="308" t="s">
        <v>278</v>
      </c>
      <c r="B18" s="1161" t="s">
        <v>234</v>
      </c>
      <c r="C18" s="1162" t="s">
        <v>349</v>
      </c>
      <c r="D18" s="52" t="s">
        <v>3</v>
      </c>
      <c r="E18" s="1757" t="s">
        <v>1518</v>
      </c>
      <c r="F18" s="1714" t="s">
        <v>1486</v>
      </c>
      <c r="G18" s="1535">
        <v>7.5</v>
      </c>
      <c r="H18" s="102">
        <f>XM.HN!B14</f>
        <v>0</v>
      </c>
      <c r="I18" s="302" t="str">
        <f>IF(XM.HN!B14="","",(H18*0.8))</f>
        <v/>
      </c>
      <c r="J18" s="47" t="e">
        <f>($G$18-I18)*575/95</f>
        <v>#VALUE!</v>
      </c>
      <c r="K18" s="43" t="s">
        <v>8</v>
      </c>
      <c r="L18" s="44" t="str">
        <f>IF(I18="","",(IF(J18&lt;0,0,J18)))</f>
        <v/>
      </c>
      <c r="M18" s="237" t="s">
        <v>10</v>
      </c>
      <c r="N18" s="103">
        <f>XM.HN!C14</f>
        <v>0</v>
      </c>
      <c r="O18" s="302" t="str">
        <f>IF(XM.HN!C14="","",(N18*0.8))</f>
        <v/>
      </c>
      <c r="P18" s="47" t="e">
        <f>($G$18-O18)*575/95</f>
        <v>#VALUE!</v>
      </c>
      <c r="Q18" s="43" t="s">
        <v>8</v>
      </c>
      <c r="R18" s="44" t="str">
        <f>IF(O18="","",(IF(P18&lt;0,0,P18)))</f>
        <v/>
      </c>
      <c r="S18" s="237" t="s">
        <v>10</v>
      </c>
      <c r="T18" s="103">
        <f>XM.HN!D14</f>
        <v>0</v>
      </c>
      <c r="U18" s="302" t="str">
        <f>IF(XM.HN!D14="","",(T18*0.8))</f>
        <v/>
      </c>
      <c r="V18" s="47" t="e">
        <f>($G$18-U18)*575/95</f>
        <v>#VALUE!</v>
      </c>
      <c r="W18" s="43" t="s">
        <v>8</v>
      </c>
      <c r="X18" s="44" t="str">
        <f>IF(U18="","",(IF(V18&lt;0,0,V18)))</f>
        <v/>
      </c>
      <c r="Y18" s="237" t="s">
        <v>10</v>
      </c>
      <c r="Z18" s="103">
        <f>XM.HN!E14</f>
        <v>0</v>
      </c>
      <c r="AA18" s="302" t="str">
        <f>IF(XM.HN!E14="","",(Z18*0.8))</f>
        <v/>
      </c>
      <c r="AB18" s="47" t="e">
        <f>($G$18-AA18)*575/95</f>
        <v>#VALUE!</v>
      </c>
      <c r="AC18" s="43" t="s">
        <v>8</v>
      </c>
      <c r="AD18" s="44" t="str">
        <f>IF(AA18="","",(IF(AB18&lt;0,0,AB18)))</f>
        <v/>
      </c>
      <c r="AE18" s="237" t="s">
        <v>10</v>
      </c>
      <c r="AF18" s="103">
        <f>XM.HN!F14</f>
        <v>0</v>
      </c>
      <c r="AG18" s="302" t="str">
        <f>IF(XM.HN!F14="","",(AF18*0.8))</f>
        <v/>
      </c>
      <c r="AH18" s="47" t="e">
        <f>($G$18-AG18)*575/95</f>
        <v>#VALUE!</v>
      </c>
      <c r="AI18" s="43" t="s">
        <v>8</v>
      </c>
      <c r="AJ18" s="44" t="str">
        <f>IF(AG18="","",(IF(AH18&lt;0,0,AH18)))</f>
        <v/>
      </c>
      <c r="AK18" s="237" t="s">
        <v>10</v>
      </c>
      <c r="AL18" s="103">
        <f>XM.HN!G14</f>
        <v>0</v>
      </c>
      <c r="AM18" s="302" t="str">
        <f>IF(XM.HN!G14="","",(AL18*0.8))</f>
        <v/>
      </c>
      <c r="AN18" s="47" t="e">
        <f>($G$18-AM18)*575/95</f>
        <v>#VALUE!</v>
      </c>
      <c r="AO18" s="43" t="s">
        <v>8</v>
      </c>
      <c r="AP18" s="44" t="str">
        <f>IF(AM18="","",(IF(AN18&lt;0,0,AN18)))</f>
        <v/>
      </c>
      <c r="AQ18" s="237" t="s">
        <v>10</v>
      </c>
    </row>
    <row r="19" spans="1:48" ht="32.25" customHeight="1">
      <c r="A19" s="52" t="s">
        <v>280</v>
      </c>
      <c r="B19" s="1161" t="s">
        <v>234</v>
      </c>
      <c r="C19" s="311" t="s">
        <v>131</v>
      </c>
      <c r="D19" s="52" t="s">
        <v>5</v>
      </c>
      <c r="E19" s="1714" t="s">
        <v>1432</v>
      </c>
      <c r="F19" s="1714" t="s">
        <v>1415</v>
      </c>
      <c r="G19" s="1532"/>
      <c r="H19" s="102"/>
      <c r="I19" s="303">
        <f>'XM.FILE GOC'!I19</f>
        <v>0</v>
      </c>
      <c r="J19" s="47"/>
      <c r="K19" s="43"/>
      <c r="L19" s="44"/>
      <c r="M19" s="237"/>
      <c r="N19" s="103"/>
      <c r="O19" s="303">
        <f>'XM.FILE GOC'!O19</f>
        <v>0</v>
      </c>
      <c r="P19" s="47"/>
      <c r="Q19" s="43"/>
      <c r="R19" s="44"/>
      <c r="S19" s="237"/>
      <c r="T19" s="103"/>
      <c r="U19" s="303">
        <f>'XM.FILE GOC'!U19</f>
        <v>0</v>
      </c>
      <c r="V19" s="47"/>
      <c r="W19" s="43"/>
      <c r="X19" s="44"/>
      <c r="Y19" s="237"/>
      <c r="Z19" s="103"/>
      <c r="AA19" s="303">
        <f>'XM.FILE GOC'!AA19</f>
        <v>0</v>
      </c>
      <c r="AB19" s="47"/>
      <c r="AC19" s="43"/>
      <c r="AD19" s="44"/>
      <c r="AE19" s="237"/>
      <c r="AF19" s="103"/>
      <c r="AG19" s="303">
        <f>'XM.FILE GOC'!AG19</f>
        <v>0</v>
      </c>
      <c r="AH19" s="47"/>
      <c r="AI19" s="43"/>
      <c r="AJ19" s="44"/>
      <c r="AK19" s="237"/>
      <c r="AL19" s="103"/>
      <c r="AM19" s="303">
        <f>'XM.FILE GOC'!AM19</f>
        <v>0</v>
      </c>
      <c r="AN19" s="47"/>
      <c r="AO19" s="43"/>
      <c r="AP19" s="44"/>
      <c r="AQ19" s="45"/>
      <c r="AS19" s="104"/>
    </row>
    <row r="20" spans="1:48" s="224" customFormat="1" ht="54" customHeight="1">
      <c r="A20" s="319" t="s">
        <v>76</v>
      </c>
      <c r="B20" s="320"/>
      <c r="C20" s="320"/>
      <c r="D20" s="320"/>
      <c r="E20" s="1717"/>
      <c r="F20" s="1717"/>
      <c r="G20" s="1522"/>
      <c r="H20" s="320"/>
      <c r="I20" s="320"/>
      <c r="J20" s="320"/>
      <c r="K20" s="320"/>
      <c r="L20" s="320"/>
      <c r="M20" s="320"/>
      <c r="N20" s="320"/>
      <c r="O20" s="321"/>
      <c r="P20" s="320"/>
      <c r="Q20" s="320"/>
      <c r="R20" s="320"/>
      <c r="S20" s="321"/>
      <c r="T20" s="320"/>
      <c r="U20" s="321"/>
      <c r="V20" s="320"/>
      <c r="W20" s="320"/>
      <c r="X20" s="320"/>
      <c r="Y20" s="320"/>
      <c r="Z20" s="320"/>
      <c r="AA20" s="320"/>
      <c r="AB20" s="320"/>
      <c r="AC20" s="320"/>
      <c r="AD20" s="320"/>
      <c r="AE20" s="320"/>
      <c r="AF20" s="321"/>
      <c r="AG20" s="321"/>
      <c r="AH20" s="321"/>
      <c r="AI20" s="321"/>
      <c r="AJ20" s="321"/>
      <c r="AK20" s="321"/>
      <c r="AL20" s="321"/>
      <c r="AM20" s="321"/>
      <c r="AN20" s="321"/>
      <c r="AO20" s="321"/>
      <c r="AP20" s="321"/>
      <c r="AQ20" s="1123"/>
      <c r="AS20" s="1688"/>
      <c r="AT20" s="1689"/>
      <c r="AU20" s="2379" t="s">
        <v>1424</v>
      </c>
      <c r="AV20" s="2379"/>
    </row>
    <row r="21" spans="1:48" s="104" customFormat="1" ht="54" customHeight="1">
      <c r="A21" s="1165" t="s">
        <v>267</v>
      </c>
      <c r="B21" s="1160" t="s">
        <v>350</v>
      </c>
      <c r="C21" s="1158" t="s">
        <v>64</v>
      </c>
      <c r="D21" s="311" t="s">
        <v>66</v>
      </c>
      <c r="E21" s="1712" t="s">
        <v>1443</v>
      </c>
      <c r="F21" s="1712" t="s">
        <v>1412</v>
      </c>
      <c r="G21" s="1536"/>
      <c r="H21" s="105"/>
      <c r="I21" s="313" t="s">
        <v>48</v>
      </c>
      <c r="J21" s="314"/>
      <c r="K21" s="314"/>
      <c r="L21" s="313" t="s">
        <v>65</v>
      </c>
      <c r="M21" s="330"/>
      <c r="N21" s="311"/>
      <c r="O21" s="313" t="s">
        <v>48</v>
      </c>
      <c r="P21" s="314"/>
      <c r="Q21" s="314"/>
      <c r="R21" s="313" t="s">
        <v>65</v>
      </c>
      <c r="S21" s="330"/>
      <c r="T21" s="106"/>
      <c r="U21" s="313" t="s">
        <v>48</v>
      </c>
      <c r="V21" s="314"/>
      <c r="W21" s="314"/>
      <c r="X21" s="313" t="s">
        <v>65</v>
      </c>
      <c r="Y21" s="330"/>
      <c r="Z21" s="107"/>
      <c r="AA21" s="313" t="s">
        <v>48</v>
      </c>
      <c r="AB21" s="314"/>
      <c r="AC21" s="314"/>
      <c r="AD21" s="313" t="s">
        <v>65</v>
      </c>
      <c r="AE21" s="330"/>
      <c r="AF21" s="107"/>
      <c r="AG21" s="313" t="s">
        <v>48</v>
      </c>
      <c r="AH21" s="314"/>
      <c r="AI21" s="314"/>
      <c r="AJ21" s="313" t="s">
        <v>65</v>
      </c>
      <c r="AK21" s="330"/>
      <c r="AL21" s="107"/>
      <c r="AM21" s="313" t="s">
        <v>48</v>
      </c>
      <c r="AN21" s="314"/>
      <c r="AO21" s="314"/>
      <c r="AP21" s="313" t="s">
        <v>65</v>
      </c>
      <c r="AQ21" s="330"/>
      <c r="AT21" s="224"/>
      <c r="AU21" s="224"/>
      <c r="AV21" s="1686" t="s">
        <v>1412</v>
      </c>
    </row>
    <row r="22" spans="1:48" s="104" customFormat="1" ht="34.5" customHeight="1" thickBot="1">
      <c r="A22" s="1161" t="s">
        <v>282</v>
      </c>
      <c r="B22" s="1161" t="s">
        <v>234</v>
      </c>
      <c r="C22" s="1145" t="s">
        <v>68</v>
      </c>
      <c r="D22" s="21" t="s">
        <v>113</v>
      </c>
      <c r="E22" s="1715" t="s">
        <v>1496</v>
      </c>
      <c r="F22" s="1715" t="s">
        <v>1444</v>
      </c>
      <c r="G22" s="1537"/>
      <c r="H22" s="108"/>
      <c r="I22" s="2088">
        <f>'XM.FILE GOC'!I22</f>
        <v>0</v>
      </c>
      <c r="J22" s="2089"/>
      <c r="K22" s="2090"/>
      <c r="L22" s="2088">
        <f>'XM.FILE GOC'!L22</f>
        <v>0</v>
      </c>
      <c r="M22" s="2089"/>
      <c r="N22" s="1658"/>
      <c r="O22" s="2088">
        <f>'XM.FILE GOC'!O22</f>
        <v>0</v>
      </c>
      <c r="P22" s="2089"/>
      <c r="Q22" s="2090"/>
      <c r="R22" s="2088">
        <f>'XM.FILE GOC'!R22</f>
        <v>0</v>
      </c>
      <c r="S22" s="2089"/>
      <c r="T22" s="314"/>
      <c r="U22" s="2088">
        <f>'XM.FILE GOC'!U22</f>
        <v>0</v>
      </c>
      <c r="V22" s="2089"/>
      <c r="W22" s="2090"/>
      <c r="X22" s="2088">
        <f>'XM.FILE GOC'!X22</f>
        <v>0</v>
      </c>
      <c r="Y22" s="2089"/>
      <c r="Z22" s="314"/>
      <c r="AA22" s="2088">
        <f>'XM.FILE GOC'!AA22</f>
        <v>0</v>
      </c>
      <c r="AB22" s="2089"/>
      <c r="AC22" s="2090"/>
      <c r="AD22" s="2088">
        <f>'XM.FILE GOC'!AD22</f>
        <v>0</v>
      </c>
      <c r="AE22" s="2089"/>
      <c r="AF22" s="313"/>
      <c r="AG22" s="2088">
        <f>'XM.FILE GOC'!AG22</f>
        <v>0</v>
      </c>
      <c r="AH22" s="2089"/>
      <c r="AI22" s="2090"/>
      <c r="AJ22" s="2088">
        <f>'XM.FILE GOC'!AJ22</f>
        <v>0</v>
      </c>
      <c r="AK22" s="2089"/>
      <c r="AL22" s="313"/>
      <c r="AM22" s="2088">
        <f>'XM.FILE GOC'!AM22</f>
        <v>0</v>
      </c>
      <c r="AN22" s="2089"/>
      <c r="AO22" s="2090"/>
      <c r="AP22" s="2088">
        <f>'XM.FILE GOC'!AP22</f>
        <v>0</v>
      </c>
      <c r="AQ22" s="2089"/>
      <c r="AS22" s="1684"/>
      <c r="AT22" s="1684"/>
      <c r="AU22" s="224"/>
      <c r="AV22" s="224"/>
    </row>
    <row r="23" spans="1:48" s="104" customFormat="1" ht="34.5" customHeight="1" thickBot="1">
      <c r="A23" s="1161" t="s">
        <v>283</v>
      </c>
      <c r="B23" s="1161" t="s">
        <v>234</v>
      </c>
      <c r="C23" s="1145" t="s">
        <v>69</v>
      </c>
      <c r="D23" s="21" t="s">
        <v>113</v>
      </c>
      <c r="E23" s="1715" t="s">
        <v>1496</v>
      </c>
      <c r="F23" s="1715" t="s">
        <v>1444</v>
      </c>
      <c r="G23" s="1537"/>
      <c r="H23" s="108"/>
      <c r="I23" s="2088">
        <f>'XM.FILE GOC'!I23</f>
        <v>0</v>
      </c>
      <c r="J23" s="2089"/>
      <c r="K23" s="2090"/>
      <c r="L23" s="2088">
        <f>'XM.FILE GOC'!L23</f>
        <v>0</v>
      </c>
      <c r="M23" s="2089"/>
      <c r="N23" s="1658"/>
      <c r="O23" s="2088">
        <f>'XM.FILE GOC'!O23</f>
        <v>0</v>
      </c>
      <c r="P23" s="2089"/>
      <c r="Q23" s="2090"/>
      <c r="R23" s="2088">
        <f>'XM.FILE GOC'!R23</f>
        <v>0</v>
      </c>
      <c r="S23" s="2089"/>
      <c r="T23" s="314"/>
      <c r="U23" s="2088">
        <f>'XM.FILE GOC'!U23</f>
        <v>0</v>
      </c>
      <c r="V23" s="2089"/>
      <c r="W23" s="2090"/>
      <c r="X23" s="2088">
        <f>'XM.FILE GOC'!X23</f>
        <v>0</v>
      </c>
      <c r="Y23" s="2089"/>
      <c r="Z23" s="314"/>
      <c r="AA23" s="2088">
        <f>'XM.FILE GOC'!AA23</f>
        <v>0</v>
      </c>
      <c r="AB23" s="2089"/>
      <c r="AC23" s="2090"/>
      <c r="AD23" s="2088">
        <f>'XM.FILE GOC'!AD23</f>
        <v>0</v>
      </c>
      <c r="AE23" s="2089"/>
      <c r="AF23" s="313"/>
      <c r="AG23" s="2088">
        <f>'XM.FILE GOC'!AG23</f>
        <v>0</v>
      </c>
      <c r="AH23" s="2089"/>
      <c r="AI23" s="2090"/>
      <c r="AJ23" s="2088">
        <f>'XM.FILE GOC'!AJ23</f>
        <v>0</v>
      </c>
      <c r="AK23" s="2089"/>
      <c r="AL23" s="313"/>
      <c r="AM23" s="2088">
        <f>'XM.FILE GOC'!AM23</f>
        <v>0</v>
      </c>
      <c r="AN23" s="2089"/>
      <c r="AO23" s="2090"/>
      <c r="AP23" s="2088">
        <f>'XM.FILE GOC'!AP23</f>
        <v>0</v>
      </c>
      <c r="AQ23" s="2089"/>
      <c r="AS23" s="1756"/>
      <c r="AT23" s="1756"/>
    </row>
    <row r="24" spans="1:48" s="104" customFormat="1" ht="34.5" customHeight="1">
      <c r="A24" s="1161" t="s">
        <v>284</v>
      </c>
      <c r="B24" s="1161" t="s">
        <v>234</v>
      </c>
      <c r="C24" s="1145" t="s">
        <v>71</v>
      </c>
      <c r="D24" s="21" t="s">
        <v>113</v>
      </c>
      <c r="E24" s="1715" t="s">
        <v>1497</v>
      </c>
      <c r="F24" s="1715" t="s">
        <v>1445</v>
      </c>
      <c r="G24" s="1537"/>
      <c r="H24" s="108"/>
      <c r="I24" s="2088">
        <f>'XM.FILE GOC'!I24</f>
        <v>0</v>
      </c>
      <c r="J24" s="2089"/>
      <c r="K24" s="2090"/>
      <c r="L24" s="2088">
        <f>'XM.FILE GOC'!L24</f>
        <v>0</v>
      </c>
      <c r="M24" s="2089"/>
      <c r="N24" s="1658"/>
      <c r="O24" s="2088">
        <f>'XM.FILE GOC'!O24</f>
        <v>0</v>
      </c>
      <c r="P24" s="2089"/>
      <c r="Q24" s="2090"/>
      <c r="R24" s="2088">
        <f>'XM.FILE GOC'!R24</f>
        <v>0</v>
      </c>
      <c r="S24" s="2089"/>
      <c r="T24" s="314"/>
      <c r="U24" s="2088">
        <f>'XM.FILE GOC'!U24</f>
        <v>0</v>
      </c>
      <c r="V24" s="2089"/>
      <c r="W24" s="2090"/>
      <c r="X24" s="2088">
        <f>'XM.FILE GOC'!X24</f>
        <v>0</v>
      </c>
      <c r="Y24" s="2089"/>
      <c r="Z24" s="314"/>
      <c r="AA24" s="2088">
        <f>'XM.FILE GOC'!AA24</f>
        <v>0</v>
      </c>
      <c r="AB24" s="2089"/>
      <c r="AC24" s="2090"/>
      <c r="AD24" s="2088">
        <f>'XM.FILE GOC'!AD24</f>
        <v>0</v>
      </c>
      <c r="AE24" s="2089"/>
      <c r="AF24" s="313"/>
      <c r="AG24" s="2088">
        <f>'XM.FILE GOC'!AG24</f>
        <v>0</v>
      </c>
      <c r="AH24" s="2089"/>
      <c r="AI24" s="2090"/>
      <c r="AJ24" s="2088">
        <f>'XM.FILE GOC'!AJ24</f>
        <v>0</v>
      </c>
      <c r="AK24" s="2089"/>
      <c r="AL24" s="313"/>
      <c r="AM24" s="2088">
        <f>'XM.FILE GOC'!AM24</f>
        <v>0</v>
      </c>
      <c r="AN24" s="2089"/>
      <c r="AO24" s="2090"/>
      <c r="AP24" s="2088">
        <f>'XM.FILE GOC'!AP24</f>
        <v>0</v>
      </c>
      <c r="AQ24" s="2089"/>
      <c r="AS24" s="1681"/>
      <c r="AT24" s="1681"/>
      <c r="AU24" s="2365" t="s">
        <v>891</v>
      </c>
    </row>
    <row r="25" spans="1:48" s="104" customFormat="1" ht="34.5" customHeight="1" thickBot="1">
      <c r="A25" s="1161" t="s">
        <v>285</v>
      </c>
      <c r="B25" s="1161" t="s">
        <v>234</v>
      </c>
      <c r="C25" s="1145" t="s">
        <v>70</v>
      </c>
      <c r="D25" s="21" t="s">
        <v>113</v>
      </c>
      <c r="E25" s="1715" t="s">
        <v>1497</v>
      </c>
      <c r="F25" s="1715" t="s">
        <v>1445</v>
      </c>
      <c r="G25" s="1537"/>
      <c r="H25" s="108"/>
      <c r="I25" s="2088">
        <f>'XM.FILE GOC'!I25</f>
        <v>0</v>
      </c>
      <c r="J25" s="2089"/>
      <c r="K25" s="2090"/>
      <c r="L25" s="2088">
        <f>'XM.FILE GOC'!L25</f>
        <v>0</v>
      </c>
      <c r="M25" s="2089"/>
      <c r="N25" s="1658"/>
      <c r="O25" s="2088">
        <f>'XM.FILE GOC'!O25</f>
        <v>0</v>
      </c>
      <c r="P25" s="2089"/>
      <c r="Q25" s="2090"/>
      <c r="R25" s="2088">
        <f>'XM.FILE GOC'!R25</f>
        <v>0</v>
      </c>
      <c r="S25" s="2089"/>
      <c r="T25" s="314"/>
      <c r="U25" s="2088">
        <f>'XM.FILE GOC'!U25</f>
        <v>0</v>
      </c>
      <c r="V25" s="2089"/>
      <c r="W25" s="2090"/>
      <c r="X25" s="2088">
        <f>'XM.FILE GOC'!X25</f>
        <v>0</v>
      </c>
      <c r="Y25" s="2089"/>
      <c r="Z25" s="314"/>
      <c r="AA25" s="2088">
        <f>'XM.FILE GOC'!AA25</f>
        <v>0</v>
      </c>
      <c r="AB25" s="2089"/>
      <c r="AC25" s="2090"/>
      <c r="AD25" s="2088">
        <f>'XM.FILE GOC'!AD25</f>
        <v>0</v>
      </c>
      <c r="AE25" s="2089"/>
      <c r="AF25" s="313"/>
      <c r="AG25" s="2088">
        <f>'XM.FILE GOC'!AG25</f>
        <v>0</v>
      </c>
      <c r="AH25" s="2089"/>
      <c r="AI25" s="2090"/>
      <c r="AJ25" s="2088">
        <f>'XM.FILE GOC'!AJ25</f>
        <v>0</v>
      </c>
      <c r="AK25" s="2089"/>
      <c r="AL25" s="313"/>
      <c r="AM25" s="2088">
        <f>'XM.FILE GOC'!AM25</f>
        <v>0</v>
      </c>
      <c r="AN25" s="2089"/>
      <c r="AO25" s="2090"/>
      <c r="AP25" s="2088">
        <f>'XM.FILE GOC'!AP25</f>
        <v>0</v>
      </c>
      <c r="AQ25" s="2089"/>
      <c r="AS25" s="1685"/>
      <c r="AT25" s="1685"/>
      <c r="AU25" s="2365"/>
    </row>
    <row r="26" spans="1:48" s="104" customFormat="1" ht="34.5" customHeight="1" thickBot="1">
      <c r="A26" s="1161" t="s">
        <v>346</v>
      </c>
      <c r="B26" s="1161" t="s">
        <v>234</v>
      </c>
      <c r="C26" s="1145" t="s">
        <v>72</v>
      </c>
      <c r="D26" s="21" t="s">
        <v>113</v>
      </c>
      <c r="E26" s="1715" t="s">
        <v>1456</v>
      </c>
      <c r="F26" s="1715" t="s">
        <v>1446</v>
      </c>
      <c r="G26" s="1537"/>
      <c r="H26" s="108"/>
      <c r="I26" s="2088">
        <f>'XM.FILE GOC'!I26</f>
        <v>0</v>
      </c>
      <c r="J26" s="2089"/>
      <c r="K26" s="2090"/>
      <c r="L26" s="2088">
        <f>'XM.FILE GOC'!L26</f>
        <v>0</v>
      </c>
      <c r="M26" s="2089"/>
      <c r="N26" s="1658"/>
      <c r="O26" s="2088">
        <f>'XM.FILE GOC'!O26</f>
        <v>0</v>
      </c>
      <c r="P26" s="2089"/>
      <c r="Q26" s="2090"/>
      <c r="R26" s="2088">
        <f>'XM.FILE GOC'!R26</f>
        <v>0</v>
      </c>
      <c r="S26" s="2089"/>
      <c r="T26" s="314"/>
      <c r="U26" s="2088">
        <f>'XM.FILE GOC'!U26</f>
        <v>0</v>
      </c>
      <c r="V26" s="2089"/>
      <c r="W26" s="2090"/>
      <c r="X26" s="2088">
        <f>'XM.FILE GOC'!X26</f>
        <v>0</v>
      </c>
      <c r="Y26" s="2089"/>
      <c r="Z26" s="314"/>
      <c r="AA26" s="2088">
        <f>'XM.FILE GOC'!AA26</f>
        <v>0</v>
      </c>
      <c r="AB26" s="2089"/>
      <c r="AC26" s="2090"/>
      <c r="AD26" s="2088">
        <f>'XM.FILE GOC'!AD26</f>
        <v>0</v>
      </c>
      <c r="AE26" s="2089"/>
      <c r="AF26" s="313"/>
      <c r="AG26" s="2088">
        <f>'XM.FILE GOC'!AG26</f>
        <v>0</v>
      </c>
      <c r="AH26" s="2089"/>
      <c r="AI26" s="2090"/>
      <c r="AJ26" s="2088">
        <f>'XM.FILE GOC'!AJ26</f>
        <v>0</v>
      </c>
      <c r="AK26" s="2089"/>
      <c r="AL26" s="313"/>
      <c r="AM26" s="2088">
        <f>'XM.FILE GOC'!AM26</f>
        <v>0</v>
      </c>
      <c r="AN26" s="2089"/>
      <c r="AO26" s="2090"/>
      <c r="AP26" s="2088">
        <f>'XM.FILE GOC'!AP26</f>
        <v>0</v>
      </c>
      <c r="AQ26" s="2089"/>
      <c r="AS26" s="1682"/>
      <c r="AT26" s="1682"/>
    </row>
    <row r="27" spans="1:48" s="104" customFormat="1" ht="34.5" customHeight="1">
      <c r="A27" s="308" t="s">
        <v>286</v>
      </c>
      <c r="B27" s="1161" t="s">
        <v>234</v>
      </c>
      <c r="C27" s="1145" t="s">
        <v>163</v>
      </c>
      <c r="D27" s="21" t="s">
        <v>113</v>
      </c>
      <c r="E27" s="1718" t="s">
        <v>1498</v>
      </c>
      <c r="F27" s="1718" t="s">
        <v>1447</v>
      </c>
      <c r="G27" s="1537"/>
      <c r="H27" s="108"/>
      <c r="I27" s="2088">
        <f>'XM.FILE GOC'!I27</f>
        <v>0</v>
      </c>
      <c r="J27" s="2089"/>
      <c r="K27" s="2090"/>
      <c r="L27" s="2088">
        <f>'XM.FILE GOC'!L27</f>
        <v>0</v>
      </c>
      <c r="M27" s="2089"/>
      <c r="N27" s="1658"/>
      <c r="O27" s="2088">
        <f>'XM.FILE GOC'!O27</f>
        <v>0</v>
      </c>
      <c r="P27" s="2089"/>
      <c r="Q27" s="2090"/>
      <c r="R27" s="2088">
        <f>'XM.FILE GOC'!R27</f>
        <v>0</v>
      </c>
      <c r="S27" s="2089"/>
      <c r="T27" s="314"/>
      <c r="U27" s="2088">
        <f>'XM.FILE GOC'!U27</f>
        <v>0</v>
      </c>
      <c r="V27" s="2089"/>
      <c r="W27" s="2090"/>
      <c r="X27" s="2088">
        <f>'XM.FILE GOC'!X27</f>
        <v>0</v>
      </c>
      <c r="Y27" s="2089"/>
      <c r="Z27" s="314"/>
      <c r="AA27" s="2088">
        <f>'XM.FILE GOC'!AA27</f>
        <v>0</v>
      </c>
      <c r="AB27" s="2089"/>
      <c r="AC27" s="2090"/>
      <c r="AD27" s="2088">
        <f>'XM.FILE GOC'!AD27</f>
        <v>0</v>
      </c>
      <c r="AE27" s="2089"/>
      <c r="AF27" s="313"/>
      <c r="AG27" s="2088">
        <f>'XM.FILE GOC'!AG27</f>
        <v>0</v>
      </c>
      <c r="AH27" s="2089"/>
      <c r="AI27" s="2090"/>
      <c r="AJ27" s="2088">
        <f>'XM.FILE GOC'!AJ27</f>
        <v>0</v>
      </c>
      <c r="AK27" s="2089"/>
      <c r="AL27" s="313"/>
      <c r="AM27" s="2088">
        <f>'XM.FILE GOC'!AM27</f>
        <v>0</v>
      </c>
      <c r="AN27" s="2089"/>
      <c r="AO27" s="2090"/>
      <c r="AP27" s="2088">
        <f>'XM.FILE GOC'!AP27</f>
        <v>0</v>
      </c>
      <c r="AQ27" s="2089"/>
      <c r="AS27" s="1683"/>
      <c r="AT27" s="1683"/>
    </row>
    <row r="28" spans="1:48" s="104" customFormat="1" ht="34.5" customHeight="1">
      <c r="A28" s="308" t="s">
        <v>287</v>
      </c>
      <c r="B28" s="1161" t="s">
        <v>234</v>
      </c>
      <c r="C28" s="1145" t="s">
        <v>73</v>
      </c>
      <c r="D28" s="21" t="s">
        <v>113</v>
      </c>
      <c r="E28" s="1715" t="s">
        <v>1499</v>
      </c>
      <c r="F28" s="1715" t="s">
        <v>1448</v>
      </c>
      <c r="G28" s="1537"/>
      <c r="H28" s="108"/>
      <c r="I28" s="2088">
        <f>'XM.FILE GOC'!I28</f>
        <v>0</v>
      </c>
      <c r="J28" s="2089"/>
      <c r="K28" s="2090"/>
      <c r="L28" s="2088">
        <f>'XM.FILE GOC'!L28</f>
        <v>0</v>
      </c>
      <c r="M28" s="2089"/>
      <c r="N28" s="1658"/>
      <c r="O28" s="2088">
        <f>'XM.FILE GOC'!O28</f>
        <v>0</v>
      </c>
      <c r="P28" s="2089"/>
      <c r="Q28" s="2090"/>
      <c r="R28" s="2088">
        <f>'XM.FILE GOC'!R28</f>
        <v>0</v>
      </c>
      <c r="S28" s="2089"/>
      <c r="T28" s="314"/>
      <c r="U28" s="2088">
        <f>'XM.FILE GOC'!U28</f>
        <v>0</v>
      </c>
      <c r="V28" s="2089"/>
      <c r="W28" s="2090"/>
      <c r="X28" s="2088">
        <f>'XM.FILE GOC'!X28</f>
        <v>0</v>
      </c>
      <c r="Y28" s="2089"/>
      <c r="Z28" s="314"/>
      <c r="AA28" s="2088">
        <f>'XM.FILE GOC'!AA28</f>
        <v>0</v>
      </c>
      <c r="AB28" s="2089"/>
      <c r="AC28" s="2090"/>
      <c r="AD28" s="2088">
        <f>'XM.FILE GOC'!AD28</f>
        <v>0</v>
      </c>
      <c r="AE28" s="2089"/>
      <c r="AF28" s="313"/>
      <c r="AG28" s="2088">
        <f>'XM.FILE GOC'!AG28</f>
        <v>0</v>
      </c>
      <c r="AH28" s="2089"/>
      <c r="AI28" s="2090"/>
      <c r="AJ28" s="2088">
        <f>'XM.FILE GOC'!AJ28</f>
        <v>0</v>
      </c>
      <c r="AK28" s="2089"/>
      <c r="AL28" s="313"/>
      <c r="AM28" s="2088">
        <f>'XM.FILE GOC'!AM28</f>
        <v>0</v>
      </c>
      <c r="AN28" s="2089"/>
      <c r="AO28" s="2090"/>
      <c r="AP28" s="2088">
        <f>'XM.FILE GOC'!AP28</f>
        <v>0</v>
      </c>
      <c r="AQ28" s="2089"/>
      <c r="AV28" s="1686" t="s">
        <v>1412</v>
      </c>
    </row>
    <row r="29" spans="1:48" s="104" customFormat="1" ht="34.5" customHeight="1">
      <c r="A29" s="52" t="s">
        <v>288</v>
      </c>
      <c r="B29" s="1161" t="s">
        <v>234</v>
      </c>
      <c r="C29" s="1145" t="s">
        <v>74</v>
      </c>
      <c r="D29" s="21" t="s">
        <v>113</v>
      </c>
      <c r="E29" s="1715" t="s">
        <v>1496</v>
      </c>
      <c r="F29" s="1715" t="s">
        <v>1444</v>
      </c>
      <c r="G29" s="1537"/>
      <c r="H29" s="108"/>
      <c r="I29" s="2108"/>
      <c r="J29" s="2109"/>
      <c r="K29" s="2110"/>
      <c r="L29" s="2088">
        <f>'XM.FILE GOC'!L29</f>
        <v>0</v>
      </c>
      <c r="M29" s="2089"/>
      <c r="N29" s="314"/>
      <c r="O29" s="2108"/>
      <c r="P29" s="2109"/>
      <c r="Q29" s="2110"/>
      <c r="R29" s="2088">
        <f>'XM.FILE GOC'!R29</f>
        <v>0</v>
      </c>
      <c r="S29" s="2089"/>
      <c r="T29" s="314"/>
      <c r="U29" s="2108"/>
      <c r="V29" s="2109"/>
      <c r="W29" s="2110"/>
      <c r="X29" s="2088">
        <f>'XM.FILE GOC'!X29</f>
        <v>0</v>
      </c>
      <c r="Y29" s="2089"/>
      <c r="Z29" s="314"/>
      <c r="AA29" s="2108"/>
      <c r="AB29" s="2109"/>
      <c r="AC29" s="2110"/>
      <c r="AD29" s="2088">
        <f>'XM.FILE GOC'!AD29</f>
        <v>0</v>
      </c>
      <c r="AE29" s="2089"/>
      <c r="AF29" s="1753"/>
      <c r="AG29" s="2108"/>
      <c r="AH29" s="2109"/>
      <c r="AI29" s="2110"/>
      <c r="AJ29" s="2088">
        <f>'XM.FILE GOC'!AJ29</f>
        <v>0</v>
      </c>
      <c r="AK29" s="2089"/>
      <c r="AL29" s="1753"/>
      <c r="AM29" s="2108"/>
      <c r="AN29" s="2109"/>
      <c r="AO29" s="2110"/>
      <c r="AP29" s="2088">
        <f>'XM.FILE GOC'!AP29</f>
        <v>0</v>
      </c>
      <c r="AQ29" s="2089"/>
    </row>
    <row r="30" spans="1:48" s="224" customFormat="1" ht="54" customHeight="1">
      <c r="A30" s="319" t="s">
        <v>78</v>
      </c>
      <c r="B30" s="320"/>
      <c r="C30" s="320"/>
      <c r="D30" s="320"/>
      <c r="E30" s="1717"/>
      <c r="F30" s="1717"/>
      <c r="G30" s="1522"/>
      <c r="H30" s="320"/>
      <c r="I30" s="320"/>
      <c r="J30" s="320"/>
      <c r="K30" s="320"/>
      <c r="L30" s="320"/>
      <c r="M30" s="320"/>
      <c r="N30" s="320"/>
      <c r="O30" s="321"/>
      <c r="P30" s="320"/>
      <c r="Q30" s="320"/>
      <c r="R30" s="320"/>
      <c r="S30" s="321"/>
      <c r="T30" s="320"/>
      <c r="U30" s="321"/>
      <c r="V30" s="320"/>
      <c r="W30" s="320"/>
      <c r="X30" s="320"/>
      <c r="Y30" s="320"/>
      <c r="Z30" s="320"/>
      <c r="AA30" s="320"/>
      <c r="AB30" s="320"/>
      <c r="AC30" s="320"/>
      <c r="AD30" s="320"/>
      <c r="AE30" s="320"/>
      <c r="AF30" s="321"/>
      <c r="AG30" s="321"/>
      <c r="AH30" s="321"/>
      <c r="AI30" s="321"/>
      <c r="AJ30" s="321"/>
      <c r="AK30" s="321"/>
      <c r="AL30" s="321"/>
      <c r="AM30" s="321"/>
      <c r="AN30" s="321"/>
      <c r="AO30" s="321"/>
      <c r="AP30" s="321"/>
      <c r="AQ30" s="1123"/>
      <c r="AU30" s="2379" t="s">
        <v>1424</v>
      </c>
      <c r="AV30" s="2379"/>
    </row>
    <row r="31" spans="1:48" s="104" customFormat="1" ht="45.75" customHeight="1">
      <c r="A31" s="308" t="s">
        <v>289</v>
      </c>
      <c r="B31" s="1161" t="s">
        <v>234</v>
      </c>
      <c r="C31" s="1162" t="s">
        <v>54</v>
      </c>
      <c r="D31" s="109" t="s">
        <v>51</v>
      </c>
      <c r="E31" s="1719" t="s">
        <v>256</v>
      </c>
      <c r="F31" s="1719" t="s">
        <v>256</v>
      </c>
      <c r="G31" s="1538"/>
      <c r="H31" s="312"/>
      <c r="I31" s="2119">
        <f>'XM.FILE GOC'!I31</f>
        <v>0</v>
      </c>
      <c r="J31" s="2120"/>
      <c r="K31" s="2120"/>
      <c r="L31" s="2120"/>
      <c r="M31" s="2121"/>
      <c r="N31" s="1662"/>
      <c r="O31" s="2119">
        <f>'XM.FILE GOC'!O31</f>
        <v>0</v>
      </c>
      <c r="P31" s="2120"/>
      <c r="Q31" s="2120"/>
      <c r="R31" s="2120"/>
      <c r="S31" s="2121"/>
      <c r="T31" s="1823"/>
      <c r="U31" s="2119">
        <f>'XM.FILE GOC'!U31</f>
        <v>0</v>
      </c>
      <c r="V31" s="2120"/>
      <c r="W31" s="2120"/>
      <c r="X31" s="2120"/>
      <c r="Y31" s="2121"/>
      <c r="Z31" s="1821"/>
      <c r="AA31" s="2119">
        <f>'XM.FILE GOC'!AA31</f>
        <v>0</v>
      </c>
      <c r="AB31" s="2120"/>
      <c r="AC31" s="2120"/>
      <c r="AD31" s="2120"/>
      <c r="AE31" s="2121"/>
      <c r="AF31" s="1822"/>
      <c r="AG31" s="2119">
        <f>'XM.FILE GOC'!AG31</f>
        <v>0</v>
      </c>
      <c r="AH31" s="2120"/>
      <c r="AI31" s="2120"/>
      <c r="AJ31" s="2120"/>
      <c r="AK31" s="2121"/>
      <c r="AL31" s="1822"/>
      <c r="AM31" s="2119">
        <f>'XM.FILE GOC'!AM31</f>
        <v>0</v>
      </c>
      <c r="AN31" s="2120"/>
      <c r="AO31" s="2120"/>
      <c r="AP31" s="2120"/>
      <c r="AQ31" s="2121"/>
      <c r="AS31" s="1688" t="s">
        <v>1440</v>
      </c>
    </row>
    <row r="32" spans="1:48" s="104" customFormat="1" ht="45.75" customHeight="1">
      <c r="A32" s="308" t="s">
        <v>290</v>
      </c>
      <c r="B32" s="1161" t="s">
        <v>234</v>
      </c>
      <c r="C32" s="119" t="s">
        <v>55</v>
      </c>
      <c r="D32" s="109" t="s">
        <v>51</v>
      </c>
      <c r="E32" s="1720" t="s">
        <v>257</v>
      </c>
      <c r="F32" s="1720" t="s">
        <v>257</v>
      </c>
      <c r="G32" s="1520"/>
      <c r="H32" s="53"/>
      <c r="I32" s="2119">
        <f>'XM.FILE GOC'!I32</f>
        <v>0</v>
      </c>
      <c r="J32" s="2120"/>
      <c r="K32" s="2120"/>
      <c r="L32" s="2120"/>
      <c r="M32" s="2121"/>
      <c r="N32" s="1818"/>
      <c r="O32" s="2119">
        <f>'XM.FILE GOC'!O32</f>
        <v>0</v>
      </c>
      <c r="P32" s="2120"/>
      <c r="Q32" s="2120"/>
      <c r="R32" s="2120"/>
      <c r="S32" s="2121"/>
      <c r="T32" s="1819"/>
      <c r="U32" s="2119">
        <f>'XM.FILE GOC'!U32</f>
        <v>0</v>
      </c>
      <c r="V32" s="2120"/>
      <c r="W32" s="2120"/>
      <c r="X32" s="2120"/>
      <c r="Y32" s="2121"/>
      <c r="Z32" s="1818"/>
      <c r="AA32" s="2119">
        <f>'XM.FILE GOC'!AA32</f>
        <v>0</v>
      </c>
      <c r="AB32" s="2120"/>
      <c r="AC32" s="2120"/>
      <c r="AD32" s="2120"/>
      <c r="AE32" s="2121"/>
      <c r="AF32" s="1812"/>
      <c r="AG32" s="2119">
        <f>'XM.FILE GOC'!AG32</f>
        <v>0</v>
      </c>
      <c r="AH32" s="2120"/>
      <c r="AI32" s="2120"/>
      <c r="AJ32" s="2120"/>
      <c r="AK32" s="2121"/>
      <c r="AL32" s="1812"/>
      <c r="AM32" s="2119">
        <f>'XM.FILE GOC'!AM32</f>
        <v>0</v>
      </c>
      <c r="AN32" s="2120"/>
      <c r="AO32" s="2120"/>
      <c r="AP32" s="2120"/>
      <c r="AQ32" s="2121"/>
      <c r="AS32" s="1687" t="s">
        <v>1442</v>
      </c>
    </row>
    <row r="33" spans="1:46" s="104" customFormat="1" ht="22.5" customHeight="1">
      <c r="A33" s="307"/>
      <c r="B33" s="307"/>
      <c r="C33" s="1146"/>
      <c r="D33" s="225"/>
      <c r="E33" s="1721"/>
      <c r="F33" s="1722"/>
      <c r="G33" s="1539"/>
      <c r="H33" s="108"/>
      <c r="I33" s="1146"/>
      <c r="J33" s="1146"/>
      <c r="K33" s="1146"/>
      <c r="L33" s="1146"/>
      <c r="M33" s="1146"/>
      <c r="N33" s="1146"/>
      <c r="O33" s="1146"/>
      <c r="P33" s="1146"/>
      <c r="Q33" s="1146"/>
      <c r="R33" s="1146"/>
      <c r="S33" s="1146"/>
      <c r="U33" s="1146"/>
      <c r="V33" s="1146"/>
      <c r="W33" s="1146"/>
      <c r="X33" s="1146"/>
      <c r="Y33" s="1146"/>
      <c r="Z33" s="1146"/>
      <c r="AA33" s="1146"/>
      <c r="AB33" s="1146"/>
      <c r="AC33" s="1146"/>
      <c r="AD33" s="1146"/>
      <c r="AE33" s="1146"/>
      <c r="AF33" s="117"/>
      <c r="AG33" s="1145"/>
      <c r="AH33" s="105"/>
      <c r="AI33" s="105"/>
      <c r="AJ33" s="105"/>
      <c r="AK33" s="105"/>
      <c r="AL33" s="117"/>
      <c r="AM33" s="105"/>
      <c r="AN33" s="105"/>
      <c r="AO33" s="105"/>
      <c r="AP33" s="105"/>
      <c r="AQ33" s="105"/>
      <c r="AS33" s="1687" t="s">
        <v>1441</v>
      </c>
    </row>
    <row r="34" spans="1:46" ht="41.25" customHeight="1">
      <c r="A34" s="1182" t="s">
        <v>231</v>
      </c>
      <c r="B34" s="1183"/>
      <c r="C34" s="1184"/>
      <c r="D34" s="1184"/>
      <c r="E34" s="1709"/>
      <c r="F34" s="1710"/>
      <c r="G34" s="1528" t="s">
        <v>92</v>
      </c>
      <c r="H34" s="1185"/>
      <c r="I34" s="1186"/>
      <c r="J34" s="1185"/>
      <c r="K34" s="1185"/>
      <c r="L34" s="1187"/>
      <c r="M34" s="1187"/>
      <c r="N34" s="1187"/>
      <c r="O34" s="1187"/>
      <c r="P34" s="1187"/>
      <c r="Q34" s="1187"/>
      <c r="R34" s="1187"/>
      <c r="S34" s="1185"/>
      <c r="T34" s="1185"/>
      <c r="U34" s="1185"/>
      <c r="V34" s="1185"/>
      <c r="W34" s="1185"/>
      <c r="X34" s="1185"/>
      <c r="Y34" s="1185"/>
      <c r="Z34" s="1185"/>
      <c r="AA34" s="1185"/>
      <c r="AB34" s="1185"/>
      <c r="AC34" s="1185"/>
      <c r="AD34" s="1185"/>
      <c r="AE34" s="1185"/>
      <c r="AF34" s="1180"/>
      <c r="AG34" s="1183" t="s">
        <v>231</v>
      </c>
      <c r="AH34" s="1188"/>
      <c r="AI34" s="1188"/>
      <c r="AJ34" s="1188"/>
      <c r="AK34" s="1188"/>
      <c r="AL34" s="1188"/>
      <c r="AM34" s="1188"/>
      <c r="AN34" s="1188"/>
      <c r="AO34" s="1188"/>
      <c r="AP34" s="1188"/>
      <c r="AQ34" s="1189"/>
    </row>
    <row r="35" spans="1:46" ht="36.75" customHeight="1">
      <c r="A35" s="1157"/>
      <c r="B35" s="1157"/>
      <c r="C35" s="1157"/>
      <c r="D35" s="1157"/>
      <c r="E35" s="1723"/>
      <c r="F35" s="1723"/>
      <c r="G35" s="2373" t="s">
        <v>140</v>
      </c>
      <c r="H35" s="98"/>
      <c r="I35" s="298" t="s">
        <v>239</v>
      </c>
      <c r="J35" s="298"/>
      <c r="K35" s="298"/>
      <c r="L35" s="298"/>
      <c r="M35" s="298"/>
      <c r="N35" s="99"/>
      <c r="O35" s="315" t="s">
        <v>240</v>
      </c>
      <c r="P35" s="298"/>
      <c r="Q35" s="298"/>
      <c r="R35" s="298"/>
      <c r="S35" s="299"/>
      <c r="T35" s="298"/>
      <c r="U35" s="298" t="s">
        <v>241</v>
      </c>
      <c r="V35" s="298"/>
      <c r="W35" s="298"/>
      <c r="X35" s="298"/>
      <c r="Y35" s="298"/>
      <c r="Z35" s="99"/>
      <c r="AA35" s="315" t="s">
        <v>242</v>
      </c>
      <c r="AB35" s="298"/>
      <c r="AC35" s="298"/>
      <c r="AD35" s="298"/>
      <c r="AE35" s="299"/>
      <c r="AF35" s="298"/>
      <c r="AG35" s="298" t="s">
        <v>243</v>
      </c>
      <c r="AH35" s="298"/>
      <c r="AI35" s="298"/>
      <c r="AJ35" s="298"/>
      <c r="AK35" s="298"/>
      <c r="AL35" s="298"/>
      <c r="AM35" s="315" t="s">
        <v>244</v>
      </c>
      <c r="AN35" s="298"/>
      <c r="AO35" s="298"/>
      <c r="AP35" s="299"/>
      <c r="AQ35" s="1122"/>
    </row>
    <row r="36" spans="1:46" ht="63.75" customHeight="1">
      <c r="A36" s="1160" t="s">
        <v>267</v>
      </c>
      <c r="B36" s="1160" t="s">
        <v>350</v>
      </c>
      <c r="C36" s="1164" t="s">
        <v>348</v>
      </c>
      <c r="D36" s="1160" t="s">
        <v>136</v>
      </c>
      <c r="E36" s="1712" t="s">
        <v>1443</v>
      </c>
      <c r="F36" s="1712" t="s">
        <v>1412</v>
      </c>
      <c r="G36" s="2374"/>
      <c r="H36" s="20"/>
      <c r="I36" s="1157" t="s">
        <v>145</v>
      </c>
      <c r="J36" s="34" t="s">
        <v>1</v>
      </c>
      <c r="K36" s="316" t="s">
        <v>1</v>
      </c>
      <c r="L36" s="316"/>
      <c r="M36" s="317"/>
      <c r="N36" s="100"/>
      <c r="O36" s="1157" t="s">
        <v>145</v>
      </c>
      <c r="P36" s="34" t="s">
        <v>1</v>
      </c>
      <c r="Q36" s="316" t="s">
        <v>1</v>
      </c>
      <c r="R36" s="316"/>
      <c r="S36" s="317"/>
      <c r="T36" s="20"/>
      <c r="U36" s="1157" t="s">
        <v>145</v>
      </c>
      <c r="V36" s="34" t="s">
        <v>1</v>
      </c>
      <c r="W36" s="316" t="s">
        <v>1</v>
      </c>
      <c r="X36" s="316"/>
      <c r="Y36" s="317"/>
      <c r="Z36" s="100"/>
      <c r="AA36" s="1157" t="s">
        <v>145</v>
      </c>
      <c r="AB36" s="34" t="s">
        <v>1</v>
      </c>
      <c r="AC36" s="316" t="s">
        <v>1</v>
      </c>
      <c r="AD36" s="316"/>
      <c r="AE36" s="317"/>
      <c r="AF36" s="100"/>
      <c r="AG36" s="1157" t="s">
        <v>145</v>
      </c>
      <c r="AH36" s="34" t="s">
        <v>1</v>
      </c>
      <c r="AI36" s="316" t="s">
        <v>1</v>
      </c>
      <c r="AJ36" s="316"/>
      <c r="AK36" s="317"/>
      <c r="AL36" s="100"/>
      <c r="AM36" s="1157" t="s">
        <v>145</v>
      </c>
      <c r="AN36" s="34" t="s">
        <v>1</v>
      </c>
      <c r="AO36" s="316" t="s">
        <v>1</v>
      </c>
      <c r="AP36" s="316"/>
      <c r="AQ36" s="317"/>
      <c r="AS36" s="1174" t="s">
        <v>1068</v>
      </c>
      <c r="AT36" s="1175" t="s">
        <v>1067</v>
      </c>
    </row>
    <row r="37" spans="1:46" ht="34.5" customHeight="1">
      <c r="A37" s="1161" t="s">
        <v>291</v>
      </c>
      <c r="B37" s="1161" t="s">
        <v>233</v>
      </c>
      <c r="C37" s="1161" t="s">
        <v>80</v>
      </c>
      <c r="D37" s="1165" t="s">
        <v>4</v>
      </c>
      <c r="E37" s="1713" t="s">
        <v>1488</v>
      </c>
      <c r="F37" s="1713" t="s">
        <v>1473</v>
      </c>
      <c r="G37" s="1529">
        <v>70</v>
      </c>
      <c r="H37" s="102">
        <f>XM.HN!B19</f>
        <v>0</v>
      </c>
      <c r="I37" s="1657">
        <f>H37*6.49</f>
        <v>0</v>
      </c>
      <c r="J37" s="488">
        <f>($G$37-I37)*2693/1000</f>
        <v>188.51</v>
      </c>
      <c r="K37" s="37" t="s">
        <v>8</v>
      </c>
      <c r="L37" s="1816">
        <f>IF(I37=0,0,IF(J37&lt;0,0,J37))</f>
        <v>0</v>
      </c>
      <c r="M37" s="43" t="s">
        <v>9</v>
      </c>
      <c r="N37" s="100">
        <f>XM.HN!C19</f>
        <v>0</v>
      </c>
      <c r="O37" s="1657">
        <f>N37*6.49</f>
        <v>0</v>
      </c>
      <c r="P37" s="488">
        <f>($G$37-O37)*2693/1000</f>
        <v>188.51</v>
      </c>
      <c r="Q37" s="37" t="s">
        <v>8</v>
      </c>
      <c r="R37" s="1816">
        <f>IF(O37=0,0,IF(P37&lt;0,0,P37))</f>
        <v>0</v>
      </c>
      <c r="S37" s="43" t="s">
        <v>9</v>
      </c>
      <c r="T37" s="20">
        <f>XM.HN!D19</f>
        <v>0</v>
      </c>
      <c r="U37" s="1657">
        <f>T37*6.49</f>
        <v>0</v>
      </c>
      <c r="V37" s="488">
        <f>($G$37-U37)*2693/1000</f>
        <v>188.51</v>
      </c>
      <c r="W37" s="37" t="s">
        <v>8</v>
      </c>
      <c r="X37" s="1816">
        <f>IF(U37=0,0,IF(V37&lt;0,0,V37))</f>
        <v>0</v>
      </c>
      <c r="Y37" s="43" t="s">
        <v>9</v>
      </c>
      <c r="Z37" s="100">
        <f>XM.HN!E19</f>
        <v>0</v>
      </c>
      <c r="AA37" s="1657">
        <f>Z37*6.49</f>
        <v>0</v>
      </c>
      <c r="AB37" s="488">
        <f>($G$37-AA37)*2693/1000</f>
        <v>188.51</v>
      </c>
      <c r="AC37" s="37" t="s">
        <v>8</v>
      </c>
      <c r="AD37" s="1816">
        <f>IF(AA37=0,0,IF(AB37&lt;0,0,AB37))</f>
        <v>0</v>
      </c>
      <c r="AE37" s="43" t="s">
        <v>9</v>
      </c>
      <c r="AF37" s="100">
        <f>XM.HN!F19</f>
        <v>0</v>
      </c>
      <c r="AG37" s="1657">
        <f>AF37*6.49</f>
        <v>0</v>
      </c>
      <c r="AH37" s="488">
        <f>($G$37-AG37)*2693/1000</f>
        <v>188.51</v>
      </c>
      <c r="AI37" s="37" t="s">
        <v>8</v>
      </c>
      <c r="AJ37" s="1816">
        <f>IF(AG37=0,0,IF(AH37&lt;0,0,AH37))</f>
        <v>0</v>
      </c>
      <c r="AK37" s="43" t="s">
        <v>9</v>
      </c>
      <c r="AL37" s="100">
        <f>XM.HN!G19</f>
        <v>0</v>
      </c>
      <c r="AM37" s="1657">
        <f>AL37*6.49</f>
        <v>0</v>
      </c>
      <c r="AN37" s="34">
        <f>($G$37-AM37)*2693/1000</f>
        <v>188.51</v>
      </c>
      <c r="AO37" s="37" t="s">
        <v>8</v>
      </c>
      <c r="AP37" s="1816">
        <f>IF(AM37=0,0,IF(AN37&lt;0,0,AN37))</f>
        <v>0</v>
      </c>
      <c r="AQ37" s="39" t="s">
        <v>9</v>
      </c>
      <c r="AS37" s="1176" t="s">
        <v>1071</v>
      </c>
      <c r="AT37" s="2376" t="s">
        <v>1409</v>
      </c>
    </row>
    <row r="38" spans="1:46" ht="34.5" customHeight="1">
      <c r="A38" s="1161" t="s">
        <v>292</v>
      </c>
      <c r="B38" s="1161" t="s">
        <v>233</v>
      </c>
      <c r="C38" s="1161" t="s">
        <v>81</v>
      </c>
      <c r="D38" s="1165" t="s">
        <v>4</v>
      </c>
      <c r="E38" s="1713" t="s">
        <v>1488</v>
      </c>
      <c r="F38" s="1713" t="s">
        <v>1473</v>
      </c>
      <c r="G38" s="1529">
        <v>70</v>
      </c>
      <c r="H38" s="102">
        <f>XM.HN!B20</f>
        <v>0</v>
      </c>
      <c r="I38" s="1657">
        <f>H38*6.49</f>
        <v>0</v>
      </c>
      <c r="J38" s="488">
        <f>($G$38-I38)*3305/1000</f>
        <v>231.35</v>
      </c>
      <c r="K38" s="37" t="s">
        <v>8</v>
      </c>
      <c r="L38" s="1816">
        <f t="shared" ref="L38:L48" si="6">IF(I38=0,0,IF(J38&lt;0,0,J38))</f>
        <v>0</v>
      </c>
      <c r="M38" s="43" t="s">
        <v>9</v>
      </c>
      <c r="N38" s="100">
        <f>XM.HN!C20</f>
        <v>0</v>
      </c>
      <c r="O38" s="1657">
        <f>N38*6.49</f>
        <v>0</v>
      </c>
      <c r="P38" s="488">
        <f>($G$38-O38)*3305/1000</f>
        <v>231.35</v>
      </c>
      <c r="Q38" s="37" t="s">
        <v>8</v>
      </c>
      <c r="R38" s="1816">
        <f t="shared" ref="R38:R48" si="7">IF(O38=0,0,IF(P38&lt;0,0,P38))</f>
        <v>0</v>
      </c>
      <c r="S38" s="43" t="s">
        <v>9</v>
      </c>
      <c r="T38" s="20">
        <f>XM.HN!D20</f>
        <v>0</v>
      </c>
      <c r="U38" s="1657">
        <f>T38*6.49</f>
        <v>0</v>
      </c>
      <c r="V38" s="488">
        <f>($G$38-U38)*3305/1000</f>
        <v>231.35</v>
      </c>
      <c r="W38" s="37" t="s">
        <v>8</v>
      </c>
      <c r="X38" s="1816">
        <f t="shared" ref="X38:X48" si="8">IF(U38=0,0,IF(V38&lt;0,0,V38))</f>
        <v>0</v>
      </c>
      <c r="Y38" s="43" t="s">
        <v>9</v>
      </c>
      <c r="Z38" s="100">
        <f>XM.HN!E20</f>
        <v>0</v>
      </c>
      <c r="AA38" s="1657">
        <f>Z38*6.49</f>
        <v>0</v>
      </c>
      <c r="AB38" s="488">
        <f>($G$38-AA38)*3305/1000</f>
        <v>231.35</v>
      </c>
      <c r="AC38" s="37" t="s">
        <v>8</v>
      </c>
      <c r="AD38" s="1816">
        <f t="shared" ref="AD38:AD48" si="9">IF(AA38=0,0,IF(AB38&lt;0,0,AB38))</f>
        <v>0</v>
      </c>
      <c r="AE38" s="43" t="s">
        <v>9</v>
      </c>
      <c r="AF38" s="100">
        <f>XM.HN!F20</f>
        <v>0</v>
      </c>
      <c r="AG38" s="1657">
        <f>AF38*6.49</f>
        <v>0</v>
      </c>
      <c r="AH38" s="488">
        <f>($G$38-AG38)*3305/1000</f>
        <v>231.35</v>
      </c>
      <c r="AI38" s="37" t="s">
        <v>8</v>
      </c>
      <c r="AJ38" s="1816">
        <f t="shared" ref="AJ38:AJ48" si="10">IF(AG38=0,0,IF(AH38&lt;0,0,AH38))</f>
        <v>0</v>
      </c>
      <c r="AK38" s="43" t="s">
        <v>9</v>
      </c>
      <c r="AL38" s="100">
        <f>XM.HN!G20</f>
        <v>0</v>
      </c>
      <c r="AM38" s="1657">
        <f>AL38*6.49</f>
        <v>0</v>
      </c>
      <c r="AN38" s="36">
        <f>($G$38-AM38)*3305/1000</f>
        <v>231.35</v>
      </c>
      <c r="AO38" s="37" t="s">
        <v>8</v>
      </c>
      <c r="AP38" s="1816">
        <f t="shared" ref="AP38:AP48" si="11">IF(AM38=0,0,IF(AN38&lt;0,0,AN38))</f>
        <v>0</v>
      </c>
      <c r="AQ38" s="39" t="s">
        <v>9</v>
      </c>
      <c r="AS38" s="1176" t="s">
        <v>1071</v>
      </c>
      <c r="AT38" s="2377"/>
    </row>
    <row r="39" spans="1:46" ht="34.5" customHeight="1">
      <c r="A39" s="1161" t="s">
        <v>293</v>
      </c>
      <c r="B39" s="1161" t="s">
        <v>233</v>
      </c>
      <c r="C39" s="1161" t="s">
        <v>52</v>
      </c>
      <c r="D39" s="52" t="s">
        <v>4</v>
      </c>
      <c r="E39" s="1713" t="s">
        <v>1500</v>
      </c>
      <c r="F39" s="1713" t="s">
        <v>1460</v>
      </c>
      <c r="G39" s="1529">
        <v>60</v>
      </c>
      <c r="H39" s="102">
        <f>XM.HN!B21</f>
        <v>0</v>
      </c>
      <c r="I39" s="1657">
        <f>H39*4.62</f>
        <v>0</v>
      </c>
      <c r="J39" s="36">
        <f>($G$39-I39)*1156/1000</f>
        <v>69.36</v>
      </c>
      <c r="K39" s="37" t="s">
        <v>8</v>
      </c>
      <c r="L39" s="1816">
        <f t="shared" si="6"/>
        <v>0</v>
      </c>
      <c r="M39" s="43" t="s">
        <v>9</v>
      </c>
      <c r="N39" s="116">
        <f>XM.HN!C21</f>
        <v>0</v>
      </c>
      <c r="O39" s="1657">
        <f>N39*4.62</f>
        <v>0</v>
      </c>
      <c r="P39" s="36">
        <f>($G$39-O39)*1156/1000</f>
        <v>69.36</v>
      </c>
      <c r="Q39" s="37" t="s">
        <v>8</v>
      </c>
      <c r="R39" s="1816">
        <f t="shared" si="7"/>
        <v>0</v>
      </c>
      <c r="S39" s="43" t="s">
        <v>9</v>
      </c>
      <c r="T39" s="102">
        <f>XM.HN!D21</f>
        <v>0</v>
      </c>
      <c r="U39" s="1657">
        <f>T39*4.62</f>
        <v>0</v>
      </c>
      <c r="V39" s="36">
        <f>($G$39-U39)*1156/1000</f>
        <v>69.36</v>
      </c>
      <c r="W39" s="37" t="s">
        <v>8</v>
      </c>
      <c r="X39" s="1816">
        <f t="shared" si="8"/>
        <v>0</v>
      </c>
      <c r="Y39" s="43" t="s">
        <v>9</v>
      </c>
      <c r="Z39" s="102">
        <f>XM.HN!E21</f>
        <v>0</v>
      </c>
      <c r="AA39" s="1657">
        <f>Z39*4.62</f>
        <v>0</v>
      </c>
      <c r="AB39" s="36">
        <f>($G$39-AA39)*1156/1000</f>
        <v>69.36</v>
      </c>
      <c r="AC39" s="37" t="s">
        <v>8</v>
      </c>
      <c r="AD39" s="1816">
        <f t="shared" si="9"/>
        <v>0</v>
      </c>
      <c r="AE39" s="43" t="s">
        <v>9</v>
      </c>
      <c r="AF39" s="102">
        <f>XM.HN!F21</f>
        <v>0</v>
      </c>
      <c r="AG39" s="1657">
        <f>AF39*4.62</f>
        <v>0</v>
      </c>
      <c r="AH39" s="36">
        <f>($G$39-AG39)*1156/1000</f>
        <v>69.36</v>
      </c>
      <c r="AI39" s="37" t="s">
        <v>8</v>
      </c>
      <c r="AJ39" s="1816">
        <f t="shared" si="10"/>
        <v>0</v>
      </c>
      <c r="AK39" s="43" t="s">
        <v>9</v>
      </c>
      <c r="AL39" s="102">
        <f>XM.HN!G21</f>
        <v>0</v>
      </c>
      <c r="AM39" s="1657">
        <f>AL39*4.62</f>
        <v>0</v>
      </c>
      <c r="AN39" s="36">
        <f>($G$39-AM39)*1156/1000</f>
        <v>69.36</v>
      </c>
      <c r="AO39" s="37" t="s">
        <v>8</v>
      </c>
      <c r="AP39" s="1816">
        <f t="shared" si="11"/>
        <v>0</v>
      </c>
      <c r="AQ39" s="39" t="s">
        <v>9</v>
      </c>
      <c r="AS39" s="1176" t="s">
        <v>1071</v>
      </c>
      <c r="AT39" s="2377"/>
    </row>
    <row r="40" spans="1:46" ht="34.5" customHeight="1">
      <c r="A40" s="1161" t="s">
        <v>294</v>
      </c>
      <c r="B40" s="1161" t="s">
        <v>233</v>
      </c>
      <c r="C40" s="1161" t="s">
        <v>53</v>
      </c>
      <c r="D40" s="52" t="s">
        <v>4</v>
      </c>
      <c r="E40" s="1713" t="s">
        <v>1500</v>
      </c>
      <c r="F40" s="1713" t="s">
        <v>1460</v>
      </c>
      <c r="G40" s="1529">
        <v>60</v>
      </c>
      <c r="H40" s="102">
        <f>XM.HN!B22</f>
        <v>0</v>
      </c>
      <c r="I40" s="1657">
        <f>H40*4.62</f>
        <v>0</v>
      </c>
      <c r="J40" s="36">
        <f>($G$40-I40)*1459/1000</f>
        <v>87.54</v>
      </c>
      <c r="K40" s="37" t="s">
        <v>8</v>
      </c>
      <c r="L40" s="1816">
        <f t="shared" si="6"/>
        <v>0</v>
      </c>
      <c r="M40" s="43" t="s">
        <v>9</v>
      </c>
      <c r="N40" s="116">
        <f>XM.HN!C22</f>
        <v>0</v>
      </c>
      <c r="O40" s="1657">
        <f>N40*4.62</f>
        <v>0</v>
      </c>
      <c r="P40" s="36">
        <f>($G$40-O40)*1459/1000</f>
        <v>87.54</v>
      </c>
      <c r="Q40" s="37" t="s">
        <v>8</v>
      </c>
      <c r="R40" s="1816">
        <f t="shared" si="7"/>
        <v>0</v>
      </c>
      <c r="S40" s="43" t="s">
        <v>9</v>
      </c>
      <c r="T40" s="102">
        <f>XM.HN!D22</f>
        <v>0</v>
      </c>
      <c r="U40" s="1657">
        <f>T40*4.62</f>
        <v>0</v>
      </c>
      <c r="V40" s="36">
        <f>($G$40-U40)*1459/1000</f>
        <v>87.54</v>
      </c>
      <c r="W40" s="37" t="s">
        <v>8</v>
      </c>
      <c r="X40" s="1816">
        <f t="shared" si="8"/>
        <v>0</v>
      </c>
      <c r="Y40" s="43" t="s">
        <v>9</v>
      </c>
      <c r="Z40" s="102">
        <f>XM.HN!E22</f>
        <v>0</v>
      </c>
      <c r="AA40" s="1657">
        <f>Z40*4.62</f>
        <v>0</v>
      </c>
      <c r="AB40" s="36">
        <f>($G$40-AA40)*1459/1000</f>
        <v>87.54</v>
      </c>
      <c r="AC40" s="37" t="s">
        <v>8</v>
      </c>
      <c r="AD40" s="1816">
        <f t="shared" si="9"/>
        <v>0</v>
      </c>
      <c r="AE40" s="43" t="s">
        <v>9</v>
      </c>
      <c r="AF40" s="102">
        <f>XM.HN!F22</f>
        <v>0</v>
      </c>
      <c r="AG40" s="1657">
        <f>AF40*4.62</f>
        <v>0</v>
      </c>
      <c r="AH40" s="36">
        <f>($G$40-AG40)*1459/1000</f>
        <v>87.54</v>
      </c>
      <c r="AI40" s="37" t="s">
        <v>8</v>
      </c>
      <c r="AJ40" s="1816">
        <f t="shared" si="10"/>
        <v>0</v>
      </c>
      <c r="AK40" s="43" t="s">
        <v>9</v>
      </c>
      <c r="AL40" s="102">
        <f>XM.HN!G22</f>
        <v>0</v>
      </c>
      <c r="AM40" s="1657">
        <f>AL40*4.62</f>
        <v>0</v>
      </c>
      <c r="AN40" s="36">
        <f>($G$40-AM40)*1459/1000</f>
        <v>87.54</v>
      </c>
      <c r="AO40" s="37" t="s">
        <v>8</v>
      </c>
      <c r="AP40" s="1816">
        <f t="shared" si="11"/>
        <v>0</v>
      </c>
      <c r="AQ40" s="39" t="s">
        <v>9</v>
      </c>
      <c r="AS40" s="1176" t="s">
        <v>1071</v>
      </c>
      <c r="AT40" s="2378"/>
    </row>
    <row r="41" spans="1:46" ht="34.5" customHeight="1">
      <c r="A41" s="1161" t="s">
        <v>295</v>
      </c>
      <c r="B41" s="1161" t="s">
        <v>233</v>
      </c>
      <c r="C41" s="1159" t="s">
        <v>59</v>
      </c>
      <c r="D41" s="1165" t="s">
        <v>4</v>
      </c>
      <c r="E41" s="1713" t="s">
        <v>1489</v>
      </c>
      <c r="F41" s="1713" t="s">
        <v>1474</v>
      </c>
      <c r="G41" s="1530">
        <v>140</v>
      </c>
      <c r="H41" s="102">
        <f>XM.HN!B23</f>
        <v>0</v>
      </c>
      <c r="I41" s="1694">
        <f>H41*8</f>
        <v>0</v>
      </c>
      <c r="J41" s="36">
        <f>($G$41-I41)*19951/1000</f>
        <v>2793.14</v>
      </c>
      <c r="K41" s="37" t="s">
        <v>8</v>
      </c>
      <c r="L41" s="1816">
        <f t="shared" si="6"/>
        <v>0</v>
      </c>
      <c r="M41" s="43" t="s">
        <v>9</v>
      </c>
      <c r="N41" s="116">
        <f>XM.HN!C23</f>
        <v>0</v>
      </c>
      <c r="O41" s="1694">
        <f>N41*8</f>
        <v>0</v>
      </c>
      <c r="P41" s="36">
        <f>($G$41-O41)*19951/1000</f>
        <v>2793.14</v>
      </c>
      <c r="Q41" s="37" t="s">
        <v>8</v>
      </c>
      <c r="R41" s="1816">
        <f t="shared" si="7"/>
        <v>0</v>
      </c>
      <c r="S41" s="43" t="s">
        <v>9</v>
      </c>
      <c r="T41" s="102">
        <f>XM.HN!D23</f>
        <v>0</v>
      </c>
      <c r="U41" s="1694">
        <f>T41*8</f>
        <v>0</v>
      </c>
      <c r="V41" s="36">
        <f>($G$41-U41)*19951/1000</f>
        <v>2793.14</v>
      </c>
      <c r="W41" s="37" t="s">
        <v>8</v>
      </c>
      <c r="X41" s="1816">
        <f t="shared" si="8"/>
        <v>0</v>
      </c>
      <c r="Y41" s="43" t="s">
        <v>9</v>
      </c>
      <c r="Z41" s="102">
        <f>XM.HN!E23</f>
        <v>0</v>
      </c>
      <c r="AA41" s="1694">
        <f>Z41*8</f>
        <v>0</v>
      </c>
      <c r="AB41" s="36">
        <f>($G$41-AA41)*19951/1000</f>
        <v>2793.14</v>
      </c>
      <c r="AC41" s="37" t="s">
        <v>8</v>
      </c>
      <c r="AD41" s="1816">
        <f t="shared" si="9"/>
        <v>0</v>
      </c>
      <c r="AE41" s="43" t="s">
        <v>9</v>
      </c>
      <c r="AF41" s="102">
        <f>XM.HN!F23</f>
        <v>0</v>
      </c>
      <c r="AG41" s="1694">
        <f>AF41*8</f>
        <v>0</v>
      </c>
      <c r="AH41" s="36">
        <f>($G$41-AG41)*19951/1000</f>
        <v>2793.14</v>
      </c>
      <c r="AI41" s="37" t="s">
        <v>8</v>
      </c>
      <c r="AJ41" s="1816">
        <f t="shared" si="10"/>
        <v>0</v>
      </c>
      <c r="AK41" s="43" t="s">
        <v>9</v>
      </c>
      <c r="AL41" s="102">
        <f>XM.HN!G23</f>
        <v>0</v>
      </c>
      <c r="AM41" s="1694">
        <f>AL41*8</f>
        <v>0</v>
      </c>
      <c r="AN41" s="36">
        <f>($G$41-AM41)*19951/1000</f>
        <v>2793.14</v>
      </c>
      <c r="AO41" s="37" t="s">
        <v>8</v>
      </c>
      <c r="AP41" s="1816">
        <f t="shared" si="11"/>
        <v>0</v>
      </c>
      <c r="AQ41" s="39" t="s">
        <v>9</v>
      </c>
      <c r="AS41" s="1176" t="s">
        <v>1071</v>
      </c>
      <c r="AT41" s="1613" t="s">
        <v>1408</v>
      </c>
    </row>
    <row r="42" spans="1:46" ht="34.5" customHeight="1">
      <c r="A42" s="52" t="s">
        <v>296</v>
      </c>
      <c r="B42" s="1161" t="s">
        <v>233</v>
      </c>
      <c r="C42" s="1144" t="s">
        <v>60</v>
      </c>
      <c r="D42" s="1165" t="s">
        <v>4</v>
      </c>
      <c r="E42" s="1758" t="s">
        <v>1520</v>
      </c>
      <c r="F42" s="1713" t="s">
        <v>1475</v>
      </c>
      <c r="G42" s="1531">
        <v>10</v>
      </c>
      <c r="H42" s="102">
        <f>XM.HN!B24</f>
        <v>0</v>
      </c>
      <c r="I42" s="664">
        <f>H42*1.3</f>
        <v>0</v>
      </c>
      <c r="J42" s="488">
        <f>($G$42-I42)*19951/1000</f>
        <v>199.51</v>
      </c>
      <c r="K42" s="37" t="s">
        <v>8</v>
      </c>
      <c r="L42" s="1816">
        <f t="shared" si="6"/>
        <v>0</v>
      </c>
      <c r="M42" s="39" t="s">
        <v>9</v>
      </c>
      <c r="N42" s="100">
        <f>XM.HN!C24</f>
        <v>0</v>
      </c>
      <c r="O42" s="664">
        <f>N42*1.3</f>
        <v>0</v>
      </c>
      <c r="P42" s="488">
        <f>($G$42-O42)*19951/1000</f>
        <v>199.51</v>
      </c>
      <c r="Q42" s="37" t="s">
        <v>8</v>
      </c>
      <c r="R42" s="1816">
        <f t="shared" si="7"/>
        <v>0</v>
      </c>
      <c r="S42" s="39" t="s">
        <v>9</v>
      </c>
      <c r="T42" s="20">
        <f>XM.HN!D24</f>
        <v>0</v>
      </c>
      <c r="U42" s="664">
        <f>T42*1.3</f>
        <v>0</v>
      </c>
      <c r="V42" s="488">
        <f>($G$42-U42)*19951/1000</f>
        <v>199.51</v>
      </c>
      <c r="W42" s="37" t="s">
        <v>8</v>
      </c>
      <c r="X42" s="1816">
        <f t="shared" si="8"/>
        <v>0</v>
      </c>
      <c r="Y42" s="39" t="s">
        <v>9</v>
      </c>
      <c r="Z42" s="100">
        <f>XM.HN!E24</f>
        <v>0</v>
      </c>
      <c r="AA42" s="664">
        <f>Z42*1.3</f>
        <v>0</v>
      </c>
      <c r="AB42" s="488">
        <f>($G$42-AA42)*19951/1000</f>
        <v>199.51</v>
      </c>
      <c r="AC42" s="37" t="s">
        <v>8</v>
      </c>
      <c r="AD42" s="1816">
        <f t="shared" si="9"/>
        <v>0</v>
      </c>
      <c r="AE42" s="39" t="s">
        <v>9</v>
      </c>
      <c r="AF42" s="100">
        <f>XM.HN!F24</f>
        <v>0</v>
      </c>
      <c r="AG42" s="664">
        <f>AF42*1.3</f>
        <v>0</v>
      </c>
      <c r="AH42" s="488">
        <f>($G$42-AG42)*19951/1000</f>
        <v>199.51</v>
      </c>
      <c r="AI42" s="37" t="s">
        <v>8</v>
      </c>
      <c r="AJ42" s="1816">
        <f t="shared" si="10"/>
        <v>0</v>
      </c>
      <c r="AK42" s="39" t="s">
        <v>9</v>
      </c>
      <c r="AL42" s="100">
        <f>XM.HN!G24</f>
        <v>0</v>
      </c>
      <c r="AM42" s="664">
        <f>AL42*1.3</f>
        <v>0</v>
      </c>
      <c r="AN42" s="34">
        <f>($G$42-AM42)*19951/1000</f>
        <v>199.51</v>
      </c>
      <c r="AO42" s="37" t="s">
        <v>8</v>
      </c>
      <c r="AP42" s="1816">
        <f t="shared" si="11"/>
        <v>0</v>
      </c>
      <c r="AQ42" s="39" t="s">
        <v>9</v>
      </c>
      <c r="AS42" s="1176" t="s">
        <v>1071</v>
      </c>
      <c r="AT42" s="1179" t="s">
        <v>1090</v>
      </c>
    </row>
    <row r="43" spans="1:46" ht="37.5" customHeight="1">
      <c r="A43" s="308" t="s">
        <v>297</v>
      </c>
      <c r="B43" s="1161" t="s">
        <v>233</v>
      </c>
      <c r="C43" s="1181" t="s">
        <v>1093</v>
      </c>
      <c r="D43" s="1165" t="s">
        <v>3</v>
      </c>
      <c r="E43" s="1713" t="s">
        <v>1501</v>
      </c>
      <c r="F43" s="1713" t="s">
        <v>1476</v>
      </c>
      <c r="G43" s="1531">
        <v>8</v>
      </c>
      <c r="H43" s="102">
        <f>XM.HN!B25</f>
        <v>0</v>
      </c>
      <c r="I43" s="664">
        <f>(H43*0.4237)-1.0461</f>
        <v>-1.0461</v>
      </c>
      <c r="J43" s="488">
        <f>($G$43-I43)*575/100</f>
        <v>52.015074999999996</v>
      </c>
      <c r="K43" s="37" t="s">
        <v>8</v>
      </c>
      <c r="L43" s="1816">
        <f>IF(I43=-1.0461,0,IF(J43&lt;0,0,J43))</f>
        <v>0</v>
      </c>
      <c r="M43" s="43" t="s">
        <v>10</v>
      </c>
      <c r="N43" s="100">
        <f>XM.HN!C25</f>
        <v>0</v>
      </c>
      <c r="O43" s="664">
        <f>(N43*0.4237)-1.0461</f>
        <v>-1.0461</v>
      </c>
      <c r="P43" s="488">
        <f>($G$43-O43)*575/100</f>
        <v>52.015074999999996</v>
      </c>
      <c r="Q43" s="37" t="s">
        <v>8</v>
      </c>
      <c r="R43" s="1816">
        <f>IF(O43=-1.0461,0,IF(P43&lt;0,0,P43))</f>
        <v>0</v>
      </c>
      <c r="S43" s="43" t="s">
        <v>10</v>
      </c>
      <c r="T43" s="292">
        <f>XM.HN!D25</f>
        <v>0</v>
      </c>
      <c r="U43" s="664">
        <f>(T43*0.4237)-1.0461</f>
        <v>-1.0461</v>
      </c>
      <c r="V43" s="488">
        <f>($G$43-U43)*575/100</f>
        <v>52.015074999999996</v>
      </c>
      <c r="W43" s="37" t="s">
        <v>8</v>
      </c>
      <c r="X43" s="1816">
        <f>IF(U43=-1.0461,0,IF(V43&lt;0,0,V43))</f>
        <v>0</v>
      </c>
      <c r="Y43" s="43" t="s">
        <v>10</v>
      </c>
      <c r="Z43" s="292">
        <f>XM.HN!E25</f>
        <v>0</v>
      </c>
      <c r="AA43" s="664">
        <f>(Z43*0.4237)-1.0461</f>
        <v>-1.0461</v>
      </c>
      <c r="AB43" s="488">
        <f>($G$43-AA43)*575/100</f>
        <v>52.015074999999996</v>
      </c>
      <c r="AC43" s="37" t="s">
        <v>8</v>
      </c>
      <c r="AD43" s="1816">
        <f>IF(AA43=-1.0461,0,IF(AB43&lt;0,0,AB43))</f>
        <v>0</v>
      </c>
      <c r="AE43" s="43" t="s">
        <v>10</v>
      </c>
      <c r="AF43" s="292">
        <f>XM.HN!F25</f>
        <v>0</v>
      </c>
      <c r="AG43" s="664">
        <f>(AF43*0.4237)-1.0461</f>
        <v>-1.0461</v>
      </c>
      <c r="AH43" s="488">
        <f>($G$43-AG43)*575/100</f>
        <v>52.015074999999996</v>
      </c>
      <c r="AI43" s="37" t="s">
        <v>8</v>
      </c>
      <c r="AJ43" s="1816">
        <f>IF(AG43=-1.0461,0,IF(AH43&lt;0,0,AH43))</f>
        <v>0</v>
      </c>
      <c r="AK43" s="43" t="s">
        <v>10</v>
      </c>
      <c r="AL43" s="292">
        <f>XM.HN!G25</f>
        <v>0</v>
      </c>
      <c r="AM43" s="664">
        <f>(AL43*0.4237)-1.0461</f>
        <v>-1.0461</v>
      </c>
      <c r="AN43" s="34">
        <f>($G$43-AM43)*575/100</f>
        <v>52.015074999999996</v>
      </c>
      <c r="AO43" s="37" t="s">
        <v>8</v>
      </c>
      <c r="AP43" s="1816">
        <f>IF(AM43=-1.0461,0,IF(AN43&lt;0,0,AN43))</f>
        <v>0</v>
      </c>
      <c r="AQ43" s="39" t="s">
        <v>10</v>
      </c>
      <c r="AS43" s="1176" t="s">
        <v>1071</v>
      </c>
      <c r="AT43" s="1613" t="s">
        <v>1410</v>
      </c>
    </row>
    <row r="44" spans="1:46" ht="34.5" customHeight="1">
      <c r="A44" s="308" t="s">
        <v>298</v>
      </c>
      <c r="B44" s="1161" t="s">
        <v>233</v>
      </c>
      <c r="C44" s="311" t="s">
        <v>131</v>
      </c>
      <c r="D44" s="1165" t="s">
        <v>5</v>
      </c>
      <c r="E44" s="1713" t="s">
        <v>1434</v>
      </c>
      <c r="F44" s="1713" t="s">
        <v>1416</v>
      </c>
      <c r="G44" s="1532"/>
      <c r="H44" s="102"/>
      <c r="I44" s="664">
        <f>XM.HN!B32</f>
        <v>0</v>
      </c>
      <c r="J44" s="488"/>
      <c r="K44" s="41"/>
      <c r="L44" s="1816"/>
      <c r="M44" s="1423"/>
      <c r="N44" s="100"/>
      <c r="O44" s="664">
        <f>XM.HN!C32</f>
        <v>0</v>
      </c>
      <c r="R44" s="1816"/>
      <c r="U44" s="664">
        <f>XM.HN!D32</f>
        <v>0</v>
      </c>
      <c r="X44" s="1816"/>
      <c r="AA44" s="664">
        <f>XM.HN!E32</f>
        <v>0</v>
      </c>
      <c r="AD44" s="1816"/>
      <c r="AE44" s="292"/>
      <c r="AG44" s="664">
        <f>XM.HN!F32</f>
        <v>0</v>
      </c>
      <c r="AJ44" s="1816"/>
      <c r="AK44" s="292"/>
      <c r="AM44" s="664">
        <f>XM.HN!G32</f>
        <v>0</v>
      </c>
      <c r="AN44" s="40"/>
      <c r="AO44" s="41"/>
      <c r="AP44" s="1816"/>
      <c r="AQ44" s="1124"/>
      <c r="AS44" s="1171"/>
      <c r="AT44" s="1173"/>
    </row>
    <row r="45" spans="1:46" ht="39.75" customHeight="1">
      <c r="A45" s="309" t="s">
        <v>299</v>
      </c>
      <c r="B45" s="1161" t="s">
        <v>233</v>
      </c>
      <c r="C45" s="1159" t="s">
        <v>61</v>
      </c>
      <c r="D45" s="1165" t="s">
        <v>6</v>
      </c>
      <c r="E45" s="1713" t="s">
        <v>1491</v>
      </c>
      <c r="F45" s="1713" t="s">
        <v>1466</v>
      </c>
      <c r="G45" s="1533">
        <v>0.45</v>
      </c>
      <c r="H45" s="102">
        <f>XM.HN!B26</f>
        <v>0</v>
      </c>
      <c r="I45" s="337">
        <f>(1*H45*36.5)/(1*10)/32%/100</f>
        <v>0</v>
      </c>
      <c r="J45" s="35">
        <f>($G$45-I45)*2122</f>
        <v>954.9</v>
      </c>
      <c r="K45" s="43" t="s">
        <v>8</v>
      </c>
      <c r="L45" s="1816">
        <f t="shared" si="6"/>
        <v>0</v>
      </c>
      <c r="M45" s="237" t="s">
        <v>10</v>
      </c>
      <c r="N45" s="116">
        <f>XM.HN!C26</f>
        <v>0</v>
      </c>
      <c r="O45" s="337">
        <f>(1*N45*36.5)/(1*10)/32%/100</f>
        <v>0</v>
      </c>
      <c r="P45" s="35">
        <f>($G$45-O45)*2122</f>
        <v>954.9</v>
      </c>
      <c r="Q45" s="43" t="s">
        <v>8</v>
      </c>
      <c r="R45" s="1816">
        <f t="shared" si="7"/>
        <v>0</v>
      </c>
      <c r="S45" s="237" t="s">
        <v>10</v>
      </c>
      <c r="T45" s="102">
        <f>XM.HN!D26</f>
        <v>0</v>
      </c>
      <c r="U45" s="337">
        <f>(1*T45*36.5)/(1*10)/32%/100</f>
        <v>0</v>
      </c>
      <c r="V45" s="35">
        <f>($G$45-U45)*2122</f>
        <v>954.9</v>
      </c>
      <c r="W45" s="43" t="s">
        <v>8</v>
      </c>
      <c r="X45" s="1816">
        <f t="shared" si="8"/>
        <v>0</v>
      </c>
      <c r="Y45" s="237" t="s">
        <v>10</v>
      </c>
      <c r="Z45" s="102">
        <f>XM.HN!E26</f>
        <v>0</v>
      </c>
      <c r="AA45" s="337">
        <f>(1*Z45*36.5)/(1*10)/32%/100</f>
        <v>0</v>
      </c>
      <c r="AB45" s="35">
        <f>($G$45-AA45)*2122</f>
        <v>954.9</v>
      </c>
      <c r="AC45" s="43" t="s">
        <v>8</v>
      </c>
      <c r="AD45" s="1816">
        <f t="shared" si="9"/>
        <v>0</v>
      </c>
      <c r="AE45" s="237" t="s">
        <v>10</v>
      </c>
      <c r="AF45" s="102">
        <f>XM.HN!F26</f>
        <v>0</v>
      </c>
      <c r="AG45" s="337">
        <f>(1*AF45*36.5)/(1*10)/32%/100</f>
        <v>0</v>
      </c>
      <c r="AH45" s="35">
        <f>($G$45-AG45)*2122</f>
        <v>954.9</v>
      </c>
      <c r="AI45" s="43" t="s">
        <v>8</v>
      </c>
      <c r="AJ45" s="1816">
        <f t="shared" si="10"/>
        <v>0</v>
      </c>
      <c r="AK45" s="237" t="s">
        <v>10</v>
      </c>
      <c r="AL45" s="102">
        <f>XM.HN!G26</f>
        <v>0</v>
      </c>
      <c r="AM45" s="337">
        <f>(1*AL45*36.5)/(1*10)/32%/100</f>
        <v>0</v>
      </c>
      <c r="AN45" s="35">
        <f>($G$45-AM45)*2122</f>
        <v>954.9</v>
      </c>
      <c r="AO45" s="43" t="s">
        <v>8</v>
      </c>
      <c r="AP45" s="1816">
        <f t="shared" si="11"/>
        <v>0</v>
      </c>
      <c r="AQ45" s="45" t="s">
        <v>10</v>
      </c>
      <c r="AS45" s="52" t="s">
        <v>1074</v>
      </c>
      <c r="AT45" s="2369" t="s">
        <v>1070</v>
      </c>
    </row>
    <row r="46" spans="1:46" ht="44.25" customHeight="1">
      <c r="A46" s="309" t="s">
        <v>300</v>
      </c>
      <c r="B46" s="1161" t="s">
        <v>233</v>
      </c>
      <c r="C46" s="1159" t="s">
        <v>62</v>
      </c>
      <c r="D46" s="1165" t="s">
        <v>6</v>
      </c>
      <c r="E46" s="1713" t="s">
        <v>1492</v>
      </c>
      <c r="F46" s="1713" t="s">
        <v>1477</v>
      </c>
      <c r="G46" s="1533">
        <v>0.22</v>
      </c>
      <c r="H46" s="102">
        <f>XM.HN!B27</f>
        <v>0</v>
      </c>
      <c r="I46" s="337">
        <f>(1*H46*36.5)/(1*10)/32%/100</f>
        <v>0</v>
      </c>
      <c r="J46" s="35">
        <f>($G$46-I46)*612</f>
        <v>134.64000000000001</v>
      </c>
      <c r="K46" s="43" t="s">
        <v>8</v>
      </c>
      <c r="L46" s="1816">
        <f t="shared" si="6"/>
        <v>0</v>
      </c>
      <c r="M46" s="237" t="s">
        <v>10</v>
      </c>
      <c r="N46" s="116">
        <f>XM.HN!C27</f>
        <v>0</v>
      </c>
      <c r="O46" s="337">
        <f>(1*N46*36.5)/(1*10)/32%/100</f>
        <v>0</v>
      </c>
      <c r="P46" s="35">
        <f>($G$46-O46)*612</f>
        <v>134.64000000000001</v>
      </c>
      <c r="Q46" s="43" t="s">
        <v>8</v>
      </c>
      <c r="R46" s="1816">
        <f t="shared" si="7"/>
        <v>0</v>
      </c>
      <c r="S46" s="237" t="s">
        <v>10</v>
      </c>
      <c r="T46" s="102">
        <f>XM.HN!D27</f>
        <v>0</v>
      </c>
      <c r="U46" s="337">
        <f>(1*T46*36.5)/(1*10)/32%/100</f>
        <v>0</v>
      </c>
      <c r="V46" s="35">
        <f>($G$46-U46)*612</f>
        <v>134.64000000000001</v>
      </c>
      <c r="W46" s="43" t="s">
        <v>8</v>
      </c>
      <c r="X46" s="1816">
        <f t="shared" si="8"/>
        <v>0</v>
      </c>
      <c r="Y46" s="237" t="s">
        <v>10</v>
      </c>
      <c r="Z46" s="102">
        <f>XM.HN!E27</f>
        <v>0</v>
      </c>
      <c r="AA46" s="337">
        <f>(1*Z46*36.5)/(1*10)/32%/100</f>
        <v>0</v>
      </c>
      <c r="AB46" s="35">
        <f>($G$46-AA46)*612</f>
        <v>134.64000000000001</v>
      </c>
      <c r="AC46" s="43" t="s">
        <v>8</v>
      </c>
      <c r="AD46" s="1816">
        <f t="shared" si="9"/>
        <v>0</v>
      </c>
      <c r="AE46" s="237" t="s">
        <v>10</v>
      </c>
      <c r="AF46" s="102">
        <f>XM.HN!F27</f>
        <v>0</v>
      </c>
      <c r="AG46" s="337">
        <f>(1*AF46*36.5)/(1*10)/32%/100</f>
        <v>0</v>
      </c>
      <c r="AH46" s="35">
        <f>($G$46-AG46)*612</f>
        <v>134.64000000000001</v>
      </c>
      <c r="AI46" s="43" t="s">
        <v>8</v>
      </c>
      <c r="AJ46" s="1816">
        <f t="shared" si="10"/>
        <v>0</v>
      </c>
      <c r="AK46" s="237" t="s">
        <v>10</v>
      </c>
      <c r="AL46" s="102">
        <f>XM.HN!G27</f>
        <v>0</v>
      </c>
      <c r="AM46" s="337">
        <f>(1*AL46*36.5)/(1*10)/32%/100</f>
        <v>0</v>
      </c>
      <c r="AN46" s="35">
        <f>($G$46-AM46)*612</f>
        <v>134.64000000000001</v>
      </c>
      <c r="AO46" s="43" t="s">
        <v>8</v>
      </c>
      <c r="AP46" s="1816">
        <f t="shared" si="11"/>
        <v>0</v>
      </c>
      <c r="AQ46" s="45" t="s">
        <v>10</v>
      </c>
      <c r="AS46" s="52" t="s">
        <v>1074</v>
      </c>
      <c r="AT46" s="2369"/>
    </row>
    <row r="47" spans="1:46" ht="44.25" customHeight="1">
      <c r="A47" s="309" t="s">
        <v>301</v>
      </c>
      <c r="B47" s="1161" t="s">
        <v>233</v>
      </c>
      <c r="C47" s="1159" t="s">
        <v>63</v>
      </c>
      <c r="D47" s="1165" t="s">
        <v>6</v>
      </c>
      <c r="E47" s="1713" t="s">
        <v>1494</v>
      </c>
      <c r="F47" s="1713" t="s">
        <v>1478</v>
      </c>
      <c r="G47" s="1533">
        <v>0.1</v>
      </c>
      <c r="H47" s="102">
        <f>XM.HN!B28</f>
        <v>0</v>
      </c>
      <c r="I47" s="337">
        <f>(1*H47*36.5)/(5*10)/32%/100</f>
        <v>0</v>
      </c>
      <c r="J47" s="35">
        <f>($G$47-I47)*575</f>
        <v>57.5</v>
      </c>
      <c r="K47" s="43" t="s">
        <v>8</v>
      </c>
      <c r="L47" s="1816">
        <f t="shared" si="6"/>
        <v>0</v>
      </c>
      <c r="M47" s="45" t="s">
        <v>10</v>
      </c>
      <c r="N47" s="103">
        <f>XM.HN!C28</f>
        <v>0</v>
      </c>
      <c r="O47" s="337">
        <f>(1*N47*36.5)/(5*10)/32%/100</f>
        <v>0</v>
      </c>
      <c r="P47" s="35">
        <f>($G$47-O47)*575</f>
        <v>57.5</v>
      </c>
      <c r="Q47" s="43" t="s">
        <v>8</v>
      </c>
      <c r="R47" s="1816">
        <f t="shared" si="7"/>
        <v>0</v>
      </c>
      <c r="S47" s="45" t="s">
        <v>10</v>
      </c>
      <c r="T47" s="103">
        <f>XM.HN!D28</f>
        <v>0</v>
      </c>
      <c r="U47" s="337">
        <f>(1*T47*36.5)/(5*10)/32%/100</f>
        <v>0</v>
      </c>
      <c r="V47" s="35">
        <f>($G$47-U47)*575</f>
        <v>57.5</v>
      </c>
      <c r="W47" s="43" t="s">
        <v>8</v>
      </c>
      <c r="X47" s="1816">
        <f t="shared" si="8"/>
        <v>0</v>
      </c>
      <c r="Y47" s="45" t="s">
        <v>10</v>
      </c>
      <c r="Z47" s="103">
        <f>XM.HN!E28</f>
        <v>0</v>
      </c>
      <c r="AA47" s="337">
        <f>(1*Z47*36.5)/(5*10)/32%/100</f>
        <v>0</v>
      </c>
      <c r="AB47" s="35">
        <f>($G$47-AA47)*575</f>
        <v>57.5</v>
      </c>
      <c r="AC47" s="43" t="s">
        <v>8</v>
      </c>
      <c r="AD47" s="1816">
        <f t="shared" si="9"/>
        <v>0</v>
      </c>
      <c r="AE47" s="45" t="s">
        <v>10</v>
      </c>
      <c r="AF47" s="102">
        <f>XM.HN!F28</f>
        <v>0</v>
      </c>
      <c r="AG47" s="337">
        <f>(1*AF47*36.5)/(5*10)/32%/100</f>
        <v>0</v>
      </c>
      <c r="AH47" s="35">
        <f>($G$47-AG47)*575</f>
        <v>57.5</v>
      </c>
      <c r="AI47" s="43" t="s">
        <v>8</v>
      </c>
      <c r="AJ47" s="1816">
        <f t="shared" si="10"/>
        <v>0</v>
      </c>
      <c r="AK47" s="45" t="s">
        <v>10</v>
      </c>
      <c r="AL47" s="102">
        <f>XM.HN!G28</f>
        <v>0</v>
      </c>
      <c r="AM47" s="337">
        <f>(1*AL47*36.5)/(5*10)/32%/100</f>
        <v>0</v>
      </c>
      <c r="AN47" s="68">
        <f>($G$47-AM47)*575</f>
        <v>57.5</v>
      </c>
      <c r="AO47" s="43" t="s">
        <v>8</v>
      </c>
      <c r="AP47" s="1816">
        <f t="shared" si="11"/>
        <v>0</v>
      </c>
      <c r="AQ47" s="473" t="s">
        <v>10</v>
      </c>
      <c r="AS47" s="52" t="s">
        <v>1074</v>
      </c>
      <c r="AT47" s="1171" t="s">
        <v>1072</v>
      </c>
    </row>
    <row r="48" spans="1:46" ht="34.5" customHeight="1">
      <c r="A48" s="309" t="s">
        <v>302</v>
      </c>
      <c r="B48" s="1161" t="s">
        <v>233</v>
      </c>
      <c r="C48" s="1159" t="s">
        <v>162</v>
      </c>
      <c r="D48" s="1165" t="s">
        <v>3</v>
      </c>
      <c r="E48" s="1713" t="s">
        <v>1495</v>
      </c>
      <c r="F48" s="1713" t="s">
        <v>1479</v>
      </c>
      <c r="G48" s="1534">
        <v>0.01</v>
      </c>
      <c r="H48" s="102">
        <f>XM.HN!B29</f>
        <v>0</v>
      </c>
      <c r="I48" s="340">
        <f>(1*H48*6.301)/5/100</f>
        <v>0</v>
      </c>
      <c r="J48" s="35">
        <f>($G$48-I48)*530/65%</f>
        <v>8.1538461538461533</v>
      </c>
      <c r="K48" s="43" t="s">
        <v>8</v>
      </c>
      <c r="L48" s="1815">
        <f t="shared" si="6"/>
        <v>0</v>
      </c>
      <c r="M48" s="237" t="s">
        <v>10</v>
      </c>
      <c r="N48" s="270">
        <f>XM.HN!C29</f>
        <v>0</v>
      </c>
      <c r="O48" s="340">
        <f>(1*N48*6.301)/5/100</f>
        <v>0</v>
      </c>
      <c r="P48" s="35">
        <f>($G$48-O48)*530/65%</f>
        <v>8.1538461538461533</v>
      </c>
      <c r="Q48" s="43" t="s">
        <v>8</v>
      </c>
      <c r="R48" s="1815">
        <f t="shared" si="7"/>
        <v>0</v>
      </c>
      <c r="S48" s="237" t="s">
        <v>10</v>
      </c>
      <c r="T48" s="103">
        <f>XM.HN!D29</f>
        <v>0</v>
      </c>
      <c r="U48" s="340">
        <f>(1*T48*6.301)/5/100</f>
        <v>0</v>
      </c>
      <c r="V48" s="35">
        <f>($G$48-U48)*530/65%</f>
        <v>8.1538461538461533</v>
      </c>
      <c r="W48" s="43" t="s">
        <v>8</v>
      </c>
      <c r="X48" s="1815">
        <f t="shared" si="8"/>
        <v>0</v>
      </c>
      <c r="Y48" s="237" t="s">
        <v>10</v>
      </c>
      <c r="Z48" s="103">
        <f>XM.HN!E29</f>
        <v>0</v>
      </c>
      <c r="AA48" s="340">
        <f>(1*Z48*6.301)/5/100</f>
        <v>0</v>
      </c>
      <c r="AB48" s="35">
        <f>($G$48-AA48)*530/65%</f>
        <v>8.1538461538461533</v>
      </c>
      <c r="AC48" s="43" t="s">
        <v>8</v>
      </c>
      <c r="AD48" s="1815">
        <f t="shared" si="9"/>
        <v>0</v>
      </c>
      <c r="AE48" s="237" t="s">
        <v>10</v>
      </c>
      <c r="AF48" s="102">
        <f>XM.HN!F29</f>
        <v>0</v>
      </c>
      <c r="AG48" s="340">
        <f>(1*AF48*6.301)/5/100</f>
        <v>0</v>
      </c>
      <c r="AH48" s="35">
        <f>($G$48-AG48)*530/65%</f>
        <v>8.1538461538461533</v>
      </c>
      <c r="AI48" s="43" t="s">
        <v>8</v>
      </c>
      <c r="AJ48" s="1815">
        <f t="shared" si="10"/>
        <v>0</v>
      </c>
      <c r="AK48" s="237" t="s">
        <v>10</v>
      </c>
      <c r="AL48" s="102">
        <f>XM.HN!G29</f>
        <v>0</v>
      </c>
      <c r="AM48" s="340">
        <f>(1*AL48*6.301)/5/100</f>
        <v>0</v>
      </c>
      <c r="AN48" s="35">
        <f>($G$48-AM48)*530/65%</f>
        <v>8.1538461538461533</v>
      </c>
      <c r="AO48" s="43" t="s">
        <v>8</v>
      </c>
      <c r="AP48" s="1815">
        <f t="shared" si="11"/>
        <v>0</v>
      </c>
      <c r="AQ48" s="45" t="s">
        <v>10</v>
      </c>
      <c r="AS48" s="52" t="s">
        <v>1074</v>
      </c>
      <c r="AT48" s="1171" t="s">
        <v>1073</v>
      </c>
    </row>
    <row r="49" spans="1:50" ht="45" customHeight="1">
      <c r="A49" s="308" t="s">
        <v>303</v>
      </c>
      <c r="B49" s="1161" t="s">
        <v>233</v>
      </c>
      <c r="C49" s="328" t="s">
        <v>877</v>
      </c>
      <c r="D49" s="52" t="s">
        <v>3</v>
      </c>
      <c r="E49" s="1713" t="s">
        <v>1502</v>
      </c>
      <c r="F49" s="1713" t="s">
        <v>1417</v>
      </c>
      <c r="G49" s="1535">
        <v>6</v>
      </c>
      <c r="H49" s="102">
        <f>XM.HN!B30</f>
        <v>0</v>
      </c>
      <c r="I49" s="302" t="str">
        <f>IF(XM.HN!B30="","",H49*0.8+1.1)</f>
        <v/>
      </c>
      <c r="J49" s="47" t="e">
        <f>($G$49-I49)*575/95</f>
        <v>#VALUE!</v>
      </c>
      <c r="K49" s="43" t="s">
        <v>8</v>
      </c>
      <c r="L49" s="44" t="str">
        <f>IF(I49="","",IF(J49&lt;0,0,J49))</f>
        <v/>
      </c>
      <c r="M49" s="237" t="s">
        <v>10</v>
      </c>
      <c r="N49" s="103">
        <f>XM.HN!C30</f>
        <v>0</v>
      </c>
      <c r="O49" s="302" t="str">
        <f>IF(XM.HN!C30="","",N49*0.8+1.1)</f>
        <v/>
      </c>
      <c r="P49" s="47" t="e">
        <f>($G$49-O49)*575/95</f>
        <v>#VALUE!</v>
      </c>
      <c r="Q49" s="43" t="s">
        <v>8</v>
      </c>
      <c r="R49" s="44" t="str">
        <f>IF(O49="","",IF(P49&lt;0,0,P49))</f>
        <v/>
      </c>
      <c r="S49" s="237" t="s">
        <v>10</v>
      </c>
      <c r="T49" s="103">
        <f>XM.HN!D30</f>
        <v>0</v>
      </c>
      <c r="U49" s="302" t="str">
        <f>IF(XM.HN!D30="","",T49*0.8+1.1)</f>
        <v/>
      </c>
      <c r="V49" s="47" t="e">
        <f>($G$49-U49)*575/95</f>
        <v>#VALUE!</v>
      </c>
      <c r="W49" s="43" t="s">
        <v>8</v>
      </c>
      <c r="X49" s="44" t="str">
        <f>IF(U49="","",IF(V49&lt;0,0,V49))</f>
        <v/>
      </c>
      <c r="Y49" s="237" t="s">
        <v>10</v>
      </c>
      <c r="Z49" s="103">
        <f>XM.HN!E30</f>
        <v>0</v>
      </c>
      <c r="AA49" s="302" t="str">
        <f>IF(XM.HN!E30="","",Z49*0.8+1.1)</f>
        <v/>
      </c>
      <c r="AB49" s="47" t="e">
        <f>($G$49-AA49)*575/95</f>
        <v>#VALUE!</v>
      </c>
      <c r="AC49" s="43" t="s">
        <v>8</v>
      </c>
      <c r="AD49" s="44" t="str">
        <f>IF(AA49="","",IF(AB49&lt;0,0,AB49))</f>
        <v/>
      </c>
      <c r="AE49" s="237" t="s">
        <v>10</v>
      </c>
      <c r="AF49" s="103">
        <f>XM.HN!F30</f>
        <v>0</v>
      </c>
      <c r="AG49" s="302" t="str">
        <f>IF(XM.HN!F30="","",AF49*0.8+1.1)</f>
        <v/>
      </c>
      <c r="AH49" s="47" t="e">
        <f>($G$49-AG49)*575/95</f>
        <v>#VALUE!</v>
      </c>
      <c r="AI49" s="43" t="s">
        <v>8</v>
      </c>
      <c r="AJ49" s="44" t="str">
        <f>IF(AG49="","",IF(AH49&lt;0,0,AH49))</f>
        <v/>
      </c>
      <c r="AK49" s="237" t="s">
        <v>10</v>
      </c>
      <c r="AL49" s="103">
        <f>XM.HN!G30</f>
        <v>0</v>
      </c>
      <c r="AM49" s="302" t="str">
        <f>IF(XM.HN!G30="","",AL49*0.8+1.1)</f>
        <v/>
      </c>
      <c r="AN49" s="47" t="e">
        <f>($G$49-AM49)*575/95</f>
        <v>#VALUE!</v>
      </c>
      <c r="AO49" s="43" t="s">
        <v>8</v>
      </c>
      <c r="AP49" s="44" t="str">
        <f>IF(AM49="","",IF(AN49&lt;0,0,AN49))</f>
        <v/>
      </c>
      <c r="AQ49" s="45" t="s">
        <v>10</v>
      </c>
    </row>
    <row r="50" spans="1:50" ht="34.5" customHeight="1">
      <c r="A50" s="52" t="s">
        <v>304</v>
      </c>
      <c r="B50" s="1161" t="s">
        <v>233</v>
      </c>
      <c r="C50" s="329" t="s">
        <v>131</v>
      </c>
      <c r="D50" s="52" t="s">
        <v>5</v>
      </c>
      <c r="E50" s="1713" t="s">
        <v>1435</v>
      </c>
      <c r="F50" s="1713" t="s">
        <v>1314</v>
      </c>
      <c r="G50" s="1532"/>
      <c r="H50" s="102"/>
      <c r="I50" s="303">
        <f>'XM.FILE GOC'!I50</f>
        <v>0</v>
      </c>
      <c r="J50" s="47"/>
      <c r="K50" s="43"/>
      <c r="L50" s="44"/>
      <c r="M50" s="237"/>
      <c r="N50" s="103"/>
      <c r="O50" s="303">
        <f>'XM.FILE GOC'!O50</f>
        <v>0</v>
      </c>
      <c r="P50" s="47"/>
      <c r="Q50" s="43"/>
      <c r="R50" s="44"/>
      <c r="S50" s="237"/>
      <c r="T50" s="103"/>
      <c r="U50" s="303">
        <f>'XM.FILE GOC'!U50</f>
        <v>0</v>
      </c>
      <c r="V50" s="47"/>
      <c r="W50" s="43"/>
      <c r="X50" s="44"/>
      <c r="Y50" s="237"/>
      <c r="Z50" s="103"/>
      <c r="AA50" s="303">
        <f>'XM.FILE GOC'!AA50</f>
        <v>0</v>
      </c>
      <c r="AB50" s="47"/>
      <c r="AC50" s="43"/>
      <c r="AD50" s="44"/>
      <c r="AE50" s="237"/>
      <c r="AF50" s="103"/>
      <c r="AG50" s="303">
        <f>'XM.FILE GOC'!AG50</f>
        <v>0</v>
      </c>
      <c r="AH50" s="47"/>
      <c r="AI50" s="43"/>
      <c r="AJ50" s="44"/>
      <c r="AK50" s="237"/>
      <c r="AL50" s="103"/>
      <c r="AM50" s="303">
        <f>'XM.FILE GOC'!AM50</f>
        <v>0</v>
      </c>
      <c r="AN50" s="47"/>
      <c r="AO50" s="43"/>
      <c r="AP50" s="1125"/>
      <c r="AQ50" s="45"/>
    </row>
    <row r="51" spans="1:50" s="224" customFormat="1" ht="54" customHeight="1">
      <c r="A51" s="319" t="s">
        <v>76</v>
      </c>
      <c r="B51" s="320"/>
      <c r="C51" s="320"/>
      <c r="D51" s="320"/>
      <c r="E51" s="1717"/>
      <c r="F51" s="1717"/>
      <c r="G51" s="1522"/>
      <c r="H51" s="320"/>
      <c r="I51" s="320"/>
      <c r="J51" s="320"/>
      <c r="K51" s="320"/>
      <c r="L51" s="320"/>
      <c r="M51" s="320"/>
      <c r="N51" s="320"/>
      <c r="O51" s="321"/>
      <c r="P51" s="320"/>
      <c r="Q51" s="320"/>
      <c r="R51" s="320"/>
      <c r="S51" s="321"/>
      <c r="T51" s="320"/>
      <c r="U51" s="321"/>
      <c r="V51" s="320"/>
      <c r="W51" s="320"/>
      <c r="X51" s="320"/>
      <c r="Y51" s="320"/>
      <c r="Z51" s="320"/>
      <c r="AA51" s="320"/>
      <c r="AB51" s="320"/>
      <c r="AC51" s="320"/>
      <c r="AD51" s="320"/>
      <c r="AE51" s="320"/>
      <c r="AF51" s="321"/>
      <c r="AG51" s="321"/>
      <c r="AH51" s="321"/>
      <c r="AI51" s="321"/>
      <c r="AJ51" s="321"/>
      <c r="AK51" s="321"/>
      <c r="AL51" s="321"/>
      <c r="AM51" s="321"/>
      <c r="AN51" s="321"/>
      <c r="AO51" s="321"/>
      <c r="AP51" s="321"/>
      <c r="AQ51" s="1123"/>
      <c r="AS51" s="292"/>
      <c r="AT51" s="292"/>
      <c r="AU51" s="292"/>
      <c r="AV51" s="292"/>
      <c r="AW51" s="292"/>
      <c r="AX51" s="292"/>
    </row>
    <row r="52" spans="1:50" ht="44.25" customHeight="1">
      <c r="A52" s="1165" t="s">
        <v>267</v>
      </c>
      <c r="B52" s="1160" t="s">
        <v>350</v>
      </c>
      <c r="C52" s="1158" t="s">
        <v>64</v>
      </c>
      <c r="D52" s="1158" t="s">
        <v>66</v>
      </c>
      <c r="E52" s="1712" t="s">
        <v>1443</v>
      </c>
      <c r="F52" s="1712" t="s">
        <v>1412</v>
      </c>
      <c r="G52" s="1536"/>
      <c r="H52" s="105"/>
      <c r="I52" s="313" t="s">
        <v>48</v>
      </c>
      <c r="J52" s="314"/>
      <c r="K52" s="314"/>
      <c r="L52" s="313" t="s">
        <v>65</v>
      </c>
      <c r="M52" s="330"/>
      <c r="N52" s="311"/>
      <c r="O52" s="313" t="s">
        <v>48</v>
      </c>
      <c r="P52" s="314"/>
      <c r="Q52" s="314"/>
      <c r="R52" s="313" t="s">
        <v>65</v>
      </c>
      <c r="S52" s="330"/>
      <c r="T52" s="313"/>
      <c r="U52" s="313" t="s">
        <v>48</v>
      </c>
      <c r="V52" s="314"/>
      <c r="W52" s="314"/>
      <c r="X52" s="313" t="s">
        <v>65</v>
      </c>
      <c r="Y52" s="330"/>
      <c r="Z52" s="107"/>
      <c r="AA52" s="313" t="s">
        <v>48</v>
      </c>
      <c r="AB52" s="314"/>
      <c r="AC52" s="314"/>
      <c r="AD52" s="313" t="s">
        <v>65</v>
      </c>
      <c r="AE52" s="330"/>
      <c r="AF52" s="107"/>
      <c r="AG52" s="313" t="s">
        <v>48</v>
      </c>
      <c r="AH52" s="314"/>
      <c r="AI52" s="314"/>
      <c r="AJ52" s="313" t="s">
        <v>65</v>
      </c>
      <c r="AK52" s="330"/>
      <c r="AL52" s="107"/>
      <c r="AM52" s="313" t="s">
        <v>48</v>
      </c>
      <c r="AN52" s="314"/>
      <c r="AO52" s="314"/>
      <c r="AP52" s="313" t="s">
        <v>65</v>
      </c>
      <c r="AQ52" s="330"/>
    </row>
    <row r="53" spans="1:50" ht="38.25" customHeight="1">
      <c r="A53" s="1161" t="s">
        <v>305</v>
      </c>
      <c r="B53" s="1161" t="s">
        <v>233</v>
      </c>
      <c r="C53" s="1158" t="s">
        <v>68</v>
      </c>
      <c r="D53" s="110" t="s">
        <v>113</v>
      </c>
      <c r="E53" s="1715" t="s">
        <v>1500</v>
      </c>
      <c r="F53" s="1715" t="s">
        <v>1448</v>
      </c>
      <c r="G53" s="1523"/>
      <c r="H53" s="111"/>
      <c r="I53" s="2088">
        <f>'XM.FILE GOC'!I53</f>
        <v>0</v>
      </c>
      <c r="J53" s="2089"/>
      <c r="K53" s="2090"/>
      <c r="L53" s="2088">
        <f>'XM.FILE GOC'!L53</f>
        <v>0</v>
      </c>
      <c r="M53" s="2089"/>
      <c r="N53" s="2090"/>
      <c r="O53" s="2088">
        <f>'XM.FILE GOC'!O53</f>
        <v>0</v>
      </c>
      <c r="P53" s="2089"/>
      <c r="Q53" s="2090"/>
      <c r="R53" s="2088">
        <f>'XM.FILE GOC'!R53</f>
        <v>0</v>
      </c>
      <c r="S53" s="2089"/>
      <c r="T53" s="2090"/>
      <c r="U53" s="2088">
        <f>'XM.FILE GOC'!U53</f>
        <v>0</v>
      </c>
      <c r="V53" s="2089"/>
      <c r="W53" s="2090"/>
      <c r="X53" s="2088">
        <f>'XM.FILE GOC'!X53</f>
        <v>0</v>
      </c>
      <c r="Y53" s="2089"/>
      <c r="Z53" s="2090"/>
      <c r="AA53" s="2088">
        <f>'XM.FILE GOC'!AA53</f>
        <v>0</v>
      </c>
      <c r="AB53" s="2089"/>
      <c r="AC53" s="2090"/>
      <c r="AD53" s="2088">
        <f>'XM.FILE GOC'!AD53</f>
        <v>0</v>
      </c>
      <c r="AE53" s="2089"/>
      <c r="AF53" s="2090"/>
      <c r="AG53" s="2088">
        <f>'XM.FILE GOC'!AG53</f>
        <v>0</v>
      </c>
      <c r="AH53" s="2089"/>
      <c r="AI53" s="2090"/>
      <c r="AJ53" s="2088">
        <f>'XM.FILE GOC'!AJ53</f>
        <v>0</v>
      </c>
      <c r="AK53" s="2089"/>
      <c r="AL53" s="2090"/>
      <c r="AM53" s="2088">
        <f>'XM.FILE GOC'!AM53</f>
        <v>0</v>
      </c>
      <c r="AN53" s="2089"/>
      <c r="AO53" s="2090"/>
      <c r="AP53" s="2088">
        <f>'XM.FILE GOC'!AP53</f>
        <v>0</v>
      </c>
      <c r="AQ53" s="2090"/>
    </row>
    <row r="54" spans="1:50" ht="38.25" customHeight="1">
      <c r="A54" s="1161" t="s">
        <v>306</v>
      </c>
      <c r="B54" s="1161" t="s">
        <v>233</v>
      </c>
      <c r="C54" s="1145" t="s">
        <v>69</v>
      </c>
      <c r="D54" s="110" t="s">
        <v>113</v>
      </c>
      <c r="E54" s="1715" t="s">
        <v>1500</v>
      </c>
      <c r="F54" s="1715" t="s">
        <v>1448</v>
      </c>
      <c r="G54" s="1523"/>
      <c r="H54" s="111"/>
      <c r="I54" s="2088">
        <f>'XM.FILE GOC'!I54</f>
        <v>0</v>
      </c>
      <c r="J54" s="2089"/>
      <c r="K54" s="2090"/>
      <c r="L54" s="2088">
        <f>'XM.FILE GOC'!L54</f>
        <v>0</v>
      </c>
      <c r="M54" s="2089"/>
      <c r="N54" s="2090"/>
      <c r="O54" s="2088">
        <f>'XM.FILE GOC'!O54</f>
        <v>0</v>
      </c>
      <c r="P54" s="2089"/>
      <c r="Q54" s="2090"/>
      <c r="R54" s="2088">
        <f>'XM.FILE GOC'!R54</f>
        <v>0</v>
      </c>
      <c r="S54" s="2089"/>
      <c r="T54" s="2090"/>
      <c r="U54" s="2088">
        <f>'XM.FILE GOC'!U54</f>
        <v>0</v>
      </c>
      <c r="V54" s="2089"/>
      <c r="W54" s="2090"/>
      <c r="X54" s="2088">
        <f>'XM.FILE GOC'!X54</f>
        <v>0</v>
      </c>
      <c r="Y54" s="2089"/>
      <c r="Z54" s="2090"/>
      <c r="AA54" s="2088">
        <f>'XM.FILE GOC'!AA54</f>
        <v>0</v>
      </c>
      <c r="AB54" s="2089"/>
      <c r="AC54" s="2090"/>
      <c r="AD54" s="2088">
        <f>'XM.FILE GOC'!AD54</f>
        <v>0</v>
      </c>
      <c r="AE54" s="2089"/>
      <c r="AF54" s="2090"/>
      <c r="AG54" s="2088">
        <f>'XM.FILE GOC'!AG54</f>
        <v>0</v>
      </c>
      <c r="AH54" s="2089"/>
      <c r="AI54" s="2090"/>
      <c r="AJ54" s="2088">
        <f>'XM.FILE GOC'!AJ54</f>
        <v>0</v>
      </c>
      <c r="AK54" s="2089"/>
      <c r="AL54" s="2090"/>
      <c r="AM54" s="2088">
        <f>'XM.FILE GOC'!AM54</f>
        <v>0</v>
      </c>
      <c r="AN54" s="2089"/>
      <c r="AO54" s="2090"/>
      <c r="AP54" s="2088">
        <f>'XM.FILE GOC'!AP54</f>
        <v>0</v>
      </c>
      <c r="AQ54" s="2090"/>
    </row>
    <row r="55" spans="1:50" ht="38.25" customHeight="1">
      <c r="A55" s="1161" t="s">
        <v>307</v>
      </c>
      <c r="B55" s="1161" t="s">
        <v>233</v>
      </c>
      <c r="C55" s="1145" t="s">
        <v>71</v>
      </c>
      <c r="D55" s="110" t="s">
        <v>113</v>
      </c>
      <c r="E55" s="1715" t="s">
        <v>1500</v>
      </c>
      <c r="F55" s="1715" t="s">
        <v>1448</v>
      </c>
      <c r="G55" s="1523"/>
      <c r="H55" s="111"/>
      <c r="I55" s="2088">
        <f>'XM.FILE GOC'!I55</f>
        <v>0</v>
      </c>
      <c r="J55" s="2089"/>
      <c r="K55" s="2090"/>
      <c r="L55" s="2088">
        <f>'XM.FILE GOC'!L55</f>
        <v>0</v>
      </c>
      <c r="M55" s="2089"/>
      <c r="N55" s="2090"/>
      <c r="O55" s="2088">
        <f>'XM.FILE GOC'!O55</f>
        <v>0</v>
      </c>
      <c r="P55" s="2089"/>
      <c r="Q55" s="2090"/>
      <c r="R55" s="2088">
        <f>'XM.FILE GOC'!R55</f>
        <v>0</v>
      </c>
      <c r="S55" s="2089"/>
      <c r="T55" s="2090"/>
      <c r="U55" s="2088">
        <f>'XM.FILE GOC'!U55</f>
        <v>0</v>
      </c>
      <c r="V55" s="2089"/>
      <c r="W55" s="2090"/>
      <c r="X55" s="2088">
        <f>'XM.FILE GOC'!X55</f>
        <v>0</v>
      </c>
      <c r="Y55" s="2089"/>
      <c r="Z55" s="2090"/>
      <c r="AA55" s="2088">
        <f>'XM.FILE GOC'!AA55</f>
        <v>0</v>
      </c>
      <c r="AB55" s="2089"/>
      <c r="AC55" s="2090"/>
      <c r="AD55" s="2088">
        <f>'XM.FILE GOC'!AD55</f>
        <v>0</v>
      </c>
      <c r="AE55" s="2089"/>
      <c r="AF55" s="2090"/>
      <c r="AG55" s="2088">
        <f>'XM.FILE GOC'!AG55</f>
        <v>0</v>
      </c>
      <c r="AH55" s="2089"/>
      <c r="AI55" s="2090"/>
      <c r="AJ55" s="2088">
        <f>'XM.FILE GOC'!AJ55</f>
        <v>0</v>
      </c>
      <c r="AK55" s="2089"/>
      <c r="AL55" s="2090"/>
      <c r="AM55" s="2088">
        <f>'XM.FILE GOC'!AM55</f>
        <v>0</v>
      </c>
      <c r="AN55" s="2089"/>
      <c r="AO55" s="2090"/>
      <c r="AP55" s="2088">
        <f>'XM.FILE GOC'!AP55</f>
        <v>0</v>
      </c>
      <c r="AQ55" s="2090"/>
    </row>
    <row r="56" spans="1:50" ht="38.25" customHeight="1">
      <c r="A56" s="1161" t="s">
        <v>308</v>
      </c>
      <c r="B56" s="1161" t="s">
        <v>233</v>
      </c>
      <c r="C56" s="1145" t="s">
        <v>70</v>
      </c>
      <c r="D56" s="110" t="s">
        <v>113</v>
      </c>
      <c r="E56" s="1715" t="s">
        <v>1500</v>
      </c>
      <c r="F56" s="1715" t="s">
        <v>1448</v>
      </c>
      <c r="G56" s="1523"/>
      <c r="H56" s="111"/>
      <c r="I56" s="2088">
        <f>'XM.FILE GOC'!I56</f>
        <v>0</v>
      </c>
      <c r="J56" s="2089"/>
      <c r="K56" s="2090"/>
      <c r="L56" s="2088">
        <f>'XM.FILE GOC'!L56</f>
        <v>0</v>
      </c>
      <c r="M56" s="2089"/>
      <c r="N56" s="2090"/>
      <c r="O56" s="2088">
        <f>'XM.FILE GOC'!O56</f>
        <v>0</v>
      </c>
      <c r="P56" s="2089"/>
      <c r="Q56" s="2090"/>
      <c r="R56" s="2088">
        <f>'XM.FILE GOC'!R56</f>
        <v>0</v>
      </c>
      <c r="S56" s="2089"/>
      <c r="T56" s="2090"/>
      <c r="U56" s="2088">
        <f>'XM.FILE GOC'!U56</f>
        <v>0</v>
      </c>
      <c r="V56" s="2089"/>
      <c r="W56" s="2090"/>
      <c r="X56" s="2088">
        <f>'XM.FILE GOC'!X56</f>
        <v>0</v>
      </c>
      <c r="Y56" s="2089"/>
      <c r="Z56" s="2090"/>
      <c r="AA56" s="2088">
        <f>'XM.FILE GOC'!AA56</f>
        <v>0</v>
      </c>
      <c r="AB56" s="2089"/>
      <c r="AC56" s="2090"/>
      <c r="AD56" s="2088">
        <f>'XM.FILE GOC'!AD56</f>
        <v>0</v>
      </c>
      <c r="AE56" s="2089"/>
      <c r="AF56" s="2090"/>
      <c r="AG56" s="2088">
        <f>'XM.FILE GOC'!AG56</f>
        <v>0</v>
      </c>
      <c r="AH56" s="2089"/>
      <c r="AI56" s="2090"/>
      <c r="AJ56" s="2088">
        <f>'XM.FILE GOC'!AJ56</f>
        <v>0</v>
      </c>
      <c r="AK56" s="2089"/>
      <c r="AL56" s="2090"/>
      <c r="AM56" s="2088">
        <f>'XM.FILE GOC'!AM56</f>
        <v>0</v>
      </c>
      <c r="AN56" s="2089"/>
      <c r="AO56" s="2090"/>
      <c r="AP56" s="2088">
        <f>'XM.FILE GOC'!AP56</f>
        <v>0</v>
      </c>
      <c r="AQ56" s="2090"/>
    </row>
    <row r="57" spans="1:50" ht="38.25" customHeight="1">
      <c r="A57" s="1161" t="s">
        <v>347</v>
      </c>
      <c r="B57" s="1161" t="s">
        <v>233</v>
      </c>
      <c r="C57" s="1145" t="s">
        <v>72</v>
      </c>
      <c r="D57" s="110" t="s">
        <v>113</v>
      </c>
      <c r="E57" s="1724" t="s">
        <v>1503</v>
      </c>
      <c r="F57" s="1724" t="s">
        <v>1449</v>
      </c>
      <c r="G57" s="1523"/>
      <c r="H57" s="111"/>
      <c r="I57" s="2088">
        <f>'XM.FILE GOC'!I57</f>
        <v>0</v>
      </c>
      <c r="J57" s="2089"/>
      <c r="K57" s="2090"/>
      <c r="L57" s="2088">
        <f>'XM.FILE GOC'!L57</f>
        <v>0</v>
      </c>
      <c r="M57" s="2089"/>
      <c r="N57" s="2090"/>
      <c r="O57" s="2088">
        <f>'XM.FILE GOC'!O57</f>
        <v>0</v>
      </c>
      <c r="P57" s="2089"/>
      <c r="Q57" s="2090"/>
      <c r="R57" s="2088">
        <f>'XM.FILE GOC'!R57</f>
        <v>0</v>
      </c>
      <c r="S57" s="2089"/>
      <c r="T57" s="2090"/>
      <c r="U57" s="2088">
        <f>'XM.FILE GOC'!U57</f>
        <v>0</v>
      </c>
      <c r="V57" s="2089"/>
      <c r="W57" s="2090"/>
      <c r="X57" s="2088">
        <f>'XM.FILE GOC'!X57</f>
        <v>0</v>
      </c>
      <c r="Y57" s="2089"/>
      <c r="Z57" s="2090"/>
      <c r="AA57" s="2088">
        <f>'XM.FILE GOC'!AA57</f>
        <v>0</v>
      </c>
      <c r="AB57" s="2089"/>
      <c r="AC57" s="2090"/>
      <c r="AD57" s="2088">
        <f>'XM.FILE GOC'!AD57</f>
        <v>0</v>
      </c>
      <c r="AE57" s="2089"/>
      <c r="AF57" s="2090"/>
      <c r="AG57" s="2088">
        <f>'XM.FILE GOC'!AG57</f>
        <v>0</v>
      </c>
      <c r="AH57" s="2089"/>
      <c r="AI57" s="2090"/>
      <c r="AJ57" s="2088">
        <f>'XM.FILE GOC'!AJ57</f>
        <v>0</v>
      </c>
      <c r="AK57" s="2089"/>
      <c r="AL57" s="2090"/>
      <c r="AM57" s="2088">
        <f>'XM.FILE GOC'!AM57</f>
        <v>0</v>
      </c>
      <c r="AN57" s="2089"/>
      <c r="AO57" s="2090"/>
      <c r="AP57" s="2088">
        <f>'XM.FILE GOC'!AP57</f>
        <v>0</v>
      </c>
      <c r="AQ57" s="2090"/>
    </row>
    <row r="58" spans="1:50" ht="38.25" customHeight="1">
      <c r="A58" s="308" t="s">
        <v>309</v>
      </c>
      <c r="B58" s="1161" t="s">
        <v>233</v>
      </c>
      <c r="C58" s="1145" t="s">
        <v>163</v>
      </c>
      <c r="D58" s="110" t="s">
        <v>113</v>
      </c>
      <c r="E58" s="1724" t="s">
        <v>1504</v>
      </c>
      <c r="F58" s="1724" t="s">
        <v>1450</v>
      </c>
      <c r="G58" s="1523"/>
      <c r="H58" s="111"/>
      <c r="I58" s="2088">
        <f>'XM.FILE GOC'!I58</f>
        <v>0</v>
      </c>
      <c r="J58" s="2089"/>
      <c r="K58" s="2090"/>
      <c r="L58" s="2088">
        <f>'XM.FILE GOC'!L58</f>
        <v>0</v>
      </c>
      <c r="M58" s="2089"/>
      <c r="N58" s="2090"/>
      <c r="O58" s="2088">
        <f>'XM.FILE GOC'!O58</f>
        <v>0</v>
      </c>
      <c r="P58" s="2089"/>
      <c r="Q58" s="2090"/>
      <c r="R58" s="2088">
        <f>'XM.FILE GOC'!R58</f>
        <v>0</v>
      </c>
      <c r="S58" s="2089"/>
      <c r="T58" s="2090"/>
      <c r="U58" s="2088">
        <f>'XM.FILE GOC'!U58</f>
        <v>0</v>
      </c>
      <c r="V58" s="2089"/>
      <c r="W58" s="2090"/>
      <c r="X58" s="2088">
        <f>'XM.FILE GOC'!X58</f>
        <v>0</v>
      </c>
      <c r="Y58" s="2089"/>
      <c r="Z58" s="2090"/>
      <c r="AA58" s="2088">
        <f>'XM.FILE GOC'!AA58</f>
        <v>0</v>
      </c>
      <c r="AB58" s="2089"/>
      <c r="AC58" s="2090"/>
      <c r="AD58" s="2088">
        <f>'XM.FILE GOC'!AD58</f>
        <v>0</v>
      </c>
      <c r="AE58" s="2089"/>
      <c r="AF58" s="2090"/>
      <c r="AG58" s="2088">
        <f>'XM.FILE GOC'!AG58</f>
        <v>0</v>
      </c>
      <c r="AH58" s="2089"/>
      <c r="AI58" s="2090"/>
      <c r="AJ58" s="2088">
        <f>'XM.FILE GOC'!AJ58</f>
        <v>0</v>
      </c>
      <c r="AK58" s="2089"/>
      <c r="AL58" s="2090"/>
      <c r="AM58" s="2088">
        <f>'XM.FILE GOC'!AM58</f>
        <v>0</v>
      </c>
      <c r="AN58" s="2089"/>
      <c r="AO58" s="2090"/>
      <c r="AP58" s="2088">
        <f>'XM.FILE GOC'!AP58</f>
        <v>0</v>
      </c>
      <c r="AQ58" s="2090"/>
    </row>
    <row r="59" spans="1:50" ht="38.25" customHeight="1">
      <c r="A59" s="308" t="s">
        <v>310</v>
      </c>
      <c r="B59" s="1161" t="s">
        <v>233</v>
      </c>
      <c r="C59" s="1145" t="s">
        <v>73</v>
      </c>
      <c r="D59" s="110" t="s">
        <v>113</v>
      </c>
      <c r="E59" s="1724" t="s">
        <v>1499</v>
      </c>
      <c r="F59" s="1724" t="s">
        <v>1451</v>
      </c>
      <c r="G59" s="1523"/>
      <c r="H59" s="111"/>
      <c r="I59" s="2088">
        <f>'XM.FILE GOC'!I59</f>
        <v>0</v>
      </c>
      <c r="J59" s="2089"/>
      <c r="K59" s="2090"/>
      <c r="L59" s="2088">
        <f>'XM.FILE GOC'!L59</f>
        <v>0</v>
      </c>
      <c r="M59" s="2089"/>
      <c r="N59" s="2090"/>
      <c r="O59" s="2088">
        <f>'XM.FILE GOC'!O59</f>
        <v>0</v>
      </c>
      <c r="P59" s="2089"/>
      <c r="Q59" s="2090"/>
      <c r="R59" s="2088">
        <f>'XM.FILE GOC'!R59</f>
        <v>0</v>
      </c>
      <c r="S59" s="2089"/>
      <c r="T59" s="2090"/>
      <c r="U59" s="2088">
        <f>'XM.FILE GOC'!U59</f>
        <v>0</v>
      </c>
      <c r="V59" s="2089"/>
      <c r="W59" s="2090"/>
      <c r="X59" s="2088">
        <f>'XM.FILE GOC'!X59</f>
        <v>0</v>
      </c>
      <c r="Y59" s="2089"/>
      <c r="Z59" s="2090"/>
      <c r="AA59" s="2088">
        <f>'XM.FILE GOC'!AA59</f>
        <v>0</v>
      </c>
      <c r="AB59" s="2089"/>
      <c r="AC59" s="2090"/>
      <c r="AD59" s="2088">
        <f>'XM.FILE GOC'!AD59</f>
        <v>0</v>
      </c>
      <c r="AE59" s="2089"/>
      <c r="AF59" s="2090"/>
      <c r="AG59" s="2088">
        <f>'XM.FILE GOC'!AG59</f>
        <v>0</v>
      </c>
      <c r="AH59" s="2089"/>
      <c r="AI59" s="2090"/>
      <c r="AJ59" s="2088">
        <f>'XM.FILE GOC'!AJ59</f>
        <v>0</v>
      </c>
      <c r="AK59" s="2089"/>
      <c r="AL59" s="2090"/>
      <c r="AM59" s="2088">
        <f>'XM.FILE GOC'!AM59</f>
        <v>0</v>
      </c>
      <c r="AN59" s="2089"/>
      <c r="AO59" s="2090"/>
      <c r="AP59" s="2088">
        <f>'XM.FILE GOC'!AP59</f>
        <v>0</v>
      </c>
      <c r="AQ59" s="2090"/>
    </row>
    <row r="60" spans="1:50" ht="38.25" customHeight="1">
      <c r="A60" s="52" t="s">
        <v>311</v>
      </c>
      <c r="B60" s="1161" t="s">
        <v>233</v>
      </c>
      <c r="C60" s="1145" t="s">
        <v>74</v>
      </c>
      <c r="D60" s="110" t="s">
        <v>113</v>
      </c>
      <c r="E60" s="1724" t="s">
        <v>1496</v>
      </c>
      <c r="F60" s="1724" t="s">
        <v>1452</v>
      </c>
      <c r="G60" s="1523"/>
      <c r="H60" s="111"/>
      <c r="I60" s="2108"/>
      <c r="J60" s="2109"/>
      <c r="K60" s="2110"/>
      <c r="L60" s="2088">
        <f>'XM.FILE GOC'!L60</f>
        <v>0</v>
      </c>
      <c r="M60" s="2089"/>
      <c r="N60" s="2090"/>
      <c r="O60" s="2108"/>
      <c r="P60" s="2109"/>
      <c r="Q60" s="2110"/>
      <c r="R60" s="2088">
        <f>'XM.FILE GOC'!R60</f>
        <v>0</v>
      </c>
      <c r="S60" s="2089"/>
      <c r="T60" s="2090"/>
      <c r="U60" s="2108"/>
      <c r="V60" s="2109"/>
      <c r="W60" s="2110"/>
      <c r="X60" s="2088">
        <f>'XM.FILE GOC'!X60</f>
        <v>0</v>
      </c>
      <c r="Y60" s="2089"/>
      <c r="Z60" s="2090"/>
      <c r="AA60" s="2108"/>
      <c r="AB60" s="2109"/>
      <c r="AC60" s="2110"/>
      <c r="AD60" s="2088">
        <f>'XM.FILE GOC'!AD60</f>
        <v>0</v>
      </c>
      <c r="AE60" s="2089"/>
      <c r="AF60" s="2090"/>
      <c r="AG60" s="2108"/>
      <c r="AH60" s="2109"/>
      <c r="AI60" s="2110"/>
      <c r="AJ60" s="2088">
        <f>'XM.FILE GOC'!AJ60</f>
        <v>0</v>
      </c>
      <c r="AK60" s="2089"/>
      <c r="AL60" s="2090"/>
      <c r="AM60" s="2108"/>
      <c r="AN60" s="2109"/>
      <c r="AO60" s="2110"/>
      <c r="AP60" s="2088">
        <f>'XM.FILE GOC'!AP60</f>
        <v>0</v>
      </c>
      <c r="AQ60" s="2090"/>
    </row>
    <row r="61" spans="1:50" s="224" customFormat="1" ht="54" customHeight="1">
      <c r="A61" s="319" t="s">
        <v>78</v>
      </c>
      <c r="B61" s="320"/>
      <c r="C61" s="320"/>
      <c r="D61" s="320"/>
      <c r="E61" s="1717"/>
      <c r="F61" s="1717"/>
      <c r="G61" s="1522"/>
      <c r="H61" s="320"/>
      <c r="I61" s="320"/>
      <c r="J61" s="320"/>
      <c r="K61" s="320"/>
      <c r="L61" s="320"/>
      <c r="M61" s="320"/>
      <c r="N61" s="320"/>
      <c r="O61" s="321"/>
      <c r="P61" s="320"/>
      <c r="Q61" s="320"/>
      <c r="R61" s="320"/>
      <c r="S61" s="321"/>
      <c r="T61" s="320"/>
      <c r="U61" s="321"/>
      <c r="V61" s="320"/>
      <c r="W61" s="320"/>
      <c r="X61" s="320"/>
      <c r="Y61" s="320"/>
      <c r="Z61" s="320"/>
      <c r="AA61" s="320"/>
      <c r="AB61" s="320"/>
      <c r="AC61" s="320"/>
      <c r="AD61" s="320"/>
      <c r="AE61" s="320"/>
      <c r="AF61" s="321"/>
      <c r="AG61" s="321"/>
      <c r="AH61" s="321"/>
      <c r="AI61" s="321"/>
      <c r="AJ61" s="321"/>
      <c r="AK61" s="321"/>
      <c r="AL61" s="321"/>
      <c r="AM61" s="321"/>
      <c r="AN61" s="321"/>
      <c r="AO61" s="321"/>
      <c r="AP61" s="321"/>
      <c r="AQ61" s="1123"/>
      <c r="AS61" s="292"/>
      <c r="AT61" s="292"/>
      <c r="AU61" s="292"/>
      <c r="AV61" s="292"/>
      <c r="AW61" s="292"/>
      <c r="AX61" s="292"/>
    </row>
    <row r="62" spans="1:50" ht="41.25" customHeight="1">
      <c r="A62" s="308" t="s">
        <v>312</v>
      </c>
      <c r="B62" s="1161" t="s">
        <v>233</v>
      </c>
      <c r="C62" s="1162" t="s">
        <v>263</v>
      </c>
      <c r="D62" s="1126" t="s">
        <v>265</v>
      </c>
      <c r="E62" s="1719" t="s">
        <v>1404</v>
      </c>
      <c r="F62" s="1719" t="s">
        <v>1404</v>
      </c>
      <c r="G62" s="1521"/>
      <c r="H62" s="49"/>
      <c r="I62" s="2119">
        <f>'XM.FILE GOC'!I62</f>
        <v>0</v>
      </c>
      <c r="J62" s="2120"/>
      <c r="K62" s="2120"/>
      <c r="L62" s="2120"/>
      <c r="M62" s="2121"/>
      <c r="N62" s="1662"/>
      <c r="O62" s="2119">
        <f>'XM.FILE GOC'!O62</f>
        <v>0</v>
      </c>
      <c r="P62" s="2120"/>
      <c r="Q62" s="2120"/>
      <c r="R62" s="2120"/>
      <c r="S62" s="2121"/>
      <c r="T62" s="1820"/>
      <c r="U62" s="2119">
        <f>'XM.FILE GOC'!U62</f>
        <v>0</v>
      </c>
      <c r="V62" s="2120"/>
      <c r="W62" s="2120"/>
      <c r="X62" s="2120"/>
      <c r="Y62" s="2121"/>
      <c r="Z62" s="1821"/>
      <c r="AA62" s="2119">
        <f>'XM.FILE GOC'!AA62</f>
        <v>0</v>
      </c>
      <c r="AB62" s="2120"/>
      <c r="AC62" s="2120"/>
      <c r="AD62" s="2120"/>
      <c r="AE62" s="2121"/>
      <c r="AF62" s="1822"/>
      <c r="AG62" s="2119">
        <f>'XM.FILE GOC'!AG62</f>
        <v>0</v>
      </c>
      <c r="AH62" s="2120"/>
      <c r="AI62" s="2120"/>
      <c r="AJ62" s="2120"/>
      <c r="AK62" s="2121"/>
      <c r="AL62" s="1822"/>
      <c r="AM62" s="2122">
        <f>'XM.FILE GOC'!AM62</f>
        <v>0</v>
      </c>
      <c r="AN62" s="2122"/>
      <c r="AO62" s="2122"/>
      <c r="AP62" s="2122"/>
      <c r="AQ62" s="2122"/>
    </row>
    <row r="63" spans="1:50" ht="41.25" customHeight="1">
      <c r="A63" s="52" t="s">
        <v>313</v>
      </c>
      <c r="B63" s="1161" t="s">
        <v>233</v>
      </c>
      <c r="C63" s="119" t="s">
        <v>264</v>
      </c>
      <c r="D63" s="1126" t="s">
        <v>265</v>
      </c>
      <c r="E63" s="1720" t="s">
        <v>1405</v>
      </c>
      <c r="F63" s="1720" t="s">
        <v>1405</v>
      </c>
      <c r="G63" s="1521"/>
      <c r="H63" s="49"/>
      <c r="I63" s="2119">
        <f>'XM.FILE GOC'!I63</f>
        <v>0</v>
      </c>
      <c r="J63" s="2120"/>
      <c r="K63" s="2120"/>
      <c r="L63" s="2120"/>
      <c r="M63" s="2121"/>
      <c r="N63" s="1818"/>
      <c r="O63" s="2119">
        <f>'XM.FILE GOC'!O63</f>
        <v>0</v>
      </c>
      <c r="P63" s="2120"/>
      <c r="Q63" s="2120"/>
      <c r="R63" s="2120"/>
      <c r="S63" s="2121"/>
      <c r="T63" s="1820">
        <f>'XM.FILE GOC'!U63</f>
        <v>0</v>
      </c>
      <c r="U63" s="2119">
        <f>'XM.FILE GOC'!U63</f>
        <v>0</v>
      </c>
      <c r="V63" s="2120"/>
      <c r="W63" s="2120"/>
      <c r="X63" s="2120"/>
      <c r="Y63" s="2121"/>
      <c r="Z63" s="1818"/>
      <c r="AA63" s="2119">
        <f>'XM.FILE GOC'!AA63</f>
        <v>0</v>
      </c>
      <c r="AB63" s="2120"/>
      <c r="AC63" s="2120"/>
      <c r="AD63" s="2120"/>
      <c r="AE63" s="2120"/>
      <c r="AF63" s="1812"/>
      <c r="AG63" s="2119">
        <f>'XM.FILE GOC'!AG63</f>
        <v>0</v>
      </c>
      <c r="AH63" s="2120"/>
      <c r="AI63" s="2120"/>
      <c r="AJ63" s="2120"/>
      <c r="AK63" s="2120"/>
      <c r="AL63" s="1812"/>
      <c r="AM63" s="2122">
        <f>'XM.FILE GOC'!AM63</f>
        <v>0</v>
      </c>
      <c r="AN63" s="2122"/>
      <c r="AO63" s="2122"/>
      <c r="AP63" s="2122"/>
      <c r="AQ63" s="2122"/>
    </row>
    <row r="64" spans="1:50" ht="26.25" customHeight="1">
      <c r="A64" s="293"/>
      <c r="B64" s="293"/>
      <c r="C64" s="293"/>
      <c r="D64" s="293"/>
      <c r="E64" s="1725"/>
      <c r="F64" s="1726"/>
      <c r="G64" s="1524"/>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93"/>
      <c r="AH64" s="293"/>
      <c r="AI64" s="293"/>
      <c r="AJ64" s="293"/>
      <c r="AK64" s="293"/>
      <c r="AL64" s="293"/>
      <c r="AM64" s="293"/>
      <c r="AN64" s="293"/>
      <c r="AO64" s="293"/>
      <c r="AP64" s="293"/>
      <c r="AQ64" s="293"/>
    </row>
    <row r="65" spans="1:58" ht="41.25" customHeight="1">
      <c r="A65" s="1182" t="s">
        <v>56</v>
      </c>
      <c r="B65" s="1183"/>
      <c r="C65" s="1184"/>
      <c r="D65" s="1184"/>
      <c r="E65" s="1709"/>
      <c r="F65" s="1710"/>
      <c r="G65" s="1528" t="s">
        <v>75</v>
      </c>
      <c r="H65" s="1185"/>
      <c r="I65" s="1186"/>
      <c r="J65" s="1185"/>
      <c r="K65" s="1185"/>
      <c r="L65" s="1187"/>
      <c r="M65" s="1187"/>
      <c r="N65" s="1187"/>
      <c r="O65" s="1187"/>
      <c r="P65" s="1187"/>
      <c r="Q65" s="1187"/>
      <c r="R65" s="1187"/>
      <c r="S65" s="1185"/>
      <c r="T65" s="1185"/>
      <c r="U65" s="1185"/>
      <c r="V65" s="1185"/>
      <c r="W65" s="1185"/>
      <c r="X65" s="1185"/>
      <c r="Y65" s="1185"/>
      <c r="Z65" s="1185"/>
      <c r="AA65" s="1185"/>
      <c r="AB65" s="1185"/>
      <c r="AC65" s="1185"/>
      <c r="AD65" s="1185"/>
      <c r="AE65" s="1185"/>
      <c r="AF65" s="1180"/>
      <c r="AG65" s="1183" t="s">
        <v>56</v>
      </c>
      <c r="AH65" s="1188"/>
      <c r="AI65" s="1188"/>
      <c r="AJ65" s="1188"/>
      <c r="AK65" s="1188"/>
      <c r="AL65" s="1188"/>
      <c r="AM65" s="1188"/>
      <c r="AN65" s="1188"/>
      <c r="AO65" s="1188"/>
      <c r="AP65" s="1188"/>
      <c r="AQ65" s="1189"/>
      <c r="AS65" s="1177" t="s">
        <v>1094</v>
      </c>
      <c r="AT65" s="1177"/>
      <c r="AU65" s="1177"/>
      <c r="AV65" s="1177"/>
      <c r="AW65" s="1177"/>
      <c r="AX65" s="1177"/>
      <c r="AY65" s="1177"/>
      <c r="AZ65" s="1177"/>
      <c r="BA65" s="1177"/>
      <c r="BB65" s="1177"/>
      <c r="BC65" s="1177"/>
      <c r="BD65" s="1177"/>
      <c r="BE65" s="1177"/>
      <c r="BF65" s="1177"/>
    </row>
    <row r="66" spans="1:58" ht="36.75" customHeight="1">
      <c r="A66" s="1157"/>
      <c r="B66" s="1157"/>
      <c r="C66" s="1157"/>
      <c r="D66" s="1157"/>
      <c r="E66" s="1723"/>
      <c r="F66" s="1723"/>
      <c r="G66" s="2373" t="s">
        <v>140</v>
      </c>
      <c r="H66" s="98"/>
      <c r="I66" s="298" t="s">
        <v>239</v>
      </c>
      <c r="J66" s="298"/>
      <c r="K66" s="298"/>
      <c r="L66" s="298"/>
      <c r="M66" s="298"/>
      <c r="N66" s="99"/>
      <c r="O66" s="315" t="s">
        <v>240</v>
      </c>
      <c r="P66" s="298"/>
      <c r="Q66" s="298"/>
      <c r="R66" s="298"/>
      <c r="S66" s="299"/>
      <c r="T66" s="298"/>
      <c r="U66" s="298" t="s">
        <v>241</v>
      </c>
      <c r="V66" s="298"/>
      <c r="W66" s="298"/>
      <c r="X66" s="298"/>
      <c r="Y66" s="298"/>
      <c r="Z66" s="99"/>
      <c r="AA66" s="315" t="s">
        <v>242</v>
      </c>
      <c r="AB66" s="298"/>
      <c r="AC66" s="298"/>
      <c r="AD66" s="298"/>
      <c r="AE66" s="299"/>
      <c r="AF66" s="298"/>
      <c r="AG66" s="298" t="s">
        <v>243</v>
      </c>
      <c r="AH66" s="298"/>
      <c r="AI66" s="298"/>
      <c r="AJ66" s="298"/>
      <c r="AK66" s="298"/>
      <c r="AL66" s="298"/>
      <c r="AM66" s="315" t="s">
        <v>244</v>
      </c>
      <c r="AN66" s="298"/>
      <c r="AO66" s="298"/>
      <c r="AP66" s="299"/>
      <c r="AQ66" s="1122"/>
      <c r="AS66" s="1177"/>
      <c r="AT66" s="1177"/>
      <c r="AU66" s="1177"/>
      <c r="AV66" s="1177"/>
      <c r="AW66" s="1177"/>
      <c r="AX66" s="1177"/>
      <c r="AY66" s="1177"/>
      <c r="AZ66" s="1177"/>
      <c r="BA66" s="1177"/>
      <c r="BB66" s="1177"/>
      <c r="BC66" s="1177"/>
      <c r="BD66" s="1177"/>
      <c r="BE66" s="1177"/>
      <c r="BF66" s="1177"/>
    </row>
    <row r="67" spans="1:58" ht="63.75" customHeight="1">
      <c r="A67" s="1160" t="s">
        <v>267</v>
      </c>
      <c r="B67" s="1160" t="s">
        <v>350</v>
      </c>
      <c r="C67" s="1164" t="s">
        <v>348</v>
      </c>
      <c r="D67" s="1160" t="s">
        <v>136</v>
      </c>
      <c r="E67" s="1712" t="s">
        <v>1443</v>
      </c>
      <c r="F67" s="1712" t="s">
        <v>1412</v>
      </c>
      <c r="G67" s="2374"/>
      <c r="H67" s="20"/>
      <c r="I67" s="1157" t="s">
        <v>145</v>
      </c>
      <c r="J67" s="34" t="s">
        <v>1</v>
      </c>
      <c r="K67" s="316" t="s">
        <v>1</v>
      </c>
      <c r="L67" s="316"/>
      <c r="M67" s="317"/>
      <c r="N67" s="100"/>
      <c r="O67" s="1157" t="s">
        <v>145</v>
      </c>
      <c r="P67" s="34" t="s">
        <v>1</v>
      </c>
      <c r="Q67" s="316" t="s">
        <v>1</v>
      </c>
      <c r="R67" s="316"/>
      <c r="S67" s="317"/>
      <c r="T67" s="20"/>
      <c r="U67" s="1157" t="s">
        <v>145</v>
      </c>
      <c r="V67" s="34" t="s">
        <v>1</v>
      </c>
      <c r="W67" s="316" t="s">
        <v>1</v>
      </c>
      <c r="X67" s="316"/>
      <c r="Y67" s="317"/>
      <c r="Z67" s="100"/>
      <c r="AA67" s="1157" t="s">
        <v>145</v>
      </c>
      <c r="AB67" s="34" t="s">
        <v>1</v>
      </c>
      <c r="AC67" s="316" t="s">
        <v>1</v>
      </c>
      <c r="AD67" s="316"/>
      <c r="AE67" s="317"/>
      <c r="AF67" s="100"/>
      <c r="AG67" s="1157" t="s">
        <v>145</v>
      </c>
      <c r="AH67" s="34" t="s">
        <v>1</v>
      </c>
      <c r="AI67" s="316" t="s">
        <v>1</v>
      </c>
      <c r="AJ67" s="316"/>
      <c r="AK67" s="317"/>
      <c r="AL67" s="100"/>
      <c r="AM67" s="1157" t="s">
        <v>145</v>
      </c>
      <c r="AN67" s="34" t="s">
        <v>1</v>
      </c>
      <c r="AO67" s="316" t="s">
        <v>1</v>
      </c>
      <c r="AP67" s="316"/>
      <c r="AQ67" s="317"/>
      <c r="AS67" s="1174" t="s">
        <v>1068</v>
      </c>
      <c r="AT67" s="1175" t="s">
        <v>1067</v>
      </c>
      <c r="AU67" s="1177"/>
      <c r="AV67" s="1177"/>
      <c r="AW67" s="1177"/>
      <c r="AX67" s="1177"/>
      <c r="AY67" s="1177"/>
      <c r="AZ67" s="1177"/>
      <c r="BA67" s="1177"/>
      <c r="BB67" s="1177"/>
      <c r="BC67" s="1177"/>
      <c r="BD67" s="1177"/>
      <c r="BE67" s="1177"/>
      <c r="BF67" s="1177"/>
    </row>
    <row r="68" spans="1:58" ht="33.75" customHeight="1">
      <c r="A68" s="1161" t="s">
        <v>314</v>
      </c>
      <c r="B68" s="1161" t="s">
        <v>143</v>
      </c>
      <c r="C68" s="52" t="s">
        <v>83</v>
      </c>
      <c r="D68" s="52" t="s">
        <v>4</v>
      </c>
      <c r="E68" s="1713" t="s">
        <v>1505</v>
      </c>
      <c r="F68" s="1713" t="s">
        <v>1472</v>
      </c>
      <c r="G68" s="1529">
        <v>50</v>
      </c>
      <c r="H68" s="103">
        <f>XM.HN!B35</f>
        <v>13.45</v>
      </c>
      <c r="I68" s="1657">
        <f>H68*6.49</f>
        <v>87.290499999999994</v>
      </c>
      <c r="J68" s="1759">
        <f>($G$68-I68)*15517/1000</f>
        <v>-578.63668849999988</v>
      </c>
      <c r="K68" s="1752" t="s">
        <v>8</v>
      </c>
      <c r="L68" s="1816">
        <f t="shared" ref="L68:L79" si="12">IF(I68=0,0,IF(J68&lt;0,0,J68))</f>
        <v>0</v>
      </c>
      <c r="M68" s="237" t="s">
        <v>9</v>
      </c>
      <c r="N68" s="1198">
        <f>XM.HN!C35</f>
        <v>0</v>
      </c>
      <c r="O68" s="1657">
        <f>N68*6.49</f>
        <v>0</v>
      </c>
      <c r="P68" s="1759">
        <f>($G$68-O68)*15517/1000</f>
        <v>775.85</v>
      </c>
      <c r="Q68" s="1752" t="s">
        <v>8</v>
      </c>
      <c r="R68" s="1816">
        <f t="shared" ref="R68:R79" si="13">IF(O68=0,0,IF(P68&lt;0,0,P68))</f>
        <v>0</v>
      </c>
      <c r="S68" s="237" t="s">
        <v>9</v>
      </c>
      <c r="T68" s="1105">
        <f>XM.HN!D35</f>
        <v>0</v>
      </c>
      <c r="U68" s="1657">
        <f>T68*6.49</f>
        <v>0</v>
      </c>
      <c r="V68" s="1759">
        <f>($G$68-U68)*15517/1000</f>
        <v>775.85</v>
      </c>
      <c r="W68" s="1752" t="s">
        <v>8</v>
      </c>
      <c r="X68" s="1816">
        <f t="shared" ref="X68:X79" si="14">IF(U68=0,0,IF(V68&lt;0,0,V68))</f>
        <v>0</v>
      </c>
      <c r="Y68" s="237" t="s">
        <v>9</v>
      </c>
      <c r="Z68" s="1198">
        <f>XM.HN!E35</f>
        <v>0</v>
      </c>
      <c r="AA68" s="1657">
        <f>Z68*6.49</f>
        <v>0</v>
      </c>
      <c r="AB68" s="1759">
        <f>($G$68-AA68)*15517/1000</f>
        <v>775.85</v>
      </c>
      <c r="AC68" s="1752" t="s">
        <v>8</v>
      </c>
      <c r="AD68" s="1816">
        <f t="shared" ref="AD68:AD79" si="15">IF(AA68=0,0,IF(AB68&lt;0,0,AB68))</f>
        <v>0</v>
      </c>
      <c r="AE68" s="237" t="s">
        <v>9</v>
      </c>
      <c r="AF68" s="1198">
        <f>XM.HN!F35</f>
        <v>0</v>
      </c>
      <c r="AG68" s="1657">
        <f>AF68*6.49</f>
        <v>0</v>
      </c>
      <c r="AH68" s="1759">
        <f>($G$68-AG68)*15517/1000</f>
        <v>775.85</v>
      </c>
      <c r="AI68" s="1752" t="s">
        <v>8</v>
      </c>
      <c r="AJ68" s="1816">
        <f t="shared" ref="AJ68:AJ79" si="16">IF(AG68=0,0,IF(AH68&lt;0,0,AH68))</f>
        <v>0</v>
      </c>
      <c r="AK68" s="237" t="s">
        <v>9</v>
      </c>
      <c r="AL68" s="1198">
        <f>XM.HN!G35</f>
        <v>0</v>
      </c>
      <c r="AM68" s="1657">
        <f>AL68*6.49</f>
        <v>0</v>
      </c>
      <c r="AN68" s="34">
        <f>($G$68-AM68)*15517/1000</f>
        <v>775.85</v>
      </c>
      <c r="AO68" s="37" t="s">
        <v>8</v>
      </c>
      <c r="AP68" s="1816">
        <f t="shared" ref="AP68:AP79" si="17">IF(AM68=0,0,IF(AN68&lt;0,0,AN68))</f>
        <v>0</v>
      </c>
      <c r="AQ68" s="39" t="s">
        <v>9</v>
      </c>
      <c r="AS68" s="1176" t="s">
        <v>1071</v>
      </c>
      <c r="AT68" s="2376" t="s">
        <v>1409</v>
      </c>
      <c r="AU68" s="1177"/>
      <c r="AV68" s="1177"/>
      <c r="AW68" s="1177"/>
      <c r="AX68" s="1177"/>
      <c r="AY68" s="1177"/>
      <c r="AZ68" s="1177"/>
      <c r="BA68" s="1177"/>
      <c r="BB68" s="1177"/>
      <c r="BC68" s="1177"/>
      <c r="BD68" s="1177"/>
      <c r="BE68" s="1177"/>
      <c r="BF68" s="1177"/>
    </row>
    <row r="69" spans="1:58" ht="33.75" customHeight="1">
      <c r="A69" s="1161" t="s">
        <v>315</v>
      </c>
      <c r="B69" s="1161" t="s">
        <v>143</v>
      </c>
      <c r="C69" s="52" t="s">
        <v>142</v>
      </c>
      <c r="D69" s="52" t="s">
        <v>4</v>
      </c>
      <c r="E69" s="1713" t="s">
        <v>1505</v>
      </c>
      <c r="F69" s="1713" t="s">
        <v>1472</v>
      </c>
      <c r="G69" s="1529">
        <v>50</v>
      </c>
      <c r="H69" s="103">
        <f>XM.HN!B36</f>
        <v>0</v>
      </c>
      <c r="I69" s="1657">
        <f>H69*6.49</f>
        <v>0</v>
      </c>
      <c r="J69" s="1759">
        <f>($G$69-I69)*11475/1000</f>
        <v>573.75</v>
      </c>
      <c r="K69" s="1752" t="s">
        <v>8</v>
      </c>
      <c r="L69" s="1816">
        <f t="shared" si="12"/>
        <v>0</v>
      </c>
      <c r="M69" s="237" t="s">
        <v>9</v>
      </c>
      <c r="N69" s="1198">
        <f>XM.HN!C36</f>
        <v>0</v>
      </c>
      <c r="O69" s="1657">
        <f>N69*6.49</f>
        <v>0</v>
      </c>
      <c r="P69" s="1759">
        <f>($G$69-O69)*11475/1000</f>
        <v>573.75</v>
      </c>
      <c r="Q69" s="1752" t="s">
        <v>8</v>
      </c>
      <c r="R69" s="1816">
        <f t="shared" si="13"/>
        <v>0</v>
      </c>
      <c r="S69" s="237" t="s">
        <v>9</v>
      </c>
      <c r="T69" s="1105">
        <f>XM.HN!D36</f>
        <v>0</v>
      </c>
      <c r="U69" s="1657">
        <f>T69*6.49</f>
        <v>0</v>
      </c>
      <c r="V69" s="1759">
        <f>($G$69-U69)*11475/1000</f>
        <v>573.75</v>
      </c>
      <c r="W69" s="1752" t="s">
        <v>8</v>
      </c>
      <c r="X69" s="1816">
        <f t="shared" si="14"/>
        <v>0</v>
      </c>
      <c r="Y69" s="237" t="s">
        <v>9</v>
      </c>
      <c r="Z69" s="1198">
        <f>XM.HN!E36</f>
        <v>0</v>
      </c>
      <c r="AA69" s="1657">
        <f>Z69*6.49</f>
        <v>0</v>
      </c>
      <c r="AB69" s="1759">
        <f>($G$69-AA69)*11475/1000</f>
        <v>573.75</v>
      </c>
      <c r="AC69" s="1752" t="s">
        <v>8</v>
      </c>
      <c r="AD69" s="1816">
        <f t="shared" si="15"/>
        <v>0</v>
      </c>
      <c r="AE69" s="237" t="s">
        <v>9</v>
      </c>
      <c r="AF69" s="1198">
        <f>XM.HN!F36</f>
        <v>0</v>
      </c>
      <c r="AG69" s="1657">
        <f>AF69*6.49</f>
        <v>0</v>
      </c>
      <c r="AH69" s="1759">
        <f>($G$69-AG69)*11475/1000</f>
        <v>573.75</v>
      </c>
      <c r="AI69" s="1752" t="s">
        <v>8</v>
      </c>
      <c r="AJ69" s="1816">
        <f t="shared" si="16"/>
        <v>0</v>
      </c>
      <c r="AK69" s="237" t="s">
        <v>9</v>
      </c>
      <c r="AL69" s="1198">
        <f>XM.HN!G36</f>
        <v>0</v>
      </c>
      <c r="AM69" s="1657">
        <f>AL69*6.49</f>
        <v>0</v>
      </c>
      <c r="AN69" s="35">
        <f>($G$69-AM69)*11475/1000</f>
        <v>573.75</v>
      </c>
      <c r="AO69" s="43" t="s">
        <v>8</v>
      </c>
      <c r="AP69" s="1816">
        <f t="shared" si="17"/>
        <v>0</v>
      </c>
      <c r="AQ69" s="45" t="s">
        <v>9</v>
      </c>
      <c r="AS69" s="1176" t="s">
        <v>1071</v>
      </c>
      <c r="AT69" s="2377"/>
      <c r="AU69" s="1177"/>
      <c r="AV69" s="1177"/>
      <c r="AW69" s="1177"/>
      <c r="AX69" s="1177"/>
      <c r="AY69" s="1177"/>
      <c r="AZ69" s="1177"/>
      <c r="BA69" s="1177"/>
      <c r="BB69" s="1177"/>
      <c r="BC69" s="1177"/>
      <c r="BD69" s="1177"/>
      <c r="BE69" s="1177"/>
      <c r="BF69" s="1177"/>
    </row>
    <row r="70" spans="1:58" ht="33.75" customHeight="1">
      <c r="A70" s="1161" t="s">
        <v>316</v>
      </c>
      <c r="B70" s="1161" t="s">
        <v>143</v>
      </c>
      <c r="C70" s="1497" t="s">
        <v>88</v>
      </c>
      <c r="D70" s="1497" t="s">
        <v>4</v>
      </c>
      <c r="E70" s="1713" t="s">
        <v>1500</v>
      </c>
      <c r="F70" s="1713" t="s">
        <v>1460</v>
      </c>
      <c r="G70" s="1529">
        <v>60</v>
      </c>
      <c r="H70" s="103">
        <f>XM.HN!B37</f>
        <v>12.5</v>
      </c>
      <c r="I70" s="1657">
        <f>H70*4.62</f>
        <v>57.75</v>
      </c>
      <c r="J70" s="35">
        <f>($G$70-I70)*8200/1000</f>
        <v>18.45</v>
      </c>
      <c r="K70" s="43" t="s">
        <v>8</v>
      </c>
      <c r="L70" s="1816">
        <f t="shared" si="12"/>
        <v>18.45</v>
      </c>
      <c r="M70" s="45" t="s">
        <v>9</v>
      </c>
      <c r="N70" s="103">
        <f>XM.HN!C37</f>
        <v>0</v>
      </c>
      <c r="O70" s="1657">
        <f>N70*4.62</f>
        <v>0</v>
      </c>
      <c r="P70" s="35">
        <f>($G$70-O70)*8200/1000</f>
        <v>492</v>
      </c>
      <c r="Q70" s="43" t="s">
        <v>8</v>
      </c>
      <c r="R70" s="1816">
        <f t="shared" si="13"/>
        <v>0</v>
      </c>
      <c r="S70" s="45" t="s">
        <v>9</v>
      </c>
      <c r="T70" s="103">
        <f>XM.HN!D37</f>
        <v>0</v>
      </c>
      <c r="U70" s="1657">
        <f>T70*4.62</f>
        <v>0</v>
      </c>
      <c r="V70" s="35">
        <f>($G$70-U70)*8200/1000</f>
        <v>492</v>
      </c>
      <c r="W70" s="43" t="s">
        <v>8</v>
      </c>
      <c r="X70" s="1816">
        <f t="shared" si="14"/>
        <v>0</v>
      </c>
      <c r="Y70" s="45" t="s">
        <v>9</v>
      </c>
      <c r="Z70" s="103">
        <f>XM.HN!E37</f>
        <v>0</v>
      </c>
      <c r="AA70" s="1657">
        <f>Z70*4.62</f>
        <v>0</v>
      </c>
      <c r="AB70" s="35">
        <f>($G$70-AA70)*8200/1000</f>
        <v>492</v>
      </c>
      <c r="AC70" s="43" t="s">
        <v>8</v>
      </c>
      <c r="AD70" s="1816">
        <f t="shared" si="15"/>
        <v>0</v>
      </c>
      <c r="AE70" s="45" t="s">
        <v>9</v>
      </c>
      <c r="AF70" s="103">
        <f>XM.HN!F37</f>
        <v>0</v>
      </c>
      <c r="AG70" s="1657">
        <f>AF70*4.62</f>
        <v>0</v>
      </c>
      <c r="AH70" s="35">
        <f>($G$70-AG70)*8200/1000</f>
        <v>492</v>
      </c>
      <c r="AI70" s="43" t="s">
        <v>8</v>
      </c>
      <c r="AJ70" s="1816">
        <f t="shared" si="16"/>
        <v>0</v>
      </c>
      <c r="AK70" s="45" t="s">
        <v>9</v>
      </c>
      <c r="AL70" s="103">
        <f>XM.HN!G37</f>
        <v>0</v>
      </c>
      <c r="AM70" s="1657">
        <f>AL70*4.62</f>
        <v>0</v>
      </c>
      <c r="AN70" s="35">
        <f>($G$70-AM70)*8200/1000</f>
        <v>492</v>
      </c>
      <c r="AO70" s="43" t="s">
        <v>8</v>
      </c>
      <c r="AP70" s="1816">
        <f t="shared" si="17"/>
        <v>0</v>
      </c>
      <c r="AQ70" s="45" t="s">
        <v>9</v>
      </c>
      <c r="AS70" s="1176" t="s">
        <v>1071</v>
      </c>
      <c r="AT70" s="2377"/>
      <c r="AU70" s="1177"/>
      <c r="AV70" s="1177"/>
      <c r="AW70" s="1177"/>
      <c r="AX70" s="1177"/>
      <c r="AY70" s="1177"/>
      <c r="AZ70" s="1177"/>
      <c r="BA70" s="1177"/>
      <c r="BB70" s="1177"/>
      <c r="BC70" s="1177"/>
      <c r="BD70" s="1177"/>
      <c r="BE70" s="1177"/>
      <c r="BF70" s="1177"/>
    </row>
    <row r="71" spans="1:58" ht="33.75" customHeight="1">
      <c r="A71" s="1161" t="s">
        <v>317</v>
      </c>
      <c r="B71" s="1161" t="s">
        <v>143</v>
      </c>
      <c r="C71" s="1497" t="s">
        <v>87</v>
      </c>
      <c r="D71" s="1497" t="s">
        <v>4</v>
      </c>
      <c r="E71" s="1713" t="s">
        <v>1500</v>
      </c>
      <c r="F71" s="1713" t="s">
        <v>1460</v>
      </c>
      <c r="G71" s="1529">
        <v>60</v>
      </c>
      <c r="H71" s="103">
        <f>XM.HN!B38</f>
        <v>0</v>
      </c>
      <c r="I71" s="1657">
        <f>H71*4.62</f>
        <v>0</v>
      </c>
      <c r="J71" s="35">
        <f>($G$71-I71)*8668/1000</f>
        <v>520.08000000000004</v>
      </c>
      <c r="K71" s="43" t="s">
        <v>8</v>
      </c>
      <c r="L71" s="1816">
        <f t="shared" si="12"/>
        <v>0</v>
      </c>
      <c r="M71" s="237" t="s">
        <v>9</v>
      </c>
      <c r="N71" s="270">
        <f>XM.HN!C38</f>
        <v>0</v>
      </c>
      <c r="O71" s="1657">
        <f>N71*4.62</f>
        <v>0</v>
      </c>
      <c r="P71" s="35">
        <f>($G$71-O71)*8668/1000</f>
        <v>520.08000000000004</v>
      </c>
      <c r="Q71" s="43" t="s">
        <v>8</v>
      </c>
      <c r="R71" s="1816">
        <f t="shared" si="13"/>
        <v>0</v>
      </c>
      <c r="S71" s="237" t="s">
        <v>9</v>
      </c>
      <c r="T71" s="103">
        <f>XM.HN!D38</f>
        <v>0</v>
      </c>
      <c r="U71" s="1657">
        <f>T71*4.62</f>
        <v>0</v>
      </c>
      <c r="V71" s="35">
        <f>($G$71-U71)*8668/1000</f>
        <v>520.08000000000004</v>
      </c>
      <c r="W71" s="43" t="s">
        <v>8</v>
      </c>
      <c r="X71" s="1816">
        <f t="shared" si="14"/>
        <v>0</v>
      </c>
      <c r="Y71" s="237" t="s">
        <v>9</v>
      </c>
      <c r="Z71" s="103">
        <f>XM.HN!E38</f>
        <v>0</v>
      </c>
      <c r="AA71" s="1657">
        <f>Z71*4.62</f>
        <v>0</v>
      </c>
      <c r="AB71" s="35">
        <f>($G$71-AA71)*8668/1000</f>
        <v>520.08000000000004</v>
      </c>
      <c r="AC71" s="43" t="s">
        <v>8</v>
      </c>
      <c r="AD71" s="1816">
        <f t="shared" si="15"/>
        <v>0</v>
      </c>
      <c r="AE71" s="237" t="s">
        <v>9</v>
      </c>
      <c r="AF71" s="103">
        <f>XM.HN!F38</f>
        <v>0</v>
      </c>
      <c r="AG71" s="1657">
        <f>AF71*4.62</f>
        <v>0</v>
      </c>
      <c r="AH71" s="35">
        <f>($G$71-AG71)*8668/1000</f>
        <v>520.08000000000004</v>
      </c>
      <c r="AI71" s="43" t="s">
        <v>8</v>
      </c>
      <c r="AJ71" s="1816">
        <f t="shared" si="16"/>
        <v>0</v>
      </c>
      <c r="AK71" s="237" t="s">
        <v>9</v>
      </c>
      <c r="AL71" s="103">
        <f>XM.HN!G38</f>
        <v>0</v>
      </c>
      <c r="AM71" s="1657">
        <f>AL71*4.62</f>
        <v>0</v>
      </c>
      <c r="AN71" s="35">
        <f>($G$71-AM71)*8668/1000</f>
        <v>520.08000000000004</v>
      </c>
      <c r="AO71" s="43" t="s">
        <v>8</v>
      </c>
      <c r="AP71" s="1816">
        <f t="shared" si="17"/>
        <v>0</v>
      </c>
      <c r="AQ71" s="45" t="s">
        <v>9</v>
      </c>
      <c r="AS71" s="1176" t="s">
        <v>1071</v>
      </c>
      <c r="AT71" s="2378"/>
      <c r="AU71" s="1177"/>
      <c r="AV71" s="1177"/>
      <c r="AW71" s="1177"/>
      <c r="AX71" s="1177"/>
      <c r="AY71" s="1177"/>
      <c r="AZ71" s="1177"/>
      <c r="BA71" s="1177"/>
      <c r="BB71" s="1177"/>
      <c r="BC71" s="1177"/>
      <c r="BD71" s="1177"/>
      <c r="BE71" s="1177"/>
      <c r="BF71" s="1177"/>
    </row>
    <row r="72" spans="1:58" ht="33.75" customHeight="1">
      <c r="A72" s="1161" t="s">
        <v>318</v>
      </c>
      <c r="B72" s="1161" t="s">
        <v>143</v>
      </c>
      <c r="C72" s="119" t="s">
        <v>84</v>
      </c>
      <c r="D72" s="1497" t="s">
        <v>4</v>
      </c>
      <c r="E72" s="1713" t="s">
        <v>1506</v>
      </c>
      <c r="F72" s="1713" t="s">
        <v>1463</v>
      </c>
      <c r="G72" s="1529">
        <v>140</v>
      </c>
      <c r="H72" s="103">
        <f>XM.HN!B39</f>
        <v>17.3</v>
      </c>
      <c r="I72" s="88">
        <f>H72*8</f>
        <v>138.4</v>
      </c>
      <c r="J72" s="35">
        <f>($G$72-I72)*53066/1000</f>
        <v>84.905599999999694</v>
      </c>
      <c r="K72" s="43" t="s">
        <v>8</v>
      </c>
      <c r="L72" s="1816">
        <f t="shared" si="12"/>
        <v>84.905599999999694</v>
      </c>
      <c r="M72" s="45" t="s">
        <v>9</v>
      </c>
      <c r="N72" s="103">
        <f>XM.HN!C39</f>
        <v>0</v>
      </c>
      <c r="O72" s="88">
        <f>N72*8</f>
        <v>0</v>
      </c>
      <c r="P72" s="35">
        <f>($G$72-O72)*53066/1000</f>
        <v>7429.24</v>
      </c>
      <c r="Q72" s="43" t="s">
        <v>8</v>
      </c>
      <c r="R72" s="1816">
        <f t="shared" si="13"/>
        <v>0</v>
      </c>
      <c r="S72" s="45" t="s">
        <v>9</v>
      </c>
      <c r="T72" s="20">
        <f>XM.HN!D39</f>
        <v>0</v>
      </c>
      <c r="U72" s="88">
        <f>T72*8</f>
        <v>0</v>
      </c>
      <c r="V72" s="35">
        <f>($G$72-U72)*53066/1000</f>
        <v>7429.24</v>
      </c>
      <c r="W72" s="43" t="s">
        <v>8</v>
      </c>
      <c r="X72" s="1816">
        <f t="shared" si="14"/>
        <v>0</v>
      </c>
      <c r="Y72" s="45" t="s">
        <v>9</v>
      </c>
      <c r="Z72" s="100">
        <f>XM.HN!E39</f>
        <v>0</v>
      </c>
      <c r="AA72" s="88">
        <f>Z72*8</f>
        <v>0</v>
      </c>
      <c r="AB72" s="35">
        <f>($G$72-AA72)*53066/1000</f>
        <v>7429.24</v>
      </c>
      <c r="AC72" s="43" t="s">
        <v>8</v>
      </c>
      <c r="AD72" s="1816">
        <f t="shared" si="15"/>
        <v>0</v>
      </c>
      <c r="AE72" s="45" t="s">
        <v>9</v>
      </c>
      <c r="AF72" s="100">
        <f>XM.HN!F39</f>
        <v>0</v>
      </c>
      <c r="AG72" s="88">
        <f>AF72*8</f>
        <v>0</v>
      </c>
      <c r="AH72" s="35">
        <f>($G$72-AG72)*53066/1000</f>
        <v>7429.24</v>
      </c>
      <c r="AI72" s="43" t="s">
        <v>8</v>
      </c>
      <c r="AJ72" s="1816">
        <f t="shared" si="16"/>
        <v>0</v>
      </c>
      <c r="AK72" s="45" t="s">
        <v>9</v>
      </c>
      <c r="AL72" s="100">
        <f>XM.HN!G39</f>
        <v>0</v>
      </c>
      <c r="AM72" s="88">
        <f>AL72*8</f>
        <v>0</v>
      </c>
      <c r="AN72" s="35">
        <f>($G$72-AM72)*53066/1000</f>
        <v>7429.24</v>
      </c>
      <c r="AO72" s="43" t="s">
        <v>8</v>
      </c>
      <c r="AP72" s="1816">
        <f t="shared" si="17"/>
        <v>0</v>
      </c>
      <c r="AQ72" s="45" t="s">
        <v>9</v>
      </c>
      <c r="AS72" s="1176" t="s">
        <v>1071</v>
      </c>
      <c r="AT72" s="1613" t="s">
        <v>1408</v>
      </c>
      <c r="AU72" s="1177"/>
      <c r="AV72" s="1177"/>
      <c r="AW72" s="1177"/>
      <c r="AX72" s="1177"/>
      <c r="AY72" s="1177"/>
      <c r="AZ72" s="1177"/>
      <c r="BA72" s="1177"/>
      <c r="BB72" s="1177"/>
      <c r="BC72" s="1177"/>
      <c r="BD72" s="1177"/>
      <c r="BE72" s="1177"/>
      <c r="BF72" s="1177"/>
    </row>
    <row r="73" spans="1:58" ht="33.75" customHeight="1">
      <c r="A73" s="52" t="s">
        <v>319</v>
      </c>
      <c r="B73" s="1161" t="s">
        <v>143</v>
      </c>
      <c r="C73" s="1496" t="s">
        <v>85</v>
      </c>
      <c r="D73" s="1497" t="s">
        <v>4</v>
      </c>
      <c r="E73" s="1713" t="s">
        <v>1507</v>
      </c>
      <c r="F73" s="1713" t="s">
        <v>1464</v>
      </c>
      <c r="G73" s="1529">
        <v>7</v>
      </c>
      <c r="H73" s="103">
        <f>XM.HN!B40</f>
        <v>4.5</v>
      </c>
      <c r="I73" s="664">
        <f>H73*1.3</f>
        <v>5.8500000000000005</v>
      </c>
      <c r="J73" s="35">
        <f>($G$73-I73)*53066/1000</f>
        <v>61.025899999999972</v>
      </c>
      <c r="K73" s="43" t="s">
        <v>8</v>
      </c>
      <c r="L73" s="1816">
        <f t="shared" si="12"/>
        <v>61.025899999999972</v>
      </c>
      <c r="M73" s="45" t="s">
        <v>9</v>
      </c>
      <c r="N73" s="103">
        <f>XM.HN!C40</f>
        <v>0</v>
      </c>
      <c r="O73" s="664">
        <f>N73*1.3</f>
        <v>0</v>
      </c>
      <c r="P73" s="35">
        <f>($G$73-O73)*53066/1000</f>
        <v>371.46199999999999</v>
      </c>
      <c r="Q73" s="43" t="s">
        <v>8</v>
      </c>
      <c r="R73" s="1816">
        <f t="shared" si="13"/>
        <v>0</v>
      </c>
      <c r="S73" s="45" t="s">
        <v>9</v>
      </c>
      <c r="T73" s="20">
        <f>XM.HN!D40</f>
        <v>0</v>
      </c>
      <c r="U73" s="664">
        <f>T73*1.3</f>
        <v>0</v>
      </c>
      <c r="V73" s="35">
        <f>($G$73-U73)*53066/1000</f>
        <v>371.46199999999999</v>
      </c>
      <c r="W73" s="43" t="s">
        <v>8</v>
      </c>
      <c r="X73" s="1816">
        <f t="shared" si="14"/>
        <v>0</v>
      </c>
      <c r="Y73" s="45" t="s">
        <v>9</v>
      </c>
      <c r="Z73" s="100">
        <f>XM.HN!E40</f>
        <v>0</v>
      </c>
      <c r="AA73" s="664">
        <f>Z73*1.3</f>
        <v>0</v>
      </c>
      <c r="AB73" s="35">
        <f>($G$73-AA73)*53066/1000</f>
        <v>371.46199999999999</v>
      </c>
      <c r="AC73" s="43" t="s">
        <v>8</v>
      </c>
      <c r="AD73" s="1816">
        <f t="shared" si="15"/>
        <v>0</v>
      </c>
      <c r="AE73" s="45" t="s">
        <v>9</v>
      </c>
      <c r="AF73" s="100">
        <f>XM.HN!F40</f>
        <v>0</v>
      </c>
      <c r="AG73" s="664">
        <f>AF73*1.3</f>
        <v>0</v>
      </c>
      <c r="AH73" s="35">
        <f>($G$73-AG73)*53066/1000</f>
        <v>371.46199999999999</v>
      </c>
      <c r="AI73" s="43" t="s">
        <v>8</v>
      </c>
      <c r="AJ73" s="1816">
        <f t="shared" si="16"/>
        <v>0</v>
      </c>
      <c r="AK73" s="45" t="s">
        <v>9</v>
      </c>
      <c r="AL73" s="100">
        <f>XM.HN!G40</f>
        <v>0</v>
      </c>
      <c r="AM73" s="664">
        <f>AL73*1.3</f>
        <v>0</v>
      </c>
      <c r="AN73" s="35">
        <f>($G$73-AM73)*53066/1000</f>
        <v>371.46199999999999</v>
      </c>
      <c r="AO73" s="43" t="s">
        <v>8</v>
      </c>
      <c r="AP73" s="1816">
        <f t="shared" si="17"/>
        <v>0</v>
      </c>
      <c r="AQ73" s="39" t="s">
        <v>9</v>
      </c>
      <c r="AS73" s="1176" t="s">
        <v>1071</v>
      </c>
      <c r="AT73" s="1190" t="s">
        <v>1090</v>
      </c>
      <c r="AU73" s="1177"/>
      <c r="AV73" s="1177"/>
      <c r="AW73" s="1177"/>
      <c r="AX73" s="1177"/>
      <c r="AY73" s="1177"/>
      <c r="AZ73" s="1177"/>
      <c r="BA73" s="1177"/>
      <c r="BB73" s="1177"/>
      <c r="BC73" s="1177"/>
      <c r="BD73" s="1177"/>
      <c r="BE73" s="1177"/>
      <c r="BF73" s="1177"/>
    </row>
    <row r="74" spans="1:58" ht="33.75" customHeight="1">
      <c r="A74" s="308" t="s">
        <v>320</v>
      </c>
      <c r="B74" s="1161" t="s">
        <v>143</v>
      </c>
      <c r="C74" s="1498" t="s">
        <v>1221</v>
      </c>
      <c r="D74" s="1166" t="s">
        <v>3</v>
      </c>
      <c r="E74" s="1713" t="s">
        <v>1502</v>
      </c>
      <c r="F74" s="1713" t="s">
        <v>1465</v>
      </c>
      <c r="G74" s="1529">
        <v>6</v>
      </c>
      <c r="H74" s="103">
        <f>XM.HN!B41</f>
        <v>0</v>
      </c>
      <c r="I74" s="664">
        <f>(H74*0.4237)-1.0461</f>
        <v>-1.0461</v>
      </c>
      <c r="J74" s="35">
        <f>($G$74-I74)*3360/100</f>
        <v>236.74896000000001</v>
      </c>
      <c r="K74" s="43" t="s">
        <v>8</v>
      </c>
      <c r="L74" s="1816">
        <f>IF(I74=-1.0461,0,IF(J74&lt;0,0,J74))</f>
        <v>0</v>
      </c>
      <c r="M74" s="45" t="s">
        <v>10</v>
      </c>
      <c r="N74" s="100">
        <f>XM.HN!C41</f>
        <v>0</v>
      </c>
      <c r="O74" s="664">
        <f>(N74*0.4237)-1.0461</f>
        <v>-1.0461</v>
      </c>
      <c r="P74" s="35">
        <f>($G$74-O74)*3360/100</f>
        <v>236.74896000000001</v>
      </c>
      <c r="Q74" s="43" t="s">
        <v>8</v>
      </c>
      <c r="R74" s="1816">
        <f>IF(O74=-1.0461,0,IF(P74&lt;0,0,P74))</f>
        <v>0</v>
      </c>
      <c r="S74" s="45" t="s">
        <v>10</v>
      </c>
      <c r="T74" s="20">
        <f>XM.HN!D41</f>
        <v>0</v>
      </c>
      <c r="U74" s="664">
        <f>(T74*0.4237)-1.0461</f>
        <v>-1.0461</v>
      </c>
      <c r="V74" s="35">
        <f>($G$74-U74)*3360/100</f>
        <v>236.74896000000001</v>
      </c>
      <c r="W74" s="43" t="s">
        <v>8</v>
      </c>
      <c r="X74" s="1816">
        <f>IF(U74=-1.0461,0,IF(V74&lt;0,0,V74))</f>
        <v>0</v>
      </c>
      <c r="Y74" s="45" t="s">
        <v>10</v>
      </c>
      <c r="Z74" s="100">
        <f>XM.HN!E41</f>
        <v>0</v>
      </c>
      <c r="AA74" s="664">
        <f>(Z74*0.4237)-1.0461</f>
        <v>-1.0461</v>
      </c>
      <c r="AB74" s="35">
        <f>($G$74-AA74)*3360/100</f>
        <v>236.74896000000001</v>
      </c>
      <c r="AC74" s="43" t="s">
        <v>8</v>
      </c>
      <c r="AD74" s="1816">
        <f>IF(AA74=-1.0461,0,IF(AB74&lt;0,0,AB74))</f>
        <v>0</v>
      </c>
      <c r="AE74" s="45" t="s">
        <v>10</v>
      </c>
      <c r="AF74" s="100">
        <f>XM.HN!F41</f>
        <v>0</v>
      </c>
      <c r="AG74" s="664">
        <f>(AF74*0.4237)-1.0461</f>
        <v>-1.0461</v>
      </c>
      <c r="AH74" s="35">
        <f>($G$74-AG74)*3360/100</f>
        <v>236.74896000000001</v>
      </c>
      <c r="AI74" s="43" t="s">
        <v>8</v>
      </c>
      <c r="AJ74" s="1816">
        <f>IF(AG74=-1.0461,0,IF(AH74&lt;0,0,AH74))</f>
        <v>0</v>
      </c>
      <c r="AK74" s="45" t="s">
        <v>10</v>
      </c>
      <c r="AL74" s="100">
        <f>XM.HN!G41</f>
        <v>0</v>
      </c>
      <c r="AM74" s="664">
        <f>(AL74*0.4237)-1.0461</f>
        <v>-1.0461</v>
      </c>
      <c r="AN74" s="35">
        <f>($G$74-AM74)*3360/100</f>
        <v>236.74896000000001</v>
      </c>
      <c r="AO74" s="43" t="s">
        <v>8</v>
      </c>
      <c r="AP74" s="1816">
        <f>IF(AM74=-1.0461,0,IF(AN74&lt;0,0,AN74))</f>
        <v>0</v>
      </c>
      <c r="AQ74" s="45" t="s">
        <v>10</v>
      </c>
      <c r="AS74" s="1176" t="s">
        <v>1071</v>
      </c>
      <c r="AT74" s="1613" t="s">
        <v>1410</v>
      </c>
      <c r="AU74" s="1177"/>
      <c r="AV74" s="1177"/>
      <c r="AW74" s="1177"/>
      <c r="AX74" s="1177"/>
      <c r="AY74" s="1177"/>
      <c r="AZ74" s="1177"/>
      <c r="BA74" s="1177"/>
      <c r="BB74" s="1177"/>
      <c r="BC74" s="1177"/>
      <c r="BD74" s="1177"/>
      <c r="BE74" s="1177"/>
      <c r="BF74" s="1177"/>
    </row>
    <row r="75" spans="1:58" ht="33.75" customHeight="1">
      <c r="A75" s="52" t="s">
        <v>321</v>
      </c>
      <c r="B75" s="1161" t="s">
        <v>143</v>
      </c>
      <c r="C75" s="311" t="s">
        <v>131</v>
      </c>
      <c r="D75" s="1166" t="s">
        <v>5</v>
      </c>
      <c r="E75" s="1713" t="s">
        <v>1436</v>
      </c>
      <c r="F75" s="1713" t="s">
        <v>1418</v>
      </c>
      <c r="G75" s="1532"/>
      <c r="H75" s="103"/>
      <c r="I75" s="664">
        <f>XM.HN!B48</f>
        <v>0</v>
      </c>
      <c r="J75" s="1423"/>
      <c r="K75" s="41"/>
      <c r="L75" s="1816">
        <f t="shared" si="12"/>
        <v>0</v>
      </c>
      <c r="M75" s="1423"/>
      <c r="N75" s="103"/>
      <c r="O75" s="664">
        <f>XM.HN!C48</f>
        <v>0</v>
      </c>
      <c r="P75" s="488"/>
      <c r="Q75" s="307"/>
      <c r="R75" s="1816">
        <f t="shared" si="13"/>
        <v>0</v>
      </c>
      <c r="S75" s="100"/>
      <c r="T75" s="20"/>
      <c r="U75" s="664">
        <f>XM.HN!D48</f>
        <v>0</v>
      </c>
      <c r="V75" s="488"/>
      <c r="W75" s="307"/>
      <c r="X75" s="1816">
        <f t="shared" si="14"/>
        <v>0</v>
      </c>
      <c r="Y75" s="100"/>
      <c r="Z75" s="100"/>
      <c r="AA75" s="664">
        <f>XM.HN!E48</f>
        <v>0</v>
      </c>
      <c r="AB75" s="488"/>
      <c r="AC75" s="307"/>
      <c r="AD75" s="1816">
        <f t="shared" si="15"/>
        <v>0</v>
      </c>
      <c r="AE75" s="100"/>
      <c r="AF75" s="100"/>
      <c r="AG75" s="664">
        <f>XM.HN!F48</f>
        <v>0</v>
      </c>
      <c r="AH75" s="488"/>
      <c r="AI75" s="307"/>
      <c r="AJ75" s="1816">
        <f t="shared" si="16"/>
        <v>0</v>
      </c>
      <c r="AK75" s="100"/>
      <c r="AL75" s="100"/>
      <c r="AM75" s="664">
        <f>XM.HN!G48</f>
        <v>0</v>
      </c>
      <c r="AN75" s="40"/>
      <c r="AO75" s="41"/>
      <c r="AP75" s="1816">
        <f t="shared" si="17"/>
        <v>0</v>
      </c>
      <c r="AQ75" s="1124"/>
      <c r="AS75" s="1171"/>
      <c r="AT75" s="1173"/>
      <c r="AU75" s="1177"/>
      <c r="AV75" s="1177"/>
      <c r="AW75" s="1177"/>
      <c r="AX75" s="1177"/>
      <c r="AY75" s="1177"/>
      <c r="AZ75" s="1177"/>
      <c r="BA75" s="1177"/>
      <c r="BB75" s="1177"/>
      <c r="BC75" s="1177"/>
      <c r="BD75" s="1177"/>
      <c r="BE75" s="1177"/>
      <c r="BF75" s="1177"/>
    </row>
    <row r="76" spans="1:58" ht="32.25" customHeight="1">
      <c r="A76" s="309" t="s">
        <v>322</v>
      </c>
      <c r="B76" s="1161" t="s">
        <v>143</v>
      </c>
      <c r="C76" s="119" t="s">
        <v>89</v>
      </c>
      <c r="D76" s="52" t="s">
        <v>6</v>
      </c>
      <c r="E76" s="1713" t="s">
        <v>1508</v>
      </c>
      <c r="F76" s="1713" t="s">
        <v>1466</v>
      </c>
      <c r="G76" s="1533">
        <v>0.45</v>
      </c>
      <c r="H76" s="103">
        <f>XM.HN!B42</f>
        <v>1.74</v>
      </c>
      <c r="I76" s="68">
        <f>(1*H76*36.5)/(0.5*10)/32%/100</f>
        <v>0.3969375</v>
      </c>
      <c r="J76" s="35">
        <f>($G$76-I76)*6723</f>
        <v>356.73918750000007</v>
      </c>
      <c r="K76" s="43" t="s">
        <v>8</v>
      </c>
      <c r="L76" s="1816">
        <f t="shared" si="12"/>
        <v>356.73918750000007</v>
      </c>
      <c r="M76" s="237" t="s">
        <v>10</v>
      </c>
      <c r="N76" s="270">
        <f>XM.HN!C42</f>
        <v>0</v>
      </c>
      <c r="O76" s="68">
        <f>(1*N76*36.5)/(0.5*10)/32%/100</f>
        <v>0</v>
      </c>
      <c r="P76" s="35">
        <f>($G$76-O76)*6723</f>
        <v>3025.35</v>
      </c>
      <c r="Q76" s="43" t="s">
        <v>8</v>
      </c>
      <c r="R76" s="1816">
        <f t="shared" si="13"/>
        <v>0</v>
      </c>
      <c r="S76" s="237" t="s">
        <v>10</v>
      </c>
      <c r="T76" s="20">
        <f>XM.HN!D42</f>
        <v>0</v>
      </c>
      <c r="U76" s="68">
        <f>(1*T76*36.5)/(0.5*10)/32%/100</f>
        <v>0</v>
      </c>
      <c r="V76" s="35">
        <f>($G$76-U76)*6723</f>
        <v>3025.35</v>
      </c>
      <c r="W76" s="43" t="s">
        <v>8</v>
      </c>
      <c r="X76" s="1816">
        <f t="shared" si="14"/>
        <v>0</v>
      </c>
      <c r="Y76" s="237" t="s">
        <v>10</v>
      </c>
      <c r="Z76" s="100">
        <f>XM.HN!E42</f>
        <v>0</v>
      </c>
      <c r="AA76" s="68">
        <f>(1*Z76*36.5)/(0.5*10)/32%/100</f>
        <v>0</v>
      </c>
      <c r="AB76" s="35">
        <f>($G$76-AA76)*6723</f>
        <v>3025.35</v>
      </c>
      <c r="AC76" s="43" t="s">
        <v>8</v>
      </c>
      <c r="AD76" s="1816">
        <f t="shared" si="15"/>
        <v>0</v>
      </c>
      <c r="AE76" s="237" t="s">
        <v>10</v>
      </c>
      <c r="AF76" s="100">
        <f>XM.HN!F42</f>
        <v>0</v>
      </c>
      <c r="AG76" s="68">
        <f>(1*AF76*36.5)/(0.5*10)/32%/100</f>
        <v>0</v>
      </c>
      <c r="AH76" s="35">
        <f>($G$76-AG76)*6723</f>
        <v>3025.35</v>
      </c>
      <c r="AI76" s="43" t="s">
        <v>8</v>
      </c>
      <c r="AJ76" s="1816">
        <f t="shared" si="16"/>
        <v>0</v>
      </c>
      <c r="AK76" s="237" t="s">
        <v>10</v>
      </c>
      <c r="AL76" s="100">
        <f>XM.HN!G42</f>
        <v>0</v>
      </c>
      <c r="AM76" s="68">
        <f>(1*AL76*36.5)/(0.5*10)/32%/100</f>
        <v>0</v>
      </c>
      <c r="AN76" s="34">
        <f>($G$76-AM76)*6723</f>
        <v>3025.35</v>
      </c>
      <c r="AO76" s="316" t="s">
        <v>8</v>
      </c>
      <c r="AP76" s="1816">
        <f t="shared" si="17"/>
        <v>0</v>
      </c>
      <c r="AQ76" s="317" t="s">
        <v>10</v>
      </c>
      <c r="AS76" s="52" t="s">
        <v>1074</v>
      </c>
      <c r="AT76" s="2370" t="s">
        <v>1078</v>
      </c>
      <c r="AU76" s="1177"/>
      <c r="AV76" s="1177"/>
      <c r="AW76" s="1177"/>
      <c r="AX76" s="1177"/>
      <c r="AY76" s="1177"/>
      <c r="AZ76" s="1177"/>
      <c r="BA76" s="1177"/>
      <c r="BB76" s="1177"/>
      <c r="BC76" s="1177"/>
      <c r="BD76" s="1177"/>
      <c r="BE76" s="1177"/>
      <c r="BF76" s="1177"/>
    </row>
    <row r="77" spans="1:58" ht="32.25" customHeight="1">
      <c r="A77" s="309" t="s">
        <v>323</v>
      </c>
      <c r="B77" s="1161" t="s">
        <v>143</v>
      </c>
      <c r="C77" s="119" t="s">
        <v>90</v>
      </c>
      <c r="D77" s="52" t="s">
        <v>6</v>
      </c>
      <c r="E77" s="1713" t="s">
        <v>1508</v>
      </c>
      <c r="F77" s="1713" t="s">
        <v>1466</v>
      </c>
      <c r="G77" s="1533">
        <v>0.45</v>
      </c>
      <c r="H77" s="103">
        <f>XM.HN!B43</f>
        <v>0</v>
      </c>
      <c r="I77" s="68">
        <f>(1*H77*36.5)/(0.5*10)/32%/100</f>
        <v>0</v>
      </c>
      <c r="J77" s="35">
        <f>($G$76-I77)*10509</f>
        <v>4729.05</v>
      </c>
      <c r="K77" s="43" t="s">
        <v>8</v>
      </c>
      <c r="L77" s="1816">
        <f t="shared" si="12"/>
        <v>0</v>
      </c>
      <c r="M77" s="237" t="s">
        <v>10</v>
      </c>
      <c r="N77" s="270">
        <f>XM.HN!C43</f>
        <v>0</v>
      </c>
      <c r="O77" s="68">
        <f>(1*N77*36.5)/(0.5*10)/32%/100</f>
        <v>0</v>
      </c>
      <c r="P77" s="35">
        <f>($G$76-O77)*10509</f>
        <v>4729.05</v>
      </c>
      <c r="Q77" s="43" t="s">
        <v>8</v>
      </c>
      <c r="R77" s="1816">
        <f t="shared" si="13"/>
        <v>0</v>
      </c>
      <c r="S77" s="237" t="s">
        <v>10</v>
      </c>
      <c r="T77" s="20">
        <f>XM.HN!D43</f>
        <v>0</v>
      </c>
      <c r="U77" s="68">
        <f>(1*T77*36.5)/(0.5*10)/32%/100</f>
        <v>0</v>
      </c>
      <c r="V77" s="35">
        <f>($G$76-U77)*10509</f>
        <v>4729.05</v>
      </c>
      <c r="W77" s="43" t="s">
        <v>8</v>
      </c>
      <c r="X77" s="1816">
        <f t="shared" si="14"/>
        <v>0</v>
      </c>
      <c r="Y77" s="237" t="s">
        <v>10</v>
      </c>
      <c r="Z77" s="100">
        <f>XM.HN!E43</f>
        <v>0</v>
      </c>
      <c r="AA77" s="68">
        <f>(1*Z77*36.5)/(0.5*10)/32%/100</f>
        <v>0</v>
      </c>
      <c r="AB77" s="35">
        <f>($G$76-AA77)*10509</f>
        <v>4729.05</v>
      </c>
      <c r="AC77" s="43" t="s">
        <v>8</v>
      </c>
      <c r="AD77" s="1816">
        <f t="shared" si="15"/>
        <v>0</v>
      </c>
      <c r="AE77" s="237" t="s">
        <v>10</v>
      </c>
      <c r="AF77" s="100">
        <f>XM.HN!F43</f>
        <v>0</v>
      </c>
      <c r="AG77" s="68">
        <f>(1*AF77*36.5)/(0.5*10)/32%/100</f>
        <v>0</v>
      </c>
      <c r="AH77" s="35">
        <f>($G$76-AG77)*10509</f>
        <v>4729.05</v>
      </c>
      <c r="AI77" s="43" t="s">
        <v>8</v>
      </c>
      <c r="AJ77" s="1816">
        <f t="shared" si="16"/>
        <v>0</v>
      </c>
      <c r="AK77" s="237" t="s">
        <v>10</v>
      </c>
      <c r="AL77" s="100">
        <f>XM.HN!G43</f>
        <v>0</v>
      </c>
      <c r="AM77" s="68">
        <f>(1*AL77*36.5)/(0.5*10)/32%/100</f>
        <v>0</v>
      </c>
      <c r="AN77" s="34">
        <f>($G$76-AM77)*10509</f>
        <v>4729.05</v>
      </c>
      <c r="AO77" s="316" t="s">
        <v>8</v>
      </c>
      <c r="AP77" s="1816">
        <f t="shared" si="17"/>
        <v>0</v>
      </c>
      <c r="AQ77" s="317" t="s">
        <v>10</v>
      </c>
      <c r="AS77" s="52" t="s">
        <v>1074</v>
      </c>
      <c r="AT77" s="2371"/>
      <c r="AU77" s="1177"/>
      <c r="AV77" s="1177"/>
      <c r="AW77" s="1177"/>
      <c r="AX77" s="1177"/>
      <c r="AY77" s="1177"/>
      <c r="AZ77" s="1177"/>
      <c r="BA77" s="1177"/>
      <c r="BB77" s="1177"/>
      <c r="BC77" s="1177"/>
      <c r="BD77" s="1177"/>
      <c r="BE77" s="1177"/>
      <c r="BF77" s="1177"/>
    </row>
    <row r="78" spans="1:58" ht="33.75" customHeight="1">
      <c r="A78" s="309" t="s">
        <v>324</v>
      </c>
      <c r="B78" s="1161" t="s">
        <v>143</v>
      </c>
      <c r="C78" s="119" t="s">
        <v>86</v>
      </c>
      <c r="D78" s="52" t="s">
        <v>6</v>
      </c>
      <c r="E78" s="1713" t="s">
        <v>1509</v>
      </c>
      <c r="F78" s="1713" t="s">
        <v>1467</v>
      </c>
      <c r="G78" s="1533">
        <v>0.3</v>
      </c>
      <c r="H78" s="103">
        <f>XM.HN!B44</f>
        <v>0.36</v>
      </c>
      <c r="I78" s="337">
        <f>(1*H78*36.5)/(0.5*10)/32%/100</f>
        <v>8.212499999999999E-2</v>
      </c>
      <c r="J78" s="488">
        <f>($G$78-I78)*3234</f>
        <v>704.6077499999999</v>
      </c>
      <c r="K78" s="307" t="s">
        <v>8</v>
      </c>
      <c r="L78" s="1816">
        <f t="shared" si="12"/>
        <v>704.6077499999999</v>
      </c>
      <c r="M78" s="237" t="s">
        <v>10</v>
      </c>
      <c r="N78" s="100">
        <f>XM.HN!C44</f>
        <v>0</v>
      </c>
      <c r="O78" s="337">
        <f>(1*N78*36.5)/(0.5*10)/32%/100</f>
        <v>0</v>
      </c>
      <c r="P78" s="488">
        <f>($G$78-O78)*3234</f>
        <v>970.19999999999993</v>
      </c>
      <c r="Q78" s="307" t="s">
        <v>8</v>
      </c>
      <c r="R78" s="1816">
        <f t="shared" si="13"/>
        <v>0</v>
      </c>
      <c r="S78" s="237" t="s">
        <v>10</v>
      </c>
      <c r="T78" s="20">
        <f>XM.HN!D44</f>
        <v>0</v>
      </c>
      <c r="U78" s="337">
        <f>(1*T78*36.5)/(0.5*10)/32%/100</f>
        <v>0</v>
      </c>
      <c r="V78" s="488">
        <f>($G$78-U78)*3234</f>
        <v>970.19999999999993</v>
      </c>
      <c r="W78" s="307" t="s">
        <v>8</v>
      </c>
      <c r="X78" s="1816">
        <f t="shared" si="14"/>
        <v>0</v>
      </c>
      <c r="Y78" s="237" t="s">
        <v>10</v>
      </c>
      <c r="Z78" s="100">
        <f>XM.HN!E44</f>
        <v>0</v>
      </c>
      <c r="AA78" s="337">
        <f>(1*Z78*36.5)/(0.5*10)/32%/100</f>
        <v>0</v>
      </c>
      <c r="AB78" s="488">
        <f>($G$78-AA78)*3234</f>
        <v>970.19999999999993</v>
      </c>
      <c r="AC78" s="307" t="s">
        <v>8</v>
      </c>
      <c r="AD78" s="1816">
        <f t="shared" si="15"/>
        <v>0</v>
      </c>
      <c r="AE78" s="237" t="s">
        <v>10</v>
      </c>
      <c r="AF78" s="100">
        <f>XM.HN!F44</f>
        <v>0</v>
      </c>
      <c r="AG78" s="337">
        <f>(1*AF78*36.5)/(0.5*10)/32%/100</f>
        <v>0</v>
      </c>
      <c r="AH78" s="488">
        <f>($G$78-AG78)*3234</f>
        <v>970.19999999999993</v>
      </c>
      <c r="AI78" s="307" t="s">
        <v>8</v>
      </c>
      <c r="AJ78" s="1816">
        <f t="shared" si="16"/>
        <v>0</v>
      </c>
      <c r="AK78" s="237" t="s">
        <v>10</v>
      </c>
      <c r="AL78" s="100">
        <f>XM.HN!G44</f>
        <v>0</v>
      </c>
      <c r="AM78" s="337">
        <f>(1*AL78*36.5)/(0.5*10)/32%/100</f>
        <v>0</v>
      </c>
      <c r="AN78" s="34">
        <f>($G$78-AM78)*3234</f>
        <v>970.19999999999993</v>
      </c>
      <c r="AO78" s="316" t="s">
        <v>8</v>
      </c>
      <c r="AP78" s="1816">
        <f t="shared" si="17"/>
        <v>0</v>
      </c>
      <c r="AQ78" s="317" t="s">
        <v>10</v>
      </c>
      <c r="AS78" s="52" t="s">
        <v>1074</v>
      </c>
      <c r="AT78" s="2372"/>
      <c r="AU78" s="1177"/>
      <c r="AV78" s="1177"/>
      <c r="AW78" s="1177"/>
      <c r="AX78" s="1177"/>
      <c r="AY78" s="1177"/>
      <c r="AZ78" s="1177"/>
      <c r="BA78" s="1177"/>
      <c r="BB78" s="1177"/>
      <c r="BC78" s="1177"/>
      <c r="BD78" s="1177"/>
      <c r="BE78" s="1177"/>
      <c r="BF78" s="1177"/>
    </row>
    <row r="79" spans="1:58" ht="33.75" customHeight="1">
      <c r="A79" s="309" t="s">
        <v>325</v>
      </c>
      <c r="B79" s="1161" t="s">
        <v>143</v>
      </c>
      <c r="C79" s="119" t="s">
        <v>164</v>
      </c>
      <c r="D79" s="52" t="s">
        <v>6</v>
      </c>
      <c r="E79" s="1713" t="s">
        <v>1495</v>
      </c>
      <c r="F79" s="1713" t="s">
        <v>1468</v>
      </c>
      <c r="G79" s="1540">
        <v>0.01</v>
      </c>
      <c r="H79" s="103">
        <f>XM.HN!B45</f>
        <v>0</v>
      </c>
      <c r="I79" s="340">
        <f>(1*H79*6.301)/5/100/65%</f>
        <v>0</v>
      </c>
      <c r="J79" s="35">
        <f>($G$79-I79)*2808</f>
        <v>28.080000000000002</v>
      </c>
      <c r="K79" s="43" t="s">
        <v>8</v>
      </c>
      <c r="L79" s="1815">
        <f t="shared" si="12"/>
        <v>0</v>
      </c>
      <c r="M79" s="237" t="s">
        <v>10</v>
      </c>
      <c r="N79" s="103">
        <f>XM.HN!C45</f>
        <v>0</v>
      </c>
      <c r="O79" s="340">
        <f>(1*N79*6.301)/5/100/65%</f>
        <v>0</v>
      </c>
      <c r="P79" s="35">
        <f>($G$79-O79)*2808</f>
        <v>28.080000000000002</v>
      </c>
      <c r="Q79" s="43" t="s">
        <v>8</v>
      </c>
      <c r="R79" s="1815">
        <f t="shared" si="13"/>
        <v>0</v>
      </c>
      <c r="S79" s="237" t="s">
        <v>10</v>
      </c>
      <c r="T79" s="103">
        <f>XM.HN!D45</f>
        <v>0</v>
      </c>
      <c r="U79" s="340">
        <f>(1*T79*6.301)/5/100/65%</f>
        <v>0</v>
      </c>
      <c r="V79" s="35">
        <f>($G$79-U79)*2808</f>
        <v>28.080000000000002</v>
      </c>
      <c r="W79" s="43" t="s">
        <v>8</v>
      </c>
      <c r="X79" s="1815">
        <f t="shared" si="14"/>
        <v>0</v>
      </c>
      <c r="Y79" s="237" t="s">
        <v>10</v>
      </c>
      <c r="Z79" s="103">
        <f>XM.HN!E45</f>
        <v>0</v>
      </c>
      <c r="AA79" s="340">
        <f>(1*Z79*6.301)/5/100/65%</f>
        <v>0</v>
      </c>
      <c r="AB79" s="35">
        <f>($G$79-AA79)*2808</f>
        <v>28.080000000000002</v>
      </c>
      <c r="AC79" s="43" t="s">
        <v>8</v>
      </c>
      <c r="AD79" s="1815">
        <f t="shared" si="15"/>
        <v>0</v>
      </c>
      <c r="AE79" s="237" t="s">
        <v>10</v>
      </c>
      <c r="AF79" s="103">
        <f>XM.HN!F45</f>
        <v>0</v>
      </c>
      <c r="AG79" s="340">
        <f>(1*AF79*6.301)/5/100/65%</f>
        <v>0</v>
      </c>
      <c r="AH79" s="35">
        <f>($G$79-AG79)*2808</f>
        <v>28.080000000000002</v>
      </c>
      <c r="AI79" s="43" t="s">
        <v>8</v>
      </c>
      <c r="AJ79" s="1815">
        <f t="shared" si="16"/>
        <v>0</v>
      </c>
      <c r="AK79" s="237" t="s">
        <v>10</v>
      </c>
      <c r="AL79" s="103">
        <f>XM.HN!G45</f>
        <v>0</v>
      </c>
      <c r="AM79" s="340">
        <f>(1*AL79*6.301)/5/100/65%</f>
        <v>0</v>
      </c>
      <c r="AN79" s="35">
        <f>($G$79-AM79)*2808</f>
        <v>28.080000000000002</v>
      </c>
      <c r="AO79" s="43" t="s">
        <v>8</v>
      </c>
      <c r="AP79" s="1815">
        <f t="shared" si="17"/>
        <v>0</v>
      </c>
      <c r="AQ79" s="45" t="s">
        <v>10</v>
      </c>
      <c r="AS79" s="52" t="s">
        <v>1074</v>
      </c>
      <c r="AT79" s="1171" t="s">
        <v>1077</v>
      </c>
      <c r="AU79" s="1177"/>
      <c r="AV79" s="1177"/>
      <c r="AW79" s="1177"/>
      <c r="AX79" s="1177"/>
      <c r="AY79" s="1177"/>
      <c r="AZ79" s="1177"/>
      <c r="BA79" s="1177"/>
      <c r="BB79" s="1177"/>
      <c r="BC79" s="1177"/>
      <c r="BD79" s="1177"/>
      <c r="BE79" s="1177"/>
      <c r="BF79" s="1177"/>
    </row>
    <row r="80" spans="1:58" ht="33.75" customHeight="1">
      <c r="A80" s="308" t="s">
        <v>326</v>
      </c>
      <c r="B80" s="1161" t="s">
        <v>143</v>
      </c>
      <c r="C80" s="328" t="s">
        <v>93</v>
      </c>
      <c r="D80" s="52" t="s">
        <v>3</v>
      </c>
      <c r="E80" s="1716" t="s">
        <v>1510</v>
      </c>
      <c r="F80" s="1716" t="s">
        <v>1469</v>
      </c>
      <c r="G80" s="1532">
        <v>6</v>
      </c>
      <c r="H80" s="103">
        <f>XM.HN!B46</f>
        <v>5.3</v>
      </c>
      <c r="I80" s="302">
        <f>IF(XM.HN!B46="","",(H80*0.8))</f>
        <v>4.24</v>
      </c>
      <c r="J80" s="47">
        <f>($G$80-I80)*4042/95*0.88</f>
        <v>65.897364210526305</v>
      </c>
      <c r="K80" s="43" t="s">
        <v>8</v>
      </c>
      <c r="L80" s="44">
        <f>IF(I80="","",(IF(J80&lt;0,0,J80)))</f>
        <v>65.897364210526305</v>
      </c>
      <c r="M80" s="237" t="s">
        <v>10</v>
      </c>
      <c r="N80" s="103">
        <f>XM.HN!C46</f>
        <v>0</v>
      </c>
      <c r="O80" s="302" t="str">
        <f>IF(XM.HN!C46="","",(N80*0.8))</f>
        <v/>
      </c>
      <c r="P80" s="47" t="e">
        <f>($G$80-O80)*4042/95*0.88</f>
        <v>#VALUE!</v>
      </c>
      <c r="Q80" s="43" t="s">
        <v>8</v>
      </c>
      <c r="R80" s="44" t="str">
        <f>IF(O80="","",(IF(P80&lt;0,0,P80)))</f>
        <v/>
      </c>
      <c r="S80" s="237" t="s">
        <v>10</v>
      </c>
      <c r="T80" s="103">
        <f>XM.HN!D46</f>
        <v>0</v>
      </c>
      <c r="U80" s="302" t="str">
        <f>IF(XM.HN!D46="","",(T80*0.8))</f>
        <v/>
      </c>
      <c r="V80" s="47" t="e">
        <f>($G$80-U80)*4042/95*0.88</f>
        <v>#VALUE!</v>
      </c>
      <c r="W80" s="43" t="s">
        <v>8</v>
      </c>
      <c r="X80" s="44" t="str">
        <f>IF(U80="","",(IF(V80&lt;0,0,V80)))</f>
        <v/>
      </c>
      <c r="Y80" s="237" t="s">
        <v>10</v>
      </c>
      <c r="Z80" s="103">
        <f>XM.HN!E46</f>
        <v>0</v>
      </c>
      <c r="AA80" s="302" t="str">
        <f>IF(XM.HN!E46="","",(Z80*0.8))</f>
        <v/>
      </c>
      <c r="AB80" s="47" t="e">
        <f>($G$80-AA80)*4042/95*0.88</f>
        <v>#VALUE!</v>
      </c>
      <c r="AC80" s="43" t="s">
        <v>8</v>
      </c>
      <c r="AD80" s="44" t="str">
        <f>IF(AA80="","",(IF(AB80&lt;0,0,AB80)))</f>
        <v/>
      </c>
      <c r="AE80" s="237" t="s">
        <v>10</v>
      </c>
      <c r="AF80" s="103">
        <f>XM.HN!F46</f>
        <v>0</v>
      </c>
      <c r="AG80" s="302" t="str">
        <f>IF(XM.HN!F46="","",(AF80*0.8))</f>
        <v/>
      </c>
      <c r="AH80" s="47" t="e">
        <f>($G$80-AG80)*4042/95*0.88</f>
        <v>#VALUE!</v>
      </c>
      <c r="AI80" s="43" t="s">
        <v>8</v>
      </c>
      <c r="AJ80" s="44" t="str">
        <f>IF(AG80="","",(IF(AH80&lt;0,0,AH80)))</f>
        <v/>
      </c>
      <c r="AK80" s="237" t="s">
        <v>10</v>
      </c>
      <c r="AL80" s="103">
        <f>XM.HN!G46</f>
        <v>0</v>
      </c>
      <c r="AM80" s="302" t="str">
        <f>IF(XM.HN!G46="","",(AL80*0.8))</f>
        <v/>
      </c>
      <c r="AN80" s="47" t="e">
        <f>($G$80-AM80)*4042/95*0.88</f>
        <v>#VALUE!</v>
      </c>
      <c r="AO80" s="43" t="s">
        <v>8</v>
      </c>
      <c r="AP80" s="44" t="str">
        <f>IF(AM80="","",(IF(AN80&lt;0,0,AN80)))</f>
        <v/>
      </c>
      <c r="AQ80" s="45" t="s">
        <v>10</v>
      </c>
      <c r="AS80" s="1177"/>
      <c r="AT80" s="1177"/>
      <c r="AU80" s="1177"/>
      <c r="AV80" s="1177"/>
      <c r="AW80" s="1177"/>
      <c r="AX80" s="1177"/>
      <c r="AY80" s="1177"/>
      <c r="AZ80" s="1177"/>
      <c r="BA80" s="1177"/>
      <c r="BB80" s="1177"/>
      <c r="BC80" s="1177"/>
      <c r="BD80" s="1177"/>
      <c r="BE80" s="1177"/>
      <c r="BF80" s="1177"/>
    </row>
    <row r="81" spans="1:58" ht="33.75" customHeight="1">
      <c r="A81" s="308" t="s">
        <v>327</v>
      </c>
      <c r="B81" s="1161" t="s">
        <v>143</v>
      </c>
      <c r="C81" s="329" t="s">
        <v>131</v>
      </c>
      <c r="D81" s="52" t="s">
        <v>5</v>
      </c>
      <c r="E81" s="1716" t="s">
        <v>1435</v>
      </c>
      <c r="F81" s="1716" t="s">
        <v>1419</v>
      </c>
      <c r="G81" s="1532"/>
      <c r="H81" s="102"/>
      <c r="I81" s="303">
        <f>'XM.FILE GOC'!I81</f>
        <v>1.88</v>
      </c>
      <c r="J81" s="47"/>
      <c r="K81" s="43"/>
      <c r="L81" s="44"/>
      <c r="M81" s="237"/>
      <c r="N81" s="103"/>
      <c r="O81" s="303">
        <f>'XM.FILE GOC'!O81</f>
        <v>0</v>
      </c>
      <c r="P81" s="47"/>
      <c r="Q81" s="43"/>
      <c r="R81" s="44"/>
      <c r="S81" s="237"/>
      <c r="T81" s="103"/>
      <c r="U81" s="303">
        <f>'XM.FILE GOC'!U81</f>
        <v>0</v>
      </c>
      <c r="V81" s="47"/>
      <c r="W81" s="43"/>
      <c r="X81" s="44"/>
      <c r="Y81" s="237"/>
      <c r="Z81" s="103"/>
      <c r="AA81" s="303">
        <f>'XM.FILE GOC'!AA81</f>
        <v>0</v>
      </c>
      <c r="AB81" s="47"/>
      <c r="AC81" s="43"/>
      <c r="AD81" s="44"/>
      <c r="AE81" s="237"/>
      <c r="AF81" s="103"/>
      <c r="AG81" s="303">
        <f>'XM.FILE GOC'!AG81</f>
        <v>0</v>
      </c>
      <c r="AH81" s="47"/>
      <c r="AI81" s="43"/>
      <c r="AJ81" s="44"/>
      <c r="AK81" s="237"/>
      <c r="AL81" s="103"/>
      <c r="AM81" s="303">
        <f>'XM.FILE GOC'!AM81</f>
        <v>0</v>
      </c>
      <c r="AN81" s="47"/>
      <c r="AO81" s="43"/>
      <c r="AP81" s="44"/>
      <c r="AQ81" s="45"/>
      <c r="AS81" s="1177"/>
      <c r="AT81" s="1177"/>
      <c r="AU81" s="1177"/>
      <c r="AV81" s="1177"/>
      <c r="AW81" s="1177"/>
      <c r="AX81" s="1177"/>
      <c r="AY81" s="1177"/>
      <c r="AZ81" s="1177"/>
      <c r="BA81" s="1177"/>
      <c r="BB81" s="1177"/>
      <c r="BC81" s="1177"/>
      <c r="BD81" s="1177"/>
      <c r="BE81" s="1177"/>
      <c r="BF81" s="1177"/>
    </row>
    <row r="82" spans="1:58" ht="33.75" customHeight="1">
      <c r="A82" s="308"/>
      <c r="B82" s="1341"/>
      <c r="C82" s="1559" t="s">
        <v>1369</v>
      </c>
      <c r="D82" s="305" t="s">
        <v>3</v>
      </c>
      <c r="E82" s="1713" t="s">
        <v>1437</v>
      </c>
      <c r="F82" s="1713" t="s">
        <v>1420</v>
      </c>
      <c r="G82" s="1532">
        <v>12</v>
      </c>
      <c r="H82" s="103">
        <f>XM.HN!B49</f>
        <v>0</v>
      </c>
      <c r="I82" s="1657" t="str">
        <f>IF(XM.HN!B49="","",(H82*10/6.95))</f>
        <v/>
      </c>
      <c r="J82" s="35" t="e">
        <f>($G$82-I82)*3360/100</f>
        <v>#VALUE!</v>
      </c>
      <c r="K82" s="43" t="s">
        <v>8</v>
      </c>
      <c r="L82" s="44" t="str">
        <f>IF(I82="","",(IF(J82&lt;0,0,J82)))</f>
        <v/>
      </c>
      <c r="M82" s="45" t="s">
        <v>10</v>
      </c>
      <c r="N82" s="100">
        <f>XM.HN!C49</f>
        <v>0</v>
      </c>
      <c r="O82" s="1657" t="str">
        <f>IF(XM.HN!C49="","",(N82*10/6.95))</f>
        <v/>
      </c>
      <c r="P82" s="35" t="e">
        <f>($G$82-O82)*3360/100</f>
        <v>#VALUE!</v>
      </c>
      <c r="Q82" s="43" t="s">
        <v>8</v>
      </c>
      <c r="R82" s="44" t="str">
        <f>IF(O82="","",(IF(P82&lt;0,0,P82)))</f>
        <v/>
      </c>
      <c r="S82" s="45" t="s">
        <v>10</v>
      </c>
      <c r="T82" s="20">
        <f>XM.HN!D49</f>
        <v>0</v>
      </c>
      <c r="U82" s="1657" t="str">
        <f>IF(XM.HN!D49="","",(T82*10/6.95))</f>
        <v/>
      </c>
      <c r="V82" s="35" t="e">
        <f>($G$82-U82)*3360/100</f>
        <v>#VALUE!</v>
      </c>
      <c r="W82" s="43" t="s">
        <v>8</v>
      </c>
      <c r="X82" s="44" t="str">
        <f>IF(U82="","",(IF(V82&lt;0,0,V82)))</f>
        <v/>
      </c>
      <c r="Y82" s="45" t="s">
        <v>10</v>
      </c>
      <c r="Z82" s="100">
        <f>XM.HN!E49</f>
        <v>0</v>
      </c>
      <c r="AA82" s="1657" t="str">
        <f>IF(XM.HN!E49="","",(Z82*10/6.95))</f>
        <v/>
      </c>
      <c r="AB82" s="35" t="e">
        <f>($G$82-AA82)*3360/100</f>
        <v>#VALUE!</v>
      </c>
      <c r="AC82" s="43" t="s">
        <v>8</v>
      </c>
      <c r="AD82" s="44" t="str">
        <f>IF(AA82="","",(IF(AB82&lt;0,0,AB82)))</f>
        <v/>
      </c>
      <c r="AE82" s="45" t="s">
        <v>10</v>
      </c>
      <c r="AF82" s="100">
        <f>XM.HN!F49</f>
        <v>0</v>
      </c>
      <c r="AG82" s="1657" t="str">
        <f>IF(XM.HN!F49="","",(AF82*10/6.95))</f>
        <v/>
      </c>
      <c r="AH82" s="35" t="e">
        <f>($G$82-AG82)*3360/100</f>
        <v>#VALUE!</v>
      </c>
      <c r="AI82" s="43" t="s">
        <v>8</v>
      </c>
      <c r="AJ82" s="44" t="str">
        <f>IF(AG82="","",(IF(AH82&lt;0,0,AH82)))</f>
        <v/>
      </c>
      <c r="AK82" s="45" t="s">
        <v>10</v>
      </c>
      <c r="AL82" s="100">
        <f>XM.HN!G49</f>
        <v>0</v>
      </c>
      <c r="AM82" s="1657" t="str">
        <f>IF(XM.HN!G49="","",(AL82*10/6.95))</f>
        <v/>
      </c>
      <c r="AN82" s="35" t="e">
        <f>($G$82-AM82)*3360/100</f>
        <v>#VALUE!</v>
      </c>
      <c r="AO82" s="43" t="s">
        <v>8</v>
      </c>
      <c r="AP82" s="44" t="str">
        <f>IF(AM82="","",(IF(AN82&lt;0,0,AN82)))</f>
        <v/>
      </c>
      <c r="AQ82" s="45" t="s">
        <v>10</v>
      </c>
      <c r="AS82" s="1177"/>
      <c r="AT82" s="1177"/>
      <c r="AU82" s="1177"/>
      <c r="AV82" s="1177"/>
      <c r="AW82" s="1177"/>
      <c r="AX82" s="1177"/>
      <c r="AY82" s="1177"/>
      <c r="AZ82" s="1177"/>
      <c r="BA82" s="1177"/>
      <c r="BB82" s="1177"/>
      <c r="BC82" s="1177"/>
      <c r="BD82" s="1177"/>
      <c r="BE82" s="1177"/>
      <c r="BF82" s="1177"/>
    </row>
    <row r="83" spans="1:58" ht="33.75" customHeight="1">
      <c r="A83" s="308"/>
      <c r="B83" s="1341"/>
      <c r="C83" s="1560" t="s">
        <v>131</v>
      </c>
      <c r="D83" s="305" t="s">
        <v>5</v>
      </c>
      <c r="E83" s="1713" t="s">
        <v>1435</v>
      </c>
      <c r="F83" s="1713" t="s">
        <v>1421</v>
      </c>
      <c r="G83" s="1532"/>
      <c r="H83" s="102"/>
      <c r="I83" s="664">
        <f>XM.HN!B50</f>
        <v>0</v>
      </c>
      <c r="J83" s="1423"/>
      <c r="K83" s="41"/>
      <c r="L83" s="42"/>
      <c r="M83" s="1423"/>
      <c r="N83" s="103"/>
      <c r="O83" s="664">
        <f>XM.HN!C50</f>
        <v>0</v>
      </c>
      <c r="P83" s="488"/>
      <c r="Q83" s="307"/>
      <c r="R83" s="307"/>
      <c r="S83" s="45"/>
      <c r="T83" s="20"/>
      <c r="U83" s="664">
        <f>XM.HN!D50</f>
        <v>0</v>
      </c>
      <c r="V83" s="488"/>
      <c r="W83" s="307"/>
      <c r="X83" s="307"/>
      <c r="Y83" s="45"/>
      <c r="Z83" s="100"/>
      <c r="AA83" s="664">
        <f>XM.HN!E50</f>
        <v>0</v>
      </c>
      <c r="AB83" s="488"/>
      <c r="AC83" s="307"/>
      <c r="AD83" s="307"/>
      <c r="AE83" s="45"/>
      <c r="AF83" s="100"/>
      <c r="AG83" s="664">
        <f>XM.HN!F50</f>
        <v>0</v>
      </c>
      <c r="AH83" s="488"/>
      <c r="AI83" s="307"/>
      <c r="AJ83" s="307"/>
      <c r="AK83" s="45"/>
      <c r="AL83" s="100"/>
      <c r="AM83" s="664">
        <f>XM.HN!G50</f>
        <v>0</v>
      </c>
      <c r="AN83" s="40"/>
      <c r="AO83" s="41"/>
      <c r="AP83" s="42"/>
      <c r="AQ83" s="1124"/>
      <c r="AS83" s="1177"/>
      <c r="AT83" s="1177"/>
      <c r="AU83" s="1177"/>
      <c r="AV83" s="1177"/>
      <c r="AW83" s="1177"/>
      <c r="AX83" s="1177"/>
      <c r="AY83" s="1177"/>
      <c r="AZ83" s="1177"/>
      <c r="BA83" s="1177"/>
      <c r="BB83" s="1177"/>
      <c r="BC83" s="1177"/>
      <c r="BD83" s="1177"/>
      <c r="BE83" s="1177"/>
      <c r="BF83" s="1177"/>
    </row>
    <row r="84" spans="1:58" ht="33.75" customHeight="1">
      <c r="A84" s="1499" t="s">
        <v>337</v>
      </c>
      <c r="B84" s="1161" t="s">
        <v>143</v>
      </c>
      <c r="C84" s="236" t="s">
        <v>210</v>
      </c>
      <c r="D84" s="229" t="s">
        <v>4</v>
      </c>
      <c r="E84" s="1713" t="s">
        <v>1511</v>
      </c>
      <c r="F84" s="1713" t="s">
        <v>1470</v>
      </c>
      <c r="G84" s="1531">
        <v>5.5</v>
      </c>
      <c r="H84" s="230">
        <f>XM.HN!B53</f>
        <v>0</v>
      </c>
      <c r="I84" s="1657" t="str">
        <f>IF(XM.HN!B53="","",H84*1.3)</f>
        <v/>
      </c>
      <c r="J84" s="231" t="e">
        <f>($G$84-I84)*8000/1000</f>
        <v>#VALUE!</v>
      </c>
      <c r="K84" s="43" t="s">
        <v>8</v>
      </c>
      <c r="L84" s="44" t="str">
        <f>IF($I$84="","",IF(J84&lt;0,0,J84))</f>
        <v/>
      </c>
      <c r="M84" s="45" t="s">
        <v>9</v>
      </c>
      <c r="N84" s="269">
        <f>XM.HN!C53</f>
        <v>0</v>
      </c>
      <c r="T84" s="227">
        <f>XM.HN!D53</f>
        <v>0</v>
      </c>
      <c r="U84" s="1657" t="str">
        <f>IF(XM.HN!D53="","",T84*1.3)</f>
        <v/>
      </c>
      <c r="V84" s="231" t="e">
        <f>($G$84-U84)*8000/1000</f>
        <v>#VALUE!</v>
      </c>
      <c r="W84" s="43" t="s">
        <v>8</v>
      </c>
      <c r="X84" s="44" t="str">
        <f>IF($U$84="","",IF(V84&lt;0,0,V84))</f>
        <v/>
      </c>
      <c r="Y84" s="45" t="s">
        <v>9</v>
      </c>
      <c r="Z84" s="232">
        <f>XM.HN!E53</f>
        <v>0</v>
      </c>
      <c r="AA84" s="1657" t="str">
        <f>IF(XM.HN!E53="","",Z84*1.3)</f>
        <v/>
      </c>
      <c r="AB84" s="231" t="e">
        <f>($G$84-AA84)*8000/1000</f>
        <v>#VALUE!</v>
      </c>
      <c r="AC84" s="43" t="s">
        <v>8</v>
      </c>
      <c r="AD84" s="44" t="str">
        <f>IF($AA$84="","",IF(AB84&lt;0,0,AB84))</f>
        <v/>
      </c>
      <c r="AE84" s="45" t="s">
        <v>9</v>
      </c>
      <c r="AF84" s="1127"/>
      <c r="AK84" s="292"/>
      <c r="AL84" s="228">
        <f>XM.HN!G53</f>
        <v>0</v>
      </c>
      <c r="AM84" s="1657" t="str">
        <f>IF(XM.HN!G53="","",AL84*1.3)</f>
        <v/>
      </c>
      <c r="AN84" s="231" t="e">
        <f>($G$84-AM84)*8000/1000</f>
        <v>#VALUE!</v>
      </c>
      <c r="AO84" s="43" t="s">
        <v>8</v>
      </c>
      <c r="AP84" s="44" t="str">
        <f>IF($AM$84="","",IF(AN84&lt;0,0,AN84))</f>
        <v/>
      </c>
      <c r="AQ84" s="45" t="s">
        <v>9</v>
      </c>
      <c r="AS84" s="1176" t="s">
        <v>1075</v>
      </c>
      <c r="AT84" s="1178" t="s">
        <v>1188</v>
      </c>
      <c r="AU84" s="1177"/>
      <c r="AV84" s="1177"/>
      <c r="AW84" s="1177"/>
      <c r="AX84" s="1177"/>
      <c r="AY84" s="1177"/>
      <c r="AZ84" s="1177"/>
      <c r="BA84" s="1177"/>
      <c r="BB84" s="1177"/>
      <c r="BC84" s="1177"/>
      <c r="BD84" s="1177"/>
      <c r="BE84" s="1177"/>
      <c r="BF84" s="1177"/>
    </row>
    <row r="85" spans="1:58" ht="33.75" hidden="1" customHeight="1">
      <c r="A85" s="1499" t="s">
        <v>338</v>
      </c>
      <c r="B85" s="1161" t="s">
        <v>143</v>
      </c>
      <c r="C85" s="236" t="s">
        <v>208</v>
      </c>
      <c r="D85" s="229" t="s">
        <v>4</v>
      </c>
      <c r="E85" s="1713" t="s">
        <v>126</v>
      </c>
      <c r="F85" s="1713" t="s">
        <v>126</v>
      </c>
      <c r="G85" s="1535">
        <v>1.8</v>
      </c>
      <c r="H85" s="233">
        <f>XM.HN!B54</f>
        <v>0</v>
      </c>
      <c r="I85" s="292">
        <f>H85</f>
        <v>0</v>
      </c>
      <c r="J85" s="231">
        <f>($G$85-I85)*8000/1000</f>
        <v>14.4</v>
      </c>
      <c r="K85" s="43" t="s">
        <v>8</v>
      </c>
      <c r="L85" s="44" t="str">
        <f t="shared" ref="L85:L87" si="18">IF($I$84="","",IF(J85&lt;0,0,J85))</f>
        <v/>
      </c>
      <c r="M85" s="45" t="s">
        <v>10</v>
      </c>
      <c r="N85" s="269">
        <f>XM.HN!C54</f>
        <v>0</v>
      </c>
      <c r="T85" s="227">
        <f>XM.HN!D54</f>
        <v>0</v>
      </c>
      <c r="U85" s="292">
        <f>T85</f>
        <v>0</v>
      </c>
      <c r="V85" s="231">
        <f>($G$85-U85)*8000/1000</f>
        <v>14.4</v>
      </c>
      <c r="W85" s="43" t="s">
        <v>8</v>
      </c>
      <c r="X85" s="44" t="str">
        <f t="shared" ref="X85:X87" si="19">IF($U$84="","",IF(V85&lt;0,0,V85))</f>
        <v/>
      </c>
      <c r="Y85" s="45" t="s">
        <v>10</v>
      </c>
      <c r="Z85" s="232">
        <f>XM.HN!E54</f>
        <v>0</v>
      </c>
      <c r="AA85" s="292">
        <f>Z85</f>
        <v>0</v>
      </c>
      <c r="AB85" s="231">
        <f>($G$85-AA85)*8000/1000</f>
        <v>14.4</v>
      </c>
      <c r="AC85" s="43" t="s">
        <v>8</v>
      </c>
      <c r="AD85" s="44" t="str">
        <f t="shared" ref="AD85:AD87" si="20">IF($AA$84="","",IF(AB85&lt;0,0,AB85))</f>
        <v/>
      </c>
      <c r="AE85" s="45" t="s">
        <v>10</v>
      </c>
      <c r="AF85" s="1127"/>
      <c r="AK85" s="292"/>
      <c r="AL85" s="228">
        <f>XM.HN!G54</f>
        <v>0</v>
      </c>
      <c r="AM85" s="292">
        <f>AL85</f>
        <v>0</v>
      </c>
      <c r="AN85" s="231">
        <f>($G$85-AM85)*8000/1000</f>
        <v>14.4</v>
      </c>
      <c r="AO85" s="43" t="s">
        <v>8</v>
      </c>
      <c r="AP85" s="44" t="str">
        <f t="shared" ref="AP85:AP87" si="21">IF($AM$84="","",IF(AN85&lt;0,0,AN85))</f>
        <v/>
      </c>
      <c r="AQ85" s="45" t="s">
        <v>10</v>
      </c>
      <c r="AS85" s="1176" t="s">
        <v>1071</v>
      </c>
      <c r="AT85" s="1177"/>
      <c r="AU85" s="1177"/>
      <c r="AV85" s="1177"/>
      <c r="AW85" s="1177"/>
      <c r="AX85" s="1177"/>
      <c r="AY85" s="1177"/>
      <c r="AZ85" s="1177"/>
      <c r="BA85" s="1177"/>
      <c r="BB85" s="1177"/>
      <c r="BC85" s="1177"/>
      <c r="BD85" s="1177"/>
      <c r="BE85" s="1177"/>
      <c r="BF85" s="1177"/>
    </row>
    <row r="86" spans="1:58" ht="33.75" customHeight="1">
      <c r="A86" s="1499" t="s">
        <v>339</v>
      </c>
      <c r="B86" s="1161" t="s">
        <v>143</v>
      </c>
      <c r="C86" s="236" t="s">
        <v>209</v>
      </c>
      <c r="D86" s="229" t="s">
        <v>4</v>
      </c>
      <c r="E86" s="1713" t="s">
        <v>1512</v>
      </c>
      <c r="F86" s="1713" t="s">
        <v>1471</v>
      </c>
      <c r="G86" s="1532">
        <v>125</v>
      </c>
      <c r="H86" s="230">
        <f>XM.HN!B55</f>
        <v>0</v>
      </c>
      <c r="I86" s="61">
        <f>H86*8</f>
        <v>0</v>
      </c>
      <c r="J86" s="231">
        <f>($G$86-I86)*8000/1000</f>
        <v>1000</v>
      </c>
      <c r="K86" s="43" t="s">
        <v>8</v>
      </c>
      <c r="L86" s="44" t="str">
        <f t="shared" si="18"/>
        <v/>
      </c>
      <c r="M86" s="45" t="s">
        <v>9</v>
      </c>
      <c r="N86" s="269">
        <f>XM.HN!C55</f>
        <v>0</v>
      </c>
      <c r="T86" s="227">
        <f>XM.HN!D55</f>
        <v>0</v>
      </c>
      <c r="U86" s="61">
        <f>T86*8</f>
        <v>0</v>
      </c>
      <c r="V86" s="231">
        <f>($G$86-U86)*8000/1000</f>
        <v>1000</v>
      </c>
      <c r="W86" s="43" t="s">
        <v>8</v>
      </c>
      <c r="X86" s="44" t="str">
        <f t="shared" si="19"/>
        <v/>
      </c>
      <c r="Y86" s="45" t="s">
        <v>9</v>
      </c>
      <c r="Z86" s="232">
        <f>XM.HN!E55</f>
        <v>0</v>
      </c>
      <c r="AA86" s="61">
        <f>Z86*8</f>
        <v>0</v>
      </c>
      <c r="AB86" s="231">
        <f>($G$86-AA86)*8000/1000</f>
        <v>1000</v>
      </c>
      <c r="AC86" s="43" t="s">
        <v>8</v>
      </c>
      <c r="AD86" s="44" t="str">
        <f t="shared" si="20"/>
        <v/>
      </c>
      <c r="AE86" s="45" t="s">
        <v>9</v>
      </c>
      <c r="AF86" s="1127"/>
      <c r="AK86" s="292"/>
      <c r="AL86" s="228">
        <f>XM.HN!G55</f>
        <v>0</v>
      </c>
      <c r="AM86" s="61">
        <f>AL86*8</f>
        <v>0</v>
      </c>
      <c r="AN86" s="231">
        <f>($G$86-AM86)*8000/1000</f>
        <v>1000</v>
      </c>
      <c r="AO86" s="43" t="s">
        <v>8</v>
      </c>
      <c r="AP86" s="44" t="str">
        <f t="shared" si="21"/>
        <v/>
      </c>
      <c r="AQ86" s="45" t="s">
        <v>9</v>
      </c>
      <c r="AS86" s="1176" t="s">
        <v>1076</v>
      </c>
      <c r="AT86" s="1495" t="s">
        <v>1363</v>
      </c>
      <c r="AU86" s="1177"/>
      <c r="AV86" s="1177"/>
      <c r="AW86" s="1177"/>
      <c r="AX86" s="1177"/>
      <c r="AY86" s="1177"/>
      <c r="AZ86" s="1177"/>
      <c r="BA86" s="1177"/>
      <c r="BB86" s="1177"/>
      <c r="BC86" s="1177"/>
      <c r="BD86" s="1177"/>
      <c r="BE86" s="1177"/>
      <c r="BF86" s="1177"/>
    </row>
    <row r="87" spans="1:58" ht="33.75" hidden="1" customHeight="1">
      <c r="A87" s="1499" t="s">
        <v>340</v>
      </c>
      <c r="B87" s="1161" t="s">
        <v>143</v>
      </c>
      <c r="C87" s="236" t="s">
        <v>211</v>
      </c>
      <c r="D87" s="229" t="s">
        <v>4</v>
      </c>
      <c r="E87" s="1713" t="s">
        <v>138</v>
      </c>
      <c r="F87" s="1713" t="s">
        <v>138</v>
      </c>
      <c r="G87" s="1531">
        <v>130</v>
      </c>
      <c r="H87" s="230">
        <f>XM.HN!B56</f>
        <v>0</v>
      </c>
      <c r="I87" s="292" t="str">
        <f>IF(I84="","",(H87-0.5)*8.9)</f>
        <v/>
      </c>
      <c r="J87" s="231" t="e">
        <f>($G$87-I87)*8000/1000</f>
        <v>#VALUE!</v>
      </c>
      <c r="K87" s="43" t="s">
        <v>8</v>
      </c>
      <c r="L87" s="44" t="str">
        <f t="shared" si="18"/>
        <v/>
      </c>
      <c r="M87" s="45" t="s">
        <v>10</v>
      </c>
      <c r="N87" s="269">
        <f>XM.HN!C56</f>
        <v>0</v>
      </c>
      <c r="T87" s="227">
        <f>XM.HN!D56</f>
        <v>0</v>
      </c>
      <c r="U87" s="292" t="str">
        <f>IF(U84="","",(T87-0.5)*8.9)</f>
        <v/>
      </c>
      <c r="V87" s="231" t="e">
        <f>($G$87-U87)*8000/1000</f>
        <v>#VALUE!</v>
      </c>
      <c r="W87" s="43" t="s">
        <v>8</v>
      </c>
      <c r="X87" s="44" t="str">
        <f t="shared" si="19"/>
        <v/>
      </c>
      <c r="Y87" s="237" t="s">
        <v>10</v>
      </c>
      <c r="Z87" s="232">
        <f>XM.HN!E56</f>
        <v>0</v>
      </c>
      <c r="AA87" s="292" t="str">
        <f>IF(AA84="","",(Z87-0.5)*8.9)</f>
        <v/>
      </c>
      <c r="AB87" s="231" t="e">
        <f>($G$87-AA87)*8000/1000</f>
        <v>#VALUE!</v>
      </c>
      <c r="AC87" s="43" t="s">
        <v>8</v>
      </c>
      <c r="AD87" s="44" t="str">
        <f t="shared" si="20"/>
        <v/>
      </c>
      <c r="AE87" s="237" t="s">
        <v>10</v>
      </c>
      <c r="AF87" s="1127"/>
      <c r="AK87" s="292"/>
      <c r="AL87" s="228">
        <f>XM.HN!G56</f>
        <v>0</v>
      </c>
      <c r="AM87" s="292" t="str">
        <f>IF(AM84="","",(AL87-0.5)*8.9)</f>
        <v/>
      </c>
      <c r="AN87" s="231" t="e">
        <f>($G$87-AM87)*8000/1000</f>
        <v>#VALUE!</v>
      </c>
      <c r="AO87" s="43" t="s">
        <v>8</v>
      </c>
      <c r="AP87" s="44" t="str">
        <f t="shared" si="21"/>
        <v/>
      </c>
      <c r="AQ87" s="237" t="s">
        <v>10</v>
      </c>
      <c r="AS87" s="1177"/>
      <c r="AT87" s="1177"/>
      <c r="AU87" s="1177"/>
      <c r="AV87" s="1177"/>
      <c r="AW87" s="1177"/>
      <c r="AX87" s="1177"/>
      <c r="AY87" s="1177"/>
      <c r="AZ87" s="1177"/>
      <c r="BA87" s="1177"/>
      <c r="BB87" s="1177"/>
      <c r="BC87" s="1177"/>
      <c r="BD87" s="1177"/>
      <c r="BE87" s="1177"/>
      <c r="BF87" s="1177"/>
    </row>
    <row r="88" spans="1:58" ht="33.75" customHeight="1">
      <c r="A88" s="1499" t="s">
        <v>341</v>
      </c>
      <c r="B88" s="1161" t="s">
        <v>143</v>
      </c>
      <c r="C88" s="234" t="s">
        <v>212</v>
      </c>
      <c r="D88" s="229" t="s">
        <v>131</v>
      </c>
      <c r="E88" s="1714" t="s">
        <v>1438</v>
      </c>
      <c r="F88" s="1714" t="s">
        <v>1422</v>
      </c>
      <c r="G88" s="1532"/>
      <c r="H88" s="230"/>
      <c r="I88" s="1657">
        <f>XM.HN!B57</f>
        <v>0</v>
      </c>
      <c r="J88" s="232"/>
      <c r="K88" s="37"/>
      <c r="L88" s="38"/>
      <c r="M88" s="1124"/>
      <c r="N88" s="269"/>
      <c r="Q88" s="48"/>
      <c r="R88" s="48"/>
      <c r="T88" s="227"/>
      <c r="U88" s="1657">
        <f>XM.HN!D57</f>
        <v>0</v>
      </c>
      <c r="V88" s="232"/>
      <c r="W88" s="37"/>
      <c r="X88" s="38"/>
      <c r="Y88" s="40"/>
      <c r="Z88" s="232"/>
      <c r="AA88" s="1657">
        <f>XM.HN!E57</f>
        <v>0</v>
      </c>
      <c r="AB88" s="232"/>
      <c r="AC88" s="37"/>
      <c r="AD88" s="38"/>
      <c r="AE88" s="1124"/>
      <c r="AF88" s="1127"/>
      <c r="AI88" s="48"/>
      <c r="AJ88" s="48"/>
      <c r="AK88" s="292"/>
      <c r="AL88" s="1128"/>
      <c r="AM88" s="1657">
        <f>XM.HN!G57</f>
        <v>0</v>
      </c>
      <c r="AN88" s="1129"/>
      <c r="AO88" s="1124"/>
      <c r="AP88" s="1124"/>
      <c r="AQ88" s="1124"/>
      <c r="AS88" s="1176" t="s">
        <v>1069</v>
      </c>
      <c r="AT88" s="1177"/>
      <c r="AU88" s="1177"/>
      <c r="AV88" s="1177"/>
      <c r="AW88" s="1177"/>
      <c r="AX88" s="1177"/>
      <c r="AY88" s="1177"/>
      <c r="AZ88" s="1177"/>
      <c r="BA88" s="1177"/>
      <c r="BB88" s="1177"/>
      <c r="BC88" s="1177"/>
      <c r="BD88" s="1177"/>
      <c r="BE88" s="1177"/>
      <c r="BF88" s="1177"/>
    </row>
    <row r="89" spans="1:58" s="224" customFormat="1" ht="54" customHeight="1">
      <c r="A89" s="319" t="s">
        <v>76</v>
      </c>
      <c r="B89" s="320"/>
      <c r="C89" s="320"/>
      <c r="D89" s="320"/>
      <c r="E89" s="1717"/>
      <c r="F89" s="1717"/>
      <c r="G89" s="1522"/>
      <c r="H89" s="320"/>
      <c r="I89" s="320"/>
      <c r="J89" s="320"/>
      <c r="K89" s="320"/>
      <c r="L89" s="320"/>
      <c r="M89" s="320"/>
      <c r="N89" s="320"/>
      <c r="O89" s="321"/>
      <c r="P89" s="320"/>
      <c r="Q89" s="1661"/>
      <c r="R89" s="1661"/>
      <c r="S89" s="321"/>
      <c r="T89" s="320"/>
      <c r="U89" s="321"/>
      <c r="V89" s="320"/>
      <c r="W89" s="320"/>
      <c r="X89" s="320"/>
      <c r="Y89" s="320"/>
      <c r="Z89" s="320"/>
      <c r="AA89" s="320"/>
      <c r="AB89" s="320"/>
      <c r="AC89" s="320"/>
      <c r="AD89" s="320"/>
      <c r="AE89" s="320"/>
      <c r="AF89" s="321"/>
      <c r="AG89" s="321"/>
      <c r="AH89" s="321"/>
      <c r="AI89" s="321"/>
      <c r="AJ89" s="321"/>
      <c r="AK89" s="321"/>
      <c r="AL89" s="321"/>
      <c r="AM89" s="321"/>
      <c r="AN89" s="321"/>
      <c r="AO89" s="321"/>
      <c r="AP89" s="321"/>
      <c r="AQ89" s="1130"/>
    </row>
    <row r="90" spans="1:58" ht="50.25" customHeight="1">
      <c r="A90" s="1165" t="s">
        <v>267</v>
      </c>
      <c r="B90" s="1160" t="s">
        <v>350</v>
      </c>
      <c r="C90" s="1158" t="s">
        <v>64</v>
      </c>
      <c r="D90" s="311" t="s">
        <v>66</v>
      </c>
      <c r="E90" s="1712" t="s">
        <v>1443</v>
      </c>
      <c r="F90" s="1712" t="s">
        <v>1412</v>
      </c>
      <c r="G90" s="1536"/>
      <c r="H90" s="105"/>
      <c r="I90" s="313" t="s">
        <v>48</v>
      </c>
      <c r="J90" s="314"/>
      <c r="K90" s="314"/>
      <c r="L90" s="313" t="s">
        <v>65</v>
      </c>
      <c r="M90" s="330"/>
      <c r="N90" s="311"/>
      <c r="O90" s="313" t="s">
        <v>48</v>
      </c>
      <c r="P90" s="314"/>
      <c r="Q90" s="314"/>
      <c r="R90" s="313" t="s">
        <v>65</v>
      </c>
      <c r="S90" s="330"/>
      <c r="T90" s="106"/>
      <c r="U90" s="313" t="s">
        <v>48</v>
      </c>
      <c r="V90" s="314"/>
      <c r="W90" s="314"/>
      <c r="X90" s="313" t="s">
        <v>65</v>
      </c>
      <c r="Y90" s="330"/>
      <c r="Z90" s="107"/>
      <c r="AA90" s="313" t="s">
        <v>48</v>
      </c>
      <c r="AB90" s="314"/>
      <c r="AC90" s="314"/>
      <c r="AD90" s="313" t="s">
        <v>65</v>
      </c>
      <c r="AE90" s="330"/>
      <c r="AF90" s="107"/>
      <c r="AG90" s="313" t="s">
        <v>48</v>
      </c>
      <c r="AH90" s="314"/>
      <c r="AI90" s="314"/>
      <c r="AJ90" s="313" t="s">
        <v>65</v>
      </c>
      <c r="AK90" s="330"/>
      <c r="AL90" s="107"/>
      <c r="AM90" s="313" t="s">
        <v>48</v>
      </c>
      <c r="AN90" s="314"/>
      <c r="AO90" s="314"/>
      <c r="AP90" s="313" t="s">
        <v>65</v>
      </c>
      <c r="AQ90" s="330"/>
    </row>
    <row r="91" spans="1:58" ht="45" customHeight="1">
      <c r="A91" s="1161" t="s">
        <v>328</v>
      </c>
      <c r="B91" s="1161" t="s">
        <v>143</v>
      </c>
      <c r="C91" s="1145" t="s">
        <v>68</v>
      </c>
      <c r="D91" s="110" t="s">
        <v>113</v>
      </c>
      <c r="E91" s="1724" t="s">
        <v>1496</v>
      </c>
      <c r="F91" s="1724" t="s">
        <v>1452</v>
      </c>
      <c r="G91" s="1541"/>
      <c r="H91" s="111"/>
      <c r="I91" s="2088">
        <f>'XM.FILE GOC'!I91</f>
        <v>0</v>
      </c>
      <c r="J91" s="2089"/>
      <c r="K91" s="2090"/>
      <c r="L91" s="2088">
        <f>'XM.FILE GOC'!L91</f>
        <v>0</v>
      </c>
      <c r="M91" s="2089"/>
      <c r="N91" s="2090"/>
      <c r="O91" s="2088">
        <f>'XM.FILE GOC'!O91</f>
        <v>0</v>
      </c>
      <c r="P91" s="2089"/>
      <c r="Q91" s="2090"/>
      <c r="R91" s="2088">
        <f>'XM.FILE GOC'!R91</f>
        <v>0</v>
      </c>
      <c r="S91" s="2089"/>
      <c r="T91" s="2090"/>
      <c r="U91" s="2088">
        <f>'XM.FILE GOC'!U91</f>
        <v>0</v>
      </c>
      <c r="V91" s="2089"/>
      <c r="W91" s="2090"/>
      <c r="X91" s="2088">
        <f>'XM.FILE GOC'!X91</f>
        <v>0</v>
      </c>
      <c r="Y91" s="2089"/>
      <c r="Z91" s="2090"/>
      <c r="AA91" s="2088">
        <f>'XM.FILE GOC'!AA91</f>
        <v>0</v>
      </c>
      <c r="AB91" s="2089"/>
      <c r="AC91" s="2090"/>
      <c r="AD91" s="2088">
        <f>'XM.FILE GOC'!AD91</f>
        <v>0</v>
      </c>
      <c r="AE91" s="2089"/>
      <c r="AF91" s="2090"/>
      <c r="AG91" s="2088">
        <f>'XM.FILE GOC'!AG91</f>
        <v>0</v>
      </c>
      <c r="AH91" s="2089"/>
      <c r="AI91" s="2090"/>
      <c r="AJ91" s="2088">
        <f>'XM.FILE GOC'!AJ91</f>
        <v>0</v>
      </c>
      <c r="AK91" s="2089"/>
      <c r="AL91" s="2090"/>
      <c r="AM91" s="2088">
        <f>'XM.FILE GOC'!AM91</f>
        <v>0</v>
      </c>
      <c r="AN91" s="2089"/>
      <c r="AO91" s="2090"/>
      <c r="AP91" s="2117">
        <f>'XM.FILE GOC'!AP91</f>
        <v>0</v>
      </c>
      <c r="AQ91" s="2117"/>
    </row>
    <row r="92" spans="1:58" ht="45" customHeight="1">
      <c r="A92" s="1161" t="s">
        <v>329</v>
      </c>
      <c r="B92" s="1161" t="s">
        <v>143</v>
      </c>
      <c r="C92" s="1145" t="s">
        <v>69</v>
      </c>
      <c r="D92" s="110" t="s">
        <v>113</v>
      </c>
      <c r="E92" s="1724" t="s">
        <v>1496</v>
      </c>
      <c r="F92" s="1724" t="s">
        <v>1452</v>
      </c>
      <c r="G92" s="1541"/>
      <c r="H92" s="111"/>
      <c r="I92" s="2088">
        <f>'XM.FILE GOC'!I92</f>
        <v>0</v>
      </c>
      <c r="J92" s="2089"/>
      <c r="K92" s="2090"/>
      <c r="L92" s="2088">
        <f>'XM.FILE GOC'!L92</f>
        <v>0</v>
      </c>
      <c r="M92" s="2089"/>
      <c r="N92" s="2090"/>
      <c r="O92" s="2088">
        <f>'XM.FILE GOC'!O92</f>
        <v>0</v>
      </c>
      <c r="P92" s="2089"/>
      <c r="Q92" s="2090"/>
      <c r="R92" s="2088">
        <f>'XM.FILE GOC'!R92</f>
        <v>0</v>
      </c>
      <c r="S92" s="2089"/>
      <c r="T92" s="2090"/>
      <c r="U92" s="2088">
        <f>'XM.FILE GOC'!U92</f>
        <v>0</v>
      </c>
      <c r="V92" s="2089"/>
      <c r="W92" s="2090"/>
      <c r="X92" s="2088">
        <f>'XM.FILE GOC'!X92</f>
        <v>0</v>
      </c>
      <c r="Y92" s="2089"/>
      <c r="Z92" s="2090"/>
      <c r="AA92" s="2088">
        <f>'XM.FILE GOC'!AA92</f>
        <v>0</v>
      </c>
      <c r="AB92" s="2089"/>
      <c r="AC92" s="2090"/>
      <c r="AD92" s="2088">
        <f>'XM.FILE GOC'!AD92</f>
        <v>0</v>
      </c>
      <c r="AE92" s="2089"/>
      <c r="AF92" s="2090"/>
      <c r="AG92" s="2088">
        <f>'XM.FILE GOC'!AG92</f>
        <v>0</v>
      </c>
      <c r="AH92" s="2089"/>
      <c r="AI92" s="2090"/>
      <c r="AJ92" s="2088">
        <f>'XM.FILE GOC'!AJ92</f>
        <v>0</v>
      </c>
      <c r="AK92" s="2089"/>
      <c r="AL92" s="2090"/>
      <c r="AM92" s="2088">
        <f>'XM.FILE GOC'!AM92</f>
        <v>0</v>
      </c>
      <c r="AN92" s="2089"/>
      <c r="AO92" s="2090"/>
      <c r="AP92" s="2117">
        <f>'XM.FILE GOC'!AP92</f>
        <v>0</v>
      </c>
      <c r="AQ92" s="2117"/>
    </row>
    <row r="93" spans="1:58" ht="45" customHeight="1">
      <c r="A93" s="1161" t="s">
        <v>330</v>
      </c>
      <c r="B93" s="1161" t="s">
        <v>143</v>
      </c>
      <c r="C93" s="1145" t="s">
        <v>71</v>
      </c>
      <c r="D93" s="110" t="s">
        <v>113</v>
      </c>
      <c r="E93" s="1724" t="s">
        <v>1513</v>
      </c>
      <c r="F93" s="1724" t="s">
        <v>1453</v>
      </c>
      <c r="G93" s="1541"/>
      <c r="H93" s="111"/>
      <c r="I93" s="2088">
        <f>'XM.FILE GOC'!I93</f>
        <v>0</v>
      </c>
      <c r="J93" s="2089"/>
      <c r="K93" s="2090"/>
      <c r="L93" s="2088">
        <f>'XM.FILE GOC'!L93</f>
        <v>0</v>
      </c>
      <c r="M93" s="2089"/>
      <c r="N93" s="2090"/>
      <c r="O93" s="2088">
        <f>'XM.FILE GOC'!O93</f>
        <v>0</v>
      </c>
      <c r="P93" s="2089"/>
      <c r="Q93" s="2090"/>
      <c r="R93" s="2088">
        <f>'XM.FILE GOC'!R93</f>
        <v>0</v>
      </c>
      <c r="S93" s="2089"/>
      <c r="T93" s="2090"/>
      <c r="U93" s="2088">
        <f>'XM.FILE GOC'!U93</f>
        <v>0</v>
      </c>
      <c r="V93" s="2089"/>
      <c r="W93" s="2090"/>
      <c r="X93" s="2088">
        <f>'XM.FILE GOC'!X93</f>
        <v>0</v>
      </c>
      <c r="Y93" s="2089"/>
      <c r="Z93" s="2090"/>
      <c r="AA93" s="2088">
        <f>'XM.FILE GOC'!AA93</f>
        <v>0</v>
      </c>
      <c r="AB93" s="2089"/>
      <c r="AC93" s="2090"/>
      <c r="AD93" s="2088">
        <f>'XM.FILE GOC'!AD93</f>
        <v>0</v>
      </c>
      <c r="AE93" s="2089"/>
      <c r="AF93" s="2090"/>
      <c r="AG93" s="2088">
        <f>'XM.FILE GOC'!AG93</f>
        <v>0</v>
      </c>
      <c r="AH93" s="2089"/>
      <c r="AI93" s="2090"/>
      <c r="AJ93" s="2088">
        <f>'XM.FILE GOC'!AJ93</f>
        <v>0</v>
      </c>
      <c r="AK93" s="2089"/>
      <c r="AL93" s="2090"/>
      <c r="AM93" s="2088">
        <f>'XM.FILE GOC'!AM93</f>
        <v>0</v>
      </c>
      <c r="AN93" s="2089"/>
      <c r="AO93" s="2090"/>
      <c r="AP93" s="2117">
        <f>'XM.FILE GOC'!AP93</f>
        <v>0</v>
      </c>
      <c r="AQ93" s="2117"/>
    </row>
    <row r="94" spans="1:58" ht="45" customHeight="1">
      <c r="A94" s="1161" t="s">
        <v>331</v>
      </c>
      <c r="B94" s="1161" t="s">
        <v>143</v>
      </c>
      <c r="C94" s="1588" t="s">
        <v>1384</v>
      </c>
      <c r="D94" s="110" t="s">
        <v>113</v>
      </c>
      <c r="E94" s="1724" t="s">
        <v>1513</v>
      </c>
      <c r="F94" s="1724" t="s">
        <v>1453</v>
      </c>
      <c r="G94" s="1541"/>
      <c r="H94" s="111"/>
      <c r="I94" s="2088">
        <f>'XM.FILE GOC'!I94</f>
        <v>0</v>
      </c>
      <c r="J94" s="2089"/>
      <c r="K94" s="2090"/>
      <c r="L94" s="2088">
        <f>'XM.FILE GOC'!L94</f>
        <v>0</v>
      </c>
      <c r="M94" s="2089"/>
      <c r="N94" s="2090"/>
      <c r="O94" s="2088">
        <f>'XM.FILE GOC'!O94</f>
        <v>0</v>
      </c>
      <c r="P94" s="2089"/>
      <c r="Q94" s="2090"/>
      <c r="R94" s="2088">
        <f>'XM.FILE GOC'!R94</f>
        <v>0</v>
      </c>
      <c r="S94" s="2089"/>
      <c r="T94" s="2090"/>
      <c r="U94" s="2088">
        <f>'XM.FILE GOC'!U94</f>
        <v>0</v>
      </c>
      <c r="V94" s="2089"/>
      <c r="W94" s="2090"/>
      <c r="X94" s="2088">
        <f>'XM.FILE GOC'!X94</f>
        <v>0</v>
      </c>
      <c r="Y94" s="2089"/>
      <c r="Z94" s="2090"/>
      <c r="AA94" s="2088">
        <f>'XM.FILE GOC'!AA94</f>
        <v>0</v>
      </c>
      <c r="AB94" s="2089"/>
      <c r="AC94" s="2090"/>
      <c r="AD94" s="2088">
        <f>'XM.FILE GOC'!AD94</f>
        <v>0</v>
      </c>
      <c r="AE94" s="2089"/>
      <c r="AF94" s="2090"/>
      <c r="AG94" s="2088">
        <f>'XM.FILE GOC'!AG94</f>
        <v>0</v>
      </c>
      <c r="AH94" s="2089"/>
      <c r="AI94" s="2090"/>
      <c r="AJ94" s="2088">
        <f>'XM.FILE GOC'!AJ94</f>
        <v>0</v>
      </c>
      <c r="AK94" s="2089"/>
      <c r="AL94" s="2090"/>
      <c r="AM94" s="2088">
        <f>'XM.FILE GOC'!AM94</f>
        <v>0</v>
      </c>
      <c r="AN94" s="2089"/>
      <c r="AO94" s="2090"/>
      <c r="AP94" s="2117">
        <f>'XM.FILE GOC'!AP94</f>
        <v>0</v>
      </c>
      <c r="AQ94" s="2117"/>
    </row>
    <row r="95" spans="1:58" ht="45" customHeight="1">
      <c r="A95" s="1161" t="s">
        <v>345</v>
      </c>
      <c r="B95" s="1161" t="s">
        <v>143</v>
      </c>
      <c r="C95" s="1145" t="s">
        <v>72</v>
      </c>
      <c r="D95" s="110" t="s">
        <v>113</v>
      </c>
      <c r="E95" s="1724" t="s">
        <v>1514</v>
      </c>
      <c r="F95" s="1751" t="s">
        <v>1454</v>
      </c>
      <c r="G95" s="1541"/>
      <c r="H95" s="111"/>
      <c r="I95" s="2119">
        <f>'XM.FILE GOC'!I95</f>
        <v>0</v>
      </c>
      <c r="J95" s="2120"/>
      <c r="K95" s="2121"/>
      <c r="L95" s="2119">
        <f>'XM.FILE GOC'!L95</f>
        <v>0</v>
      </c>
      <c r="M95" s="2120"/>
      <c r="N95" s="2121"/>
      <c r="O95" s="2119">
        <f>'XM.FILE GOC'!O95</f>
        <v>0</v>
      </c>
      <c r="P95" s="2120"/>
      <c r="Q95" s="2121"/>
      <c r="R95" s="2119">
        <f>'XM.FILE GOC'!R95</f>
        <v>0</v>
      </c>
      <c r="S95" s="2120"/>
      <c r="T95" s="2121"/>
      <c r="U95" s="2119">
        <f>'XM.FILE GOC'!U95</f>
        <v>0</v>
      </c>
      <c r="V95" s="2120"/>
      <c r="W95" s="2121"/>
      <c r="X95" s="2119">
        <f>'XM.FILE GOC'!X95</f>
        <v>0</v>
      </c>
      <c r="Y95" s="2120"/>
      <c r="Z95" s="2121"/>
      <c r="AA95" s="2119">
        <f>'XM.FILE GOC'!AA95</f>
        <v>0</v>
      </c>
      <c r="AB95" s="2120"/>
      <c r="AC95" s="2121"/>
      <c r="AD95" s="2119">
        <f>'XM.FILE GOC'!AD95</f>
        <v>0</v>
      </c>
      <c r="AE95" s="2120"/>
      <c r="AF95" s="2121"/>
      <c r="AG95" s="2119">
        <f>'XM.FILE GOC'!AG95</f>
        <v>0</v>
      </c>
      <c r="AH95" s="2120"/>
      <c r="AI95" s="2121"/>
      <c r="AJ95" s="2119">
        <f>'XM.FILE GOC'!AJ95</f>
        <v>0</v>
      </c>
      <c r="AK95" s="2120"/>
      <c r="AL95" s="2121"/>
      <c r="AM95" s="2119">
        <f>'XM.FILE GOC'!AM95</f>
        <v>0</v>
      </c>
      <c r="AN95" s="2120"/>
      <c r="AO95" s="2121"/>
      <c r="AP95" s="2122">
        <f>'XM.FILE GOC'!AP95</f>
        <v>0</v>
      </c>
      <c r="AQ95" s="2122"/>
    </row>
    <row r="96" spans="1:58" ht="45" customHeight="1">
      <c r="A96" s="308" t="s">
        <v>332</v>
      </c>
      <c r="B96" s="1161" t="s">
        <v>143</v>
      </c>
      <c r="C96" s="1565" t="s">
        <v>1376</v>
      </c>
      <c r="D96" s="110" t="s">
        <v>113</v>
      </c>
      <c r="E96" s="1724" t="s">
        <v>1515</v>
      </c>
      <c r="F96" s="1724" t="s">
        <v>1455</v>
      </c>
      <c r="G96" s="1541"/>
      <c r="H96" s="111"/>
      <c r="I96" s="2111">
        <f>'XM.FILE GOC'!I96</f>
        <v>0</v>
      </c>
      <c r="J96" s="2112"/>
      <c r="K96" s="2113"/>
      <c r="L96" s="2111">
        <f>'XM.FILE GOC'!L96</f>
        <v>0</v>
      </c>
      <c r="M96" s="2112"/>
      <c r="N96" s="2113"/>
      <c r="O96" s="2111">
        <f>'XM.FILE GOC'!O96</f>
        <v>0</v>
      </c>
      <c r="P96" s="2112"/>
      <c r="Q96" s="2113"/>
      <c r="R96" s="2111">
        <f>'XM.FILE GOC'!R96</f>
        <v>0</v>
      </c>
      <c r="S96" s="2112"/>
      <c r="T96" s="2113"/>
      <c r="U96" s="2111">
        <f>'XM.FILE GOC'!U96</f>
        <v>0</v>
      </c>
      <c r="V96" s="2112"/>
      <c r="W96" s="2113"/>
      <c r="X96" s="2111">
        <f>'XM.FILE GOC'!X96</f>
        <v>0</v>
      </c>
      <c r="Y96" s="2112"/>
      <c r="Z96" s="2113"/>
      <c r="AA96" s="2111">
        <f>'XM.FILE GOC'!AA96</f>
        <v>0</v>
      </c>
      <c r="AB96" s="2112"/>
      <c r="AC96" s="2113"/>
      <c r="AD96" s="2111">
        <f>'XM.FILE GOC'!AD96</f>
        <v>0</v>
      </c>
      <c r="AE96" s="2112"/>
      <c r="AF96" s="2113"/>
      <c r="AG96" s="2111">
        <f>'XM.FILE GOC'!AG96</f>
        <v>0</v>
      </c>
      <c r="AH96" s="2112"/>
      <c r="AI96" s="2113"/>
      <c r="AJ96" s="2111">
        <f>'XM.FILE GOC'!AJ96</f>
        <v>0</v>
      </c>
      <c r="AK96" s="2112"/>
      <c r="AL96" s="2113"/>
      <c r="AM96" s="2111">
        <f>'XM.FILE GOC'!AM96</f>
        <v>0</v>
      </c>
      <c r="AN96" s="2112"/>
      <c r="AO96" s="2113"/>
      <c r="AP96" s="2116">
        <f>'XM.FILE GOC'!AP96</f>
        <v>0</v>
      </c>
      <c r="AQ96" s="2116"/>
    </row>
    <row r="97" spans="1:43" ht="45" customHeight="1">
      <c r="A97" s="308" t="s">
        <v>333</v>
      </c>
      <c r="B97" s="1161" t="s">
        <v>143</v>
      </c>
      <c r="C97" s="1145" t="s">
        <v>73</v>
      </c>
      <c r="D97" s="110" t="s">
        <v>113</v>
      </c>
      <c r="E97" s="1724" t="s">
        <v>1499</v>
      </c>
      <c r="F97" s="1724" t="s">
        <v>1451</v>
      </c>
      <c r="G97" s="1541"/>
      <c r="H97" s="111"/>
      <c r="I97" s="2088">
        <f>'XM.FILE GOC'!I97</f>
        <v>0</v>
      </c>
      <c r="J97" s="2089"/>
      <c r="K97" s="2090"/>
      <c r="L97" s="2088">
        <f>'XM.FILE GOC'!L97</f>
        <v>0</v>
      </c>
      <c r="M97" s="2089"/>
      <c r="N97" s="2090"/>
      <c r="O97" s="2088">
        <f>'XM.FILE GOC'!O97</f>
        <v>0</v>
      </c>
      <c r="P97" s="2089"/>
      <c r="Q97" s="2090"/>
      <c r="R97" s="2088">
        <f>'XM.FILE GOC'!R97</f>
        <v>0</v>
      </c>
      <c r="S97" s="2089"/>
      <c r="T97" s="2090"/>
      <c r="U97" s="2088">
        <f>'XM.FILE GOC'!U97</f>
        <v>0</v>
      </c>
      <c r="V97" s="2089"/>
      <c r="W97" s="2090"/>
      <c r="X97" s="2088">
        <f>'XM.FILE GOC'!X97</f>
        <v>0</v>
      </c>
      <c r="Y97" s="2089"/>
      <c r="Z97" s="2090"/>
      <c r="AA97" s="2088">
        <f>'XM.FILE GOC'!AA97</f>
        <v>0</v>
      </c>
      <c r="AB97" s="2089"/>
      <c r="AC97" s="2090"/>
      <c r="AD97" s="2088">
        <f>'XM.FILE GOC'!AD97</f>
        <v>0</v>
      </c>
      <c r="AE97" s="2089"/>
      <c r="AF97" s="2090"/>
      <c r="AG97" s="2088">
        <f>'XM.FILE GOC'!AG97</f>
        <v>0</v>
      </c>
      <c r="AH97" s="2089"/>
      <c r="AI97" s="2090"/>
      <c r="AJ97" s="2088">
        <f>'XM.FILE GOC'!AJ97</f>
        <v>0</v>
      </c>
      <c r="AK97" s="2089"/>
      <c r="AL97" s="2090"/>
      <c r="AM97" s="2088">
        <f>'XM.FILE GOC'!AM97</f>
        <v>0</v>
      </c>
      <c r="AN97" s="2089"/>
      <c r="AO97" s="2090"/>
      <c r="AP97" s="2117">
        <f>'XM.FILE GOC'!AP97</f>
        <v>0</v>
      </c>
      <c r="AQ97" s="2117"/>
    </row>
    <row r="98" spans="1:43" ht="45" customHeight="1">
      <c r="A98" s="52" t="s">
        <v>334</v>
      </c>
      <c r="B98" s="1161" t="s">
        <v>143</v>
      </c>
      <c r="C98" s="1145" t="s">
        <v>74</v>
      </c>
      <c r="D98" s="110" t="s">
        <v>113</v>
      </c>
      <c r="E98" s="1724" t="s">
        <v>1496</v>
      </c>
      <c r="F98" s="1724" t="s">
        <v>1452</v>
      </c>
      <c r="G98" s="1541"/>
      <c r="H98" s="111"/>
      <c r="I98" s="2108" t="s">
        <v>1374</v>
      </c>
      <c r="J98" s="2109"/>
      <c r="K98" s="2110"/>
      <c r="L98" s="2088">
        <f>'XM.FILE GOC'!L98</f>
        <v>0</v>
      </c>
      <c r="M98" s="2089"/>
      <c r="N98" s="2090"/>
      <c r="O98" s="2108" t="s">
        <v>1374</v>
      </c>
      <c r="P98" s="2109"/>
      <c r="Q98" s="2110"/>
      <c r="R98" s="2088">
        <f>'XM.FILE GOC'!R98</f>
        <v>0</v>
      </c>
      <c r="S98" s="2089"/>
      <c r="T98" s="2090"/>
      <c r="U98" s="313" t="s">
        <v>1374</v>
      </c>
      <c r="V98" s="313"/>
      <c r="W98" s="313"/>
      <c r="X98" s="2088">
        <f>'XM.FILE GOC'!X98</f>
        <v>0</v>
      </c>
      <c r="Y98" s="2089"/>
      <c r="Z98" s="2090"/>
      <c r="AA98" s="313" t="s">
        <v>1374</v>
      </c>
      <c r="AB98" s="313"/>
      <c r="AC98" s="313"/>
      <c r="AD98" s="2088">
        <f>'XM.FILE GOC'!AD98</f>
        <v>0</v>
      </c>
      <c r="AE98" s="2089"/>
      <c r="AF98" s="2090"/>
      <c r="AG98" s="313" t="s">
        <v>1374</v>
      </c>
      <c r="AH98" s="313"/>
      <c r="AI98" s="313"/>
      <c r="AJ98" s="2088">
        <f>'XM.FILE GOC'!AJ98</f>
        <v>0</v>
      </c>
      <c r="AK98" s="2089"/>
      <c r="AL98" s="2090"/>
      <c r="AM98" s="313" t="s">
        <v>1374</v>
      </c>
      <c r="AN98" s="313"/>
      <c r="AO98" s="313"/>
      <c r="AP98" s="2088">
        <f>'XM.FILE GOC'!AP98</f>
        <v>0</v>
      </c>
      <c r="AQ98" s="2090"/>
    </row>
    <row r="99" spans="1:43" ht="45" hidden="1" customHeight="1">
      <c r="A99" s="1775"/>
      <c r="B99" s="1600"/>
      <c r="C99" s="1610" t="s">
        <v>1395</v>
      </c>
      <c r="D99" s="110" t="s">
        <v>113</v>
      </c>
      <c r="E99" s="1724" t="s">
        <v>1505</v>
      </c>
      <c r="F99" s="1724" t="s">
        <v>1521</v>
      </c>
      <c r="G99" s="1608"/>
      <c r="H99" s="111"/>
      <c r="I99" s="2091">
        <f>'XM.FILE GOC'!I99:K99</f>
        <v>0</v>
      </c>
      <c r="J99" s="2092"/>
      <c r="K99" s="2093"/>
      <c r="L99" s="2091">
        <f>'XM.FILE GOC'!L99:M99</f>
        <v>0</v>
      </c>
      <c r="M99" s="2092"/>
      <c r="N99" s="115"/>
      <c r="O99" s="2091">
        <f>'XM.FILE GOC'!O99:Q99</f>
        <v>0</v>
      </c>
      <c r="P99" s="2092"/>
      <c r="Q99" s="2093"/>
      <c r="R99" s="2091">
        <f>'XM.FILE GOC'!R99:S99</f>
        <v>0</v>
      </c>
      <c r="S99" s="2092"/>
      <c r="T99" s="115"/>
      <c r="U99" s="2091">
        <f>'XM.FILE GOC'!U99:W99</f>
        <v>0</v>
      </c>
      <c r="V99" s="2092"/>
      <c r="W99" s="2093"/>
      <c r="X99" s="2091">
        <f>'XM.FILE GOC'!X99:Y99</f>
        <v>0</v>
      </c>
      <c r="Y99" s="2092"/>
      <c r="Z99" s="115"/>
      <c r="AA99" s="2091">
        <f>'XM.FILE GOC'!AA99:AC99</f>
        <v>0</v>
      </c>
      <c r="AB99" s="2092"/>
      <c r="AC99" s="2093"/>
      <c r="AD99" s="2091">
        <f>'XM.FILE GOC'!AD99:AE99</f>
        <v>0</v>
      </c>
      <c r="AE99" s="2092"/>
      <c r="AF99" s="115"/>
      <c r="AG99" s="2091">
        <f>'XM.FILE GOC'!AG99:AI99</f>
        <v>0</v>
      </c>
      <c r="AH99" s="2092"/>
      <c r="AI99" s="2093"/>
      <c r="AJ99" s="2091">
        <f>'XM.FILE GOC'!AJ99:AK99</f>
        <v>0</v>
      </c>
      <c r="AK99" s="2092"/>
      <c r="AL99" s="115"/>
      <c r="AM99" s="2091">
        <f>'XM.FILE GOC'!AM99:AO99</f>
        <v>0</v>
      </c>
      <c r="AN99" s="2092"/>
      <c r="AO99" s="2093"/>
      <c r="AP99" s="2094">
        <f>'XM.FILE GOC'!AP99:AQ99</f>
        <v>0</v>
      </c>
      <c r="AQ99" s="2094"/>
    </row>
    <row r="100" spans="1:43" ht="45" hidden="1" customHeight="1">
      <c r="A100" s="1775"/>
      <c r="B100" s="1600"/>
      <c r="C100" s="1610" t="s">
        <v>1396</v>
      </c>
      <c r="D100" s="110" t="s">
        <v>113</v>
      </c>
      <c r="E100" s="1724" t="s">
        <v>1500</v>
      </c>
      <c r="F100" s="1724" t="s">
        <v>1460</v>
      </c>
      <c r="G100" s="1608"/>
      <c r="H100" s="111"/>
      <c r="I100" s="2091">
        <f>'XM.FILE GOC'!I100:K100</f>
        <v>0</v>
      </c>
      <c r="J100" s="2092"/>
      <c r="K100" s="2093"/>
      <c r="L100" s="2091">
        <f>'XM.FILE GOC'!L100:M100</f>
        <v>0</v>
      </c>
      <c r="M100" s="2092"/>
      <c r="N100" s="115"/>
      <c r="O100" s="2091">
        <f>'XM.FILE GOC'!O100:Q100</f>
        <v>0</v>
      </c>
      <c r="P100" s="2092"/>
      <c r="Q100" s="2093"/>
      <c r="R100" s="2091">
        <f>'XM.FILE GOC'!R100:S100</f>
        <v>0</v>
      </c>
      <c r="S100" s="2092"/>
      <c r="T100" s="115"/>
      <c r="U100" s="2091">
        <f>'XM.FILE GOC'!U100:W100</f>
        <v>0</v>
      </c>
      <c r="V100" s="2092"/>
      <c r="W100" s="2093"/>
      <c r="X100" s="2091">
        <f>'XM.FILE GOC'!X100:Y100</f>
        <v>0</v>
      </c>
      <c r="Y100" s="2092"/>
      <c r="Z100" s="115"/>
      <c r="AA100" s="2091">
        <f>'XM.FILE GOC'!AA100:AC100</f>
        <v>0</v>
      </c>
      <c r="AB100" s="2092"/>
      <c r="AC100" s="2093"/>
      <c r="AD100" s="2091">
        <f>'XM.FILE GOC'!AD100:AE100</f>
        <v>0</v>
      </c>
      <c r="AE100" s="2092"/>
      <c r="AF100" s="115"/>
      <c r="AG100" s="2091">
        <f>'XM.FILE GOC'!AG100:AI100</f>
        <v>0</v>
      </c>
      <c r="AH100" s="2092"/>
      <c r="AI100" s="2093"/>
      <c r="AJ100" s="2091">
        <f>'XM.FILE GOC'!AJ100:AK100</f>
        <v>0</v>
      </c>
      <c r="AK100" s="2092"/>
      <c r="AL100" s="115"/>
      <c r="AM100" s="2091">
        <f>'XM.FILE GOC'!AM100:AO100</f>
        <v>0</v>
      </c>
      <c r="AN100" s="2092"/>
      <c r="AO100" s="2093"/>
      <c r="AP100" s="2094">
        <f>'XM.FILE GOC'!AP100:AQ100</f>
        <v>0</v>
      </c>
      <c r="AQ100" s="2094"/>
    </row>
    <row r="101" spans="1:43" ht="45" customHeight="1">
      <c r="A101" s="308"/>
      <c r="B101" s="1161"/>
      <c r="C101" s="1145" t="s">
        <v>1053</v>
      </c>
      <c r="D101" s="21" t="s">
        <v>113</v>
      </c>
      <c r="E101" s="1724" t="s">
        <v>1456</v>
      </c>
      <c r="F101" s="1724" t="s">
        <v>1456</v>
      </c>
      <c r="G101" s="1541"/>
      <c r="H101" s="111"/>
      <c r="I101" s="1883">
        <f>'XM.FILE GOC'!I101</f>
        <v>0</v>
      </c>
      <c r="J101" s="1884"/>
      <c r="K101" s="1884"/>
      <c r="L101" s="2366">
        <f>'XM.FILE GOC'!L101</f>
        <v>0</v>
      </c>
      <c r="M101" s="2367"/>
      <c r="N101" s="2368"/>
      <c r="O101" s="1883"/>
      <c r="P101" s="1884"/>
      <c r="Q101" s="1884"/>
      <c r="R101" s="2366"/>
      <c r="S101" s="2367"/>
      <c r="T101" s="2368"/>
      <c r="U101" s="1883">
        <f>'XM.FILE GOC'!U101</f>
        <v>0</v>
      </c>
      <c r="V101" s="1884"/>
      <c r="W101" s="1884"/>
      <c r="X101" s="2366">
        <f>'XM.FILE GOC'!X101</f>
        <v>0</v>
      </c>
      <c r="Y101" s="2367"/>
      <c r="Z101" s="2368"/>
      <c r="AA101" s="1883">
        <f>'XM.FILE GOC'!AA101</f>
        <v>0</v>
      </c>
      <c r="AB101" s="1884"/>
      <c r="AC101" s="1884"/>
      <c r="AD101" s="2366">
        <f>'XM.FILE GOC'!AD101</f>
        <v>0</v>
      </c>
      <c r="AE101" s="2367"/>
      <c r="AF101" s="2368"/>
      <c r="AG101" s="2366"/>
      <c r="AH101" s="2367"/>
      <c r="AI101" s="2368"/>
      <c r="AJ101" s="2366"/>
      <c r="AK101" s="2367"/>
      <c r="AL101" s="2368"/>
      <c r="AM101" s="2366">
        <f>'XM.FILE GOC'!AM101</f>
        <v>0</v>
      </c>
      <c r="AN101" s="2367"/>
      <c r="AO101" s="2368"/>
      <c r="AP101" s="2375">
        <f>'XM.FILE GOC'!AP101</f>
        <v>0</v>
      </c>
      <c r="AQ101" s="2375"/>
    </row>
    <row r="102" spans="1:43" ht="45" customHeight="1">
      <c r="A102" s="308"/>
      <c r="B102" s="1564"/>
      <c r="C102" s="1567" t="s">
        <v>1377</v>
      </c>
      <c r="D102" s="21" t="s">
        <v>113</v>
      </c>
      <c r="E102" s="1724" t="s">
        <v>1516</v>
      </c>
      <c r="F102" s="1724" t="s">
        <v>1447</v>
      </c>
      <c r="G102" s="1541"/>
      <c r="H102" s="111"/>
      <c r="I102" s="2104">
        <f>'XM.FILE GOC'!I102</f>
        <v>0</v>
      </c>
      <c r="J102" s="2105"/>
      <c r="K102" s="2106"/>
      <c r="L102" s="2104">
        <f>'XM.FILE GOC'!L102</f>
        <v>0</v>
      </c>
      <c r="M102" s="2105"/>
      <c r="N102" s="2106"/>
      <c r="O102" s="2104">
        <f>'XM.FILE GOC'!O102</f>
        <v>0</v>
      </c>
      <c r="P102" s="2105"/>
      <c r="Q102" s="2106"/>
      <c r="R102" s="2104">
        <f>'XM.FILE GOC'!R102</f>
        <v>0</v>
      </c>
      <c r="S102" s="2105"/>
      <c r="T102" s="2106"/>
      <c r="U102" s="2104">
        <f>'XM.FILE GOC'!U102</f>
        <v>0</v>
      </c>
      <c r="V102" s="2105"/>
      <c r="W102" s="2106"/>
      <c r="X102" s="2104">
        <f>'XM.FILE GOC'!X102</f>
        <v>0</v>
      </c>
      <c r="Y102" s="2105"/>
      <c r="Z102" s="2106"/>
      <c r="AA102" s="2104">
        <f>'XM.FILE GOC'!AA102</f>
        <v>0</v>
      </c>
      <c r="AB102" s="2105"/>
      <c r="AC102" s="2106"/>
      <c r="AD102" s="2104">
        <f>'XM.FILE GOC'!AD102</f>
        <v>0</v>
      </c>
      <c r="AE102" s="2105"/>
      <c r="AF102" s="2106"/>
      <c r="AG102" s="2104">
        <f>'XM.FILE GOC'!AG102</f>
        <v>0</v>
      </c>
      <c r="AH102" s="2105"/>
      <c r="AI102" s="2106"/>
      <c r="AJ102" s="2104">
        <f>'XM.FILE GOC'!AJ102</f>
        <v>0</v>
      </c>
      <c r="AK102" s="2105"/>
      <c r="AL102" s="2106"/>
      <c r="AM102" s="2104">
        <f>'XM.FILE GOC'!AM102</f>
        <v>0</v>
      </c>
      <c r="AN102" s="2105"/>
      <c r="AO102" s="2106"/>
      <c r="AP102" s="2104">
        <f>'XM.FILE GOC'!AP102</f>
        <v>0</v>
      </c>
      <c r="AQ102" s="2106"/>
    </row>
    <row r="103" spans="1:43" ht="39.75" customHeight="1">
      <c r="A103" s="1499" t="s">
        <v>342</v>
      </c>
      <c r="B103" s="1500" t="s">
        <v>143</v>
      </c>
      <c r="C103" s="1142" t="s">
        <v>127</v>
      </c>
      <c r="D103" s="1143" t="s">
        <v>113</v>
      </c>
      <c r="E103" s="1724" t="s">
        <v>1517</v>
      </c>
      <c r="F103" s="1724" t="s">
        <v>1457</v>
      </c>
      <c r="G103" s="1541"/>
      <c r="H103" s="111"/>
      <c r="I103" s="2099">
        <f>'XM.FILE GOC'!I103</f>
        <v>0</v>
      </c>
      <c r="J103" s="2100"/>
      <c r="K103" s="2101"/>
      <c r="L103" s="2099">
        <f>'XM.FILE GOC'!L103</f>
        <v>0</v>
      </c>
      <c r="M103" s="2100"/>
      <c r="N103" s="1695"/>
      <c r="O103" s="1696">
        <f>'XM.FILE GOC'!O103</f>
        <v>0</v>
      </c>
      <c r="P103" s="1697"/>
      <c r="Q103" s="1697"/>
      <c r="R103" s="1696">
        <f>'XM.FILE GOC'!R103</f>
        <v>0</v>
      </c>
      <c r="S103" s="1698"/>
      <c r="T103" s="1699"/>
      <c r="U103" s="2099">
        <f>'XM.FILE GOC'!U103</f>
        <v>0</v>
      </c>
      <c r="V103" s="2100"/>
      <c r="W103" s="2101"/>
      <c r="X103" s="2099">
        <f>'XM.FILE GOC'!X103</f>
        <v>0</v>
      </c>
      <c r="Y103" s="2100"/>
      <c r="Z103" s="1700"/>
      <c r="AA103" s="2099">
        <f>'XM.FILE GOC'!AA103</f>
        <v>0</v>
      </c>
      <c r="AB103" s="2100"/>
      <c r="AC103" s="2101"/>
      <c r="AD103" s="2099">
        <f>'XM.FILE GOC'!AD103</f>
        <v>0</v>
      </c>
      <c r="AE103" s="2100"/>
      <c r="AF103" s="1700"/>
      <c r="AG103" s="1696">
        <f>'XM.FILE GOC'!AG103</f>
        <v>0</v>
      </c>
      <c r="AH103" s="1697"/>
      <c r="AI103" s="1697"/>
      <c r="AJ103" s="1696">
        <f>'XM.FILE GOC'!AJ103</f>
        <v>0</v>
      </c>
      <c r="AK103" s="1698"/>
      <c r="AL103" s="1700"/>
      <c r="AM103" s="2099">
        <f>'XM.FILE GOC'!AM103</f>
        <v>0</v>
      </c>
      <c r="AN103" s="2100"/>
      <c r="AO103" s="2101"/>
      <c r="AP103" s="2102">
        <f>'XM.FILE GOC'!AP103</f>
        <v>0</v>
      </c>
      <c r="AQ103" s="2102"/>
    </row>
    <row r="104" spans="1:43" ht="39.75" customHeight="1">
      <c r="A104" s="1499" t="s">
        <v>343</v>
      </c>
      <c r="B104" s="1500" t="s">
        <v>143</v>
      </c>
      <c r="C104" s="1142" t="s">
        <v>1396</v>
      </c>
      <c r="D104" s="1143" t="s">
        <v>113</v>
      </c>
      <c r="E104" s="1724" t="s">
        <v>1505</v>
      </c>
      <c r="F104" s="1724" t="s">
        <v>1458</v>
      </c>
      <c r="G104" s="1541"/>
      <c r="H104" s="111"/>
      <c r="I104" s="2099">
        <f>'XM.FILE GOC'!I104</f>
        <v>0</v>
      </c>
      <c r="J104" s="2100"/>
      <c r="K104" s="2101"/>
      <c r="L104" s="2099">
        <f>'XM.FILE GOC'!L104</f>
        <v>0</v>
      </c>
      <c r="M104" s="2101"/>
      <c r="N104" s="1695"/>
      <c r="O104" s="1696">
        <f>'XM.FILE GOC'!O104</f>
        <v>0</v>
      </c>
      <c r="P104" s="1697"/>
      <c r="Q104" s="1697"/>
      <c r="R104" s="1696">
        <f>'XM.FILE GOC'!R104</f>
        <v>0</v>
      </c>
      <c r="S104" s="1698"/>
      <c r="T104" s="1699"/>
      <c r="U104" s="2099">
        <f>'XM.FILE GOC'!U104</f>
        <v>0</v>
      </c>
      <c r="V104" s="2100"/>
      <c r="W104" s="2101"/>
      <c r="X104" s="2099">
        <f>'XM.FILE GOC'!X104</f>
        <v>0</v>
      </c>
      <c r="Y104" s="2100"/>
      <c r="Z104" s="1700"/>
      <c r="AA104" s="2099">
        <f>'XM.FILE GOC'!AA104</f>
        <v>0</v>
      </c>
      <c r="AB104" s="2100"/>
      <c r="AC104" s="2101"/>
      <c r="AD104" s="2099">
        <f>'XM.FILE GOC'!AD104</f>
        <v>0</v>
      </c>
      <c r="AE104" s="2100"/>
      <c r="AF104" s="1700"/>
      <c r="AG104" s="1696">
        <f>'XM.FILE GOC'!AG104</f>
        <v>0</v>
      </c>
      <c r="AH104" s="1697"/>
      <c r="AI104" s="1697"/>
      <c r="AJ104" s="1696">
        <f>'XM.FILE GOC'!AJ104</f>
        <v>0</v>
      </c>
      <c r="AK104" s="1698"/>
      <c r="AL104" s="1700"/>
      <c r="AM104" s="2099">
        <f>'XM.FILE GOC'!AM104</f>
        <v>0</v>
      </c>
      <c r="AN104" s="2100"/>
      <c r="AO104" s="2101"/>
      <c r="AP104" s="2099">
        <f>'XM.FILE GOC'!AP104</f>
        <v>0</v>
      </c>
      <c r="AQ104" s="2101"/>
    </row>
    <row r="105" spans="1:43" ht="39.75" customHeight="1">
      <c r="A105" s="1499" t="s">
        <v>344</v>
      </c>
      <c r="B105" s="1500" t="s">
        <v>143</v>
      </c>
      <c r="C105" s="1142" t="s">
        <v>132</v>
      </c>
      <c r="D105" s="1143" t="s">
        <v>113</v>
      </c>
      <c r="E105" s="1724" t="s">
        <v>1456</v>
      </c>
      <c r="F105" s="1724" t="s">
        <v>1459</v>
      </c>
      <c r="G105" s="1541"/>
      <c r="H105" s="111"/>
      <c r="I105" s="2099">
        <f>'XM.FILE GOC'!I105</f>
        <v>0</v>
      </c>
      <c r="J105" s="2100"/>
      <c r="K105" s="2101"/>
      <c r="L105" s="2102">
        <f>'XM.FILE GOC'!L105</f>
        <v>0</v>
      </c>
      <c r="M105" s="2102"/>
      <c r="N105" s="1700"/>
      <c r="O105" s="1696">
        <f>'XM.FILE GOC'!O105</f>
        <v>0</v>
      </c>
      <c r="P105" s="1697"/>
      <c r="Q105" s="1697"/>
      <c r="R105" s="1696">
        <f>'XM.FILE GOC'!R105</f>
        <v>0</v>
      </c>
      <c r="S105" s="1698"/>
      <c r="T105" s="1700"/>
      <c r="U105" s="2099">
        <f>'XM.FILE GOC'!U105</f>
        <v>0</v>
      </c>
      <c r="V105" s="2100"/>
      <c r="W105" s="2101"/>
      <c r="X105" s="2102">
        <f>'XM.FILE GOC'!X105</f>
        <v>0</v>
      </c>
      <c r="Y105" s="2102"/>
      <c r="Z105" s="1700"/>
      <c r="AA105" s="2099">
        <f>'XM.FILE GOC'!AA105</f>
        <v>0</v>
      </c>
      <c r="AB105" s="2100"/>
      <c r="AC105" s="2101"/>
      <c r="AD105" s="2102">
        <f>'XM.FILE GOC'!AD105</f>
        <v>0</v>
      </c>
      <c r="AE105" s="2102"/>
      <c r="AF105" s="1700"/>
      <c r="AG105" s="1696">
        <f>'XM.FILE GOC'!AG105</f>
        <v>0</v>
      </c>
      <c r="AH105" s="1697"/>
      <c r="AI105" s="1697"/>
      <c r="AJ105" s="1696">
        <f>'XM.FILE GOC'!AJ105</f>
        <v>0</v>
      </c>
      <c r="AK105" s="1698"/>
      <c r="AL105" s="1700"/>
      <c r="AM105" s="2099">
        <f>'XM.FILE GOC'!AM105</f>
        <v>0</v>
      </c>
      <c r="AN105" s="2100"/>
      <c r="AO105" s="2101"/>
      <c r="AP105" s="2102">
        <f>'XM.FILE GOC'!AP105</f>
        <v>0</v>
      </c>
      <c r="AQ105" s="2102"/>
    </row>
    <row r="106" spans="1:43" s="224" customFormat="1" ht="54" customHeight="1">
      <c r="A106" s="319" t="s">
        <v>78</v>
      </c>
      <c r="B106" s="320"/>
      <c r="C106" s="320"/>
      <c r="D106" s="320"/>
      <c r="E106" s="1717"/>
      <c r="F106" s="1717"/>
      <c r="G106" s="1522"/>
      <c r="H106" s="320"/>
      <c r="I106" s="320"/>
      <c r="J106" s="320"/>
      <c r="K106" s="320"/>
      <c r="L106" s="320"/>
      <c r="M106" s="320"/>
      <c r="N106" s="320"/>
      <c r="O106" s="321"/>
      <c r="P106" s="320"/>
      <c r="Q106" s="320"/>
      <c r="R106" s="320"/>
      <c r="S106" s="321"/>
      <c r="T106" s="320"/>
      <c r="U106" s="321"/>
      <c r="V106" s="320"/>
      <c r="W106" s="320"/>
      <c r="X106" s="320"/>
      <c r="Y106" s="320"/>
      <c r="Z106" s="320"/>
      <c r="AA106" s="320"/>
      <c r="AB106" s="320"/>
      <c r="AC106" s="320"/>
      <c r="AD106" s="320"/>
      <c r="AE106" s="320"/>
      <c r="AF106" s="321"/>
      <c r="AG106" s="321"/>
      <c r="AH106" s="321"/>
      <c r="AI106" s="321"/>
      <c r="AJ106" s="321"/>
      <c r="AK106" s="321"/>
      <c r="AL106" s="321"/>
      <c r="AM106" s="321"/>
      <c r="AN106" s="321"/>
      <c r="AO106" s="321"/>
      <c r="AP106" s="321"/>
      <c r="AQ106" s="1123"/>
    </row>
    <row r="107" spans="1:43" ht="55.5" customHeight="1">
      <c r="A107" s="308" t="s">
        <v>335</v>
      </c>
      <c r="B107" s="1161" t="s">
        <v>143</v>
      </c>
      <c r="C107" s="119" t="s">
        <v>1191</v>
      </c>
      <c r="D107" s="1166" t="s">
        <v>51</v>
      </c>
      <c r="E107" s="1713" t="s">
        <v>1406</v>
      </c>
      <c r="F107" s="1713" t="s">
        <v>1406</v>
      </c>
      <c r="G107" s="1542"/>
      <c r="H107" s="114"/>
      <c r="I107" s="2119">
        <f>'XM.FILE GOC'!I107</f>
        <v>0</v>
      </c>
      <c r="J107" s="2120"/>
      <c r="K107" s="2120"/>
      <c r="L107" s="2120"/>
      <c r="M107" s="2121"/>
      <c r="N107" s="1662"/>
      <c r="O107" s="2119">
        <f>'XM.FILE GOC'!O107</f>
        <v>0</v>
      </c>
      <c r="P107" s="2120"/>
      <c r="Q107" s="2120"/>
      <c r="R107" s="2120"/>
      <c r="S107" s="2121"/>
      <c r="T107" s="1817"/>
      <c r="U107" s="2119">
        <f>'XM.FILE GOC'!U107</f>
        <v>0</v>
      </c>
      <c r="V107" s="2120"/>
      <c r="W107" s="2120"/>
      <c r="X107" s="2120"/>
      <c r="Y107" s="2121"/>
      <c r="Z107" s="1817"/>
      <c r="AA107" s="2119">
        <f>'XM.FILE GOC'!AA107:AE107</f>
        <v>0</v>
      </c>
      <c r="AB107" s="2120"/>
      <c r="AC107" s="2120"/>
      <c r="AD107" s="2120"/>
      <c r="AE107" s="2121"/>
      <c r="AF107" s="1817"/>
      <c r="AG107" s="2119">
        <f>'XM.FILE GOC'!AG107:AK107</f>
        <v>0</v>
      </c>
      <c r="AH107" s="2120"/>
      <c r="AI107" s="2120"/>
      <c r="AJ107" s="2120"/>
      <c r="AK107" s="2121"/>
      <c r="AL107" s="1817"/>
      <c r="AM107" s="2119">
        <f>'XM.FILE GOC'!AM107</f>
        <v>0</v>
      </c>
      <c r="AN107" s="2120"/>
      <c r="AO107" s="2120"/>
      <c r="AP107" s="2120"/>
      <c r="AQ107" s="2121"/>
    </row>
    <row r="108" spans="1:43" ht="55.5" customHeight="1">
      <c r="A108" s="52" t="s">
        <v>336</v>
      </c>
      <c r="B108" s="1161" t="s">
        <v>143</v>
      </c>
      <c r="C108" s="119" t="s">
        <v>1192</v>
      </c>
      <c r="D108" s="1166" t="s">
        <v>51</v>
      </c>
      <c r="E108" s="1713" t="s">
        <v>1407</v>
      </c>
      <c r="F108" s="1713" t="s">
        <v>1407</v>
      </c>
      <c r="G108" s="1542"/>
      <c r="H108" s="114"/>
      <c r="I108" s="2119">
        <f>'XM.FILE GOC'!I108</f>
        <v>0</v>
      </c>
      <c r="J108" s="2120"/>
      <c r="K108" s="2120"/>
      <c r="L108" s="2120"/>
      <c r="M108" s="2121"/>
      <c r="N108" s="1818"/>
      <c r="O108" s="2119">
        <f>'XM.FILE GOC'!O108</f>
        <v>0</v>
      </c>
      <c r="P108" s="2120"/>
      <c r="Q108" s="2120"/>
      <c r="R108" s="2120"/>
      <c r="S108" s="2121"/>
      <c r="T108" s="1819"/>
      <c r="U108" s="2119">
        <f>'XM.FILE GOC'!U108:Y108</f>
        <v>0</v>
      </c>
      <c r="V108" s="2120"/>
      <c r="W108" s="2120"/>
      <c r="X108" s="2120"/>
      <c r="Y108" s="2121"/>
      <c r="Z108" s="1818"/>
      <c r="AA108" s="2119">
        <f>'XM.FILE GOC'!AA108</f>
        <v>0</v>
      </c>
      <c r="AB108" s="2120"/>
      <c r="AC108" s="2120"/>
      <c r="AD108" s="2120"/>
      <c r="AE108" s="2121"/>
      <c r="AF108" s="1812"/>
      <c r="AG108" s="2119">
        <f>'XM.FILE GOC'!AG108</f>
        <v>0</v>
      </c>
      <c r="AH108" s="2120"/>
      <c r="AI108" s="2120"/>
      <c r="AJ108" s="2120"/>
      <c r="AK108" s="2121"/>
      <c r="AL108" s="1812"/>
      <c r="AM108" s="2119">
        <f>'XM.FILE GOC'!AM108:AQ108</f>
        <v>0</v>
      </c>
      <c r="AN108" s="2120"/>
      <c r="AO108" s="2120"/>
      <c r="AP108" s="2120"/>
      <c r="AQ108" s="2121"/>
    </row>
  </sheetData>
  <sheetProtection formatCells="0" formatColumns="0" formatRows="0" insertColumns="0" insertRows="0" insertHyperlinks="0" deleteColumns="0" deleteRows="0" selectLockedCells="1" sort="0" autoFilter="0" pivotTables="0"/>
  <mergeCells count="400">
    <mergeCell ref="AJ58:AL58"/>
    <mergeCell ref="AJ59:AL59"/>
    <mergeCell ref="X58:Z58"/>
    <mergeCell ref="X59:Z59"/>
    <mergeCell ref="AD53:AF53"/>
    <mergeCell ref="AD54:AF54"/>
    <mergeCell ref="AD55:AF55"/>
    <mergeCell ref="AD56:AF56"/>
    <mergeCell ref="AD57:AF57"/>
    <mergeCell ref="AD58:AF58"/>
    <mergeCell ref="AD59:AF59"/>
    <mergeCell ref="X53:Z53"/>
    <mergeCell ref="X54:Z54"/>
    <mergeCell ref="L56:N56"/>
    <mergeCell ref="L57:N57"/>
    <mergeCell ref="L58:N58"/>
    <mergeCell ref="L59:N59"/>
    <mergeCell ref="R53:T53"/>
    <mergeCell ref="R54:T54"/>
    <mergeCell ref="R55:T55"/>
    <mergeCell ref="R56:T56"/>
    <mergeCell ref="R57:T57"/>
    <mergeCell ref="R58:T58"/>
    <mergeCell ref="R59:T59"/>
    <mergeCell ref="O58:Q58"/>
    <mergeCell ref="L29:M29"/>
    <mergeCell ref="R29:S29"/>
    <mergeCell ref="X29:Y29"/>
    <mergeCell ref="AD29:AE29"/>
    <mergeCell ref="AJ29:AK29"/>
    <mergeCell ref="AU20:AV20"/>
    <mergeCell ref="AU30:AV30"/>
    <mergeCell ref="L98:N98"/>
    <mergeCell ref="R98:T98"/>
    <mergeCell ref="X98:Z98"/>
    <mergeCell ref="AD98:AF98"/>
    <mergeCell ref="AJ98:AL98"/>
    <mergeCell ref="AA60:AC60"/>
    <mergeCell ref="AD60:AF60"/>
    <mergeCell ref="AG60:AI60"/>
    <mergeCell ref="AJ60:AL60"/>
    <mergeCell ref="U94:W94"/>
    <mergeCell ref="AA94:AC94"/>
    <mergeCell ref="AM60:AO60"/>
    <mergeCell ref="X55:Z55"/>
    <mergeCell ref="X56:Z56"/>
    <mergeCell ref="L53:N53"/>
    <mergeCell ref="L54:N54"/>
    <mergeCell ref="L55:N55"/>
    <mergeCell ref="U58:W58"/>
    <mergeCell ref="U59:W59"/>
    <mergeCell ref="AM53:AO53"/>
    <mergeCell ref="AP53:AQ53"/>
    <mergeCell ref="AM54:AO54"/>
    <mergeCell ref="AT37:AT40"/>
    <mergeCell ref="AT68:AT71"/>
    <mergeCell ref="I108:M108"/>
    <mergeCell ref="O108:S108"/>
    <mergeCell ref="U108:Y108"/>
    <mergeCell ref="AA108:AE108"/>
    <mergeCell ref="O107:S107"/>
    <mergeCell ref="AG53:AI53"/>
    <mergeCell ref="AG58:AI58"/>
    <mergeCell ref="AM93:AO93"/>
    <mergeCell ref="AG97:AI97"/>
    <mergeCell ref="AD105:AE105"/>
    <mergeCell ref="O92:Q92"/>
    <mergeCell ref="U92:W92"/>
    <mergeCell ref="AM105:AO105"/>
    <mergeCell ref="AM94:AO94"/>
    <mergeCell ref="AG94:AI94"/>
    <mergeCell ref="AA62:AE62"/>
    <mergeCell ref="O94:Q94"/>
    <mergeCell ref="AM32:AQ32"/>
    <mergeCell ref="AA57:AC57"/>
    <mergeCell ref="U57:W57"/>
    <mergeCell ref="X57:Z57"/>
    <mergeCell ref="AJ53:AL53"/>
    <mergeCell ref="AJ54:AL54"/>
    <mergeCell ref="AJ55:AL55"/>
    <mergeCell ref="AJ56:AL56"/>
    <mergeCell ref="AJ57:AL57"/>
    <mergeCell ref="I32:M32"/>
    <mergeCell ref="O32:S32"/>
    <mergeCell ref="I53:K53"/>
    <mergeCell ref="AM31:AQ31"/>
    <mergeCell ref="I91:K91"/>
    <mergeCell ref="O91:Q91"/>
    <mergeCell ref="I29:K29"/>
    <mergeCell ref="AA53:AC53"/>
    <mergeCell ref="I55:K55"/>
    <mergeCell ref="I56:K56"/>
    <mergeCell ref="O53:Q53"/>
    <mergeCell ref="O55:Q55"/>
    <mergeCell ref="O54:Q54"/>
    <mergeCell ref="O56:Q56"/>
    <mergeCell ref="AA59:AC59"/>
    <mergeCell ref="AA58:AC58"/>
    <mergeCell ref="AA32:AE32"/>
    <mergeCell ref="I57:K57"/>
    <mergeCell ref="I58:K58"/>
    <mergeCell ref="U31:Y31"/>
    <mergeCell ref="AM62:AQ62"/>
    <mergeCell ref="U91:W91"/>
    <mergeCell ref="U32:Y32"/>
    <mergeCell ref="AG32:AK32"/>
    <mergeCell ref="AM28:AO28"/>
    <mergeCell ref="AP28:AQ28"/>
    <mergeCell ref="O29:Q29"/>
    <mergeCell ref="U29:W29"/>
    <mergeCell ref="AA29:AC29"/>
    <mergeCell ref="AG29:AI29"/>
    <mergeCell ref="AM29:AO29"/>
    <mergeCell ref="AP29:AQ29"/>
    <mergeCell ref="X28:Y28"/>
    <mergeCell ref="AA28:AC28"/>
    <mergeCell ref="AD28:AE28"/>
    <mergeCell ref="AG28:AI28"/>
    <mergeCell ref="AJ28:AK28"/>
    <mergeCell ref="R28:S28"/>
    <mergeCell ref="U28:W28"/>
    <mergeCell ref="AM26:AO26"/>
    <mergeCell ref="AP26:AQ26"/>
    <mergeCell ref="I27:K27"/>
    <mergeCell ref="L27:M27"/>
    <mergeCell ref="O27:Q27"/>
    <mergeCell ref="R27:S27"/>
    <mergeCell ref="U27:W27"/>
    <mergeCell ref="X27:Y27"/>
    <mergeCell ref="AA27:AC27"/>
    <mergeCell ref="AD27:AE27"/>
    <mergeCell ref="AG27:AI27"/>
    <mergeCell ref="AJ27:AK27"/>
    <mergeCell ref="AM27:AO27"/>
    <mergeCell ref="AP27:AQ27"/>
    <mergeCell ref="X26:Y26"/>
    <mergeCell ref="AA26:AC26"/>
    <mergeCell ref="AD26:AE26"/>
    <mergeCell ref="AG26:AI26"/>
    <mergeCell ref="AJ26:AK26"/>
    <mergeCell ref="I26:K26"/>
    <mergeCell ref="L26:M26"/>
    <mergeCell ref="O26:Q26"/>
    <mergeCell ref="R26:S26"/>
    <mergeCell ref="U26:W26"/>
    <mergeCell ref="AP25:AQ25"/>
    <mergeCell ref="X24:Y24"/>
    <mergeCell ref="AA24:AC24"/>
    <mergeCell ref="AD24:AE24"/>
    <mergeCell ref="AG24:AI24"/>
    <mergeCell ref="AJ24:AK24"/>
    <mergeCell ref="X25:Y25"/>
    <mergeCell ref="AA25:AC25"/>
    <mergeCell ref="AD25:AE25"/>
    <mergeCell ref="AG25:AI25"/>
    <mergeCell ref="AM24:AO24"/>
    <mergeCell ref="AP24:AQ24"/>
    <mergeCell ref="AJ25:AK25"/>
    <mergeCell ref="I24:K24"/>
    <mergeCell ref="L24:M24"/>
    <mergeCell ref="O24:Q24"/>
    <mergeCell ref="R24:S24"/>
    <mergeCell ref="U24:W24"/>
    <mergeCell ref="I25:K25"/>
    <mergeCell ref="L25:M25"/>
    <mergeCell ref="O25:Q25"/>
    <mergeCell ref="R25:S25"/>
    <mergeCell ref="U25:W25"/>
    <mergeCell ref="AA22:AC22"/>
    <mergeCell ref="AD22:AE22"/>
    <mergeCell ref="AG22:AI22"/>
    <mergeCell ref="AJ22:AK22"/>
    <mergeCell ref="AG23:AI23"/>
    <mergeCell ref="X23:Y23"/>
    <mergeCell ref="AA23:AC23"/>
    <mergeCell ref="AD23:AE23"/>
    <mergeCell ref="AJ23:AK23"/>
    <mergeCell ref="L22:M22"/>
    <mergeCell ref="O22:Q22"/>
    <mergeCell ref="R22:S22"/>
    <mergeCell ref="I23:K23"/>
    <mergeCell ref="L23:M23"/>
    <mergeCell ref="O23:Q23"/>
    <mergeCell ref="R23:S23"/>
    <mergeCell ref="U23:W23"/>
    <mergeCell ref="X22:Y22"/>
    <mergeCell ref="AP103:AQ103"/>
    <mergeCell ref="U104:W104"/>
    <mergeCell ref="X104:Y104"/>
    <mergeCell ref="AA104:AC104"/>
    <mergeCell ref="AG93:AI93"/>
    <mergeCell ref="AG91:AI91"/>
    <mergeCell ref="AP97:AQ97"/>
    <mergeCell ref="AM97:AO97"/>
    <mergeCell ref="AP104:AQ104"/>
    <mergeCell ref="AP98:AQ98"/>
    <mergeCell ref="AM104:AO104"/>
    <mergeCell ref="U93:W93"/>
    <mergeCell ref="AP91:AQ91"/>
    <mergeCell ref="AM102:AO102"/>
    <mergeCell ref="AP102:AQ102"/>
    <mergeCell ref="AA93:AC93"/>
    <mergeCell ref="AP94:AQ94"/>
    <mergeCell ref="AJ91:AL91"/>
    <mergeCell ref="AD92:AF92"/>
    <mergeCell ref="AJ92:AL92"/>
    <mergeCell ref="AP95:AQ95"/>
    <mergeCell ref="AA95:AC95"/>
    <mergeCell ref="AG95:AI95"/>
    <mergeCell ref="AM95:AO95"/>
    <mergeCell ref="I107:M107"/>
    <mergeCell ref="I105:K105"/>
    <mergeCell ref="L105:M105"/>
    <mergeCell ref="U105:W105"/>
    <mergeCell ref="X105:Y105"/>
    <mergeCell ref="AA105:AC105"/>
    <mergeCell ref="I104:K104"/>
    <mergeCell ref="L104:M104"/>
    <mergeCell ref="AD104:AE104"/>
    <mergeCell ref="U107:Y107"/>
    <mergeCell ref="AA107:AE107"/>
    <mergeCell ref="AM108:AQ108"/>
    <mergeCell ref="AG107:AK107"/>
    <mergeCell ref="AM107:AQ107"/>
    <mergeCell ref="AP60:AQ60"/>
    <mergeCell ref="AG56:AI56"/>
    <mergeCell ref="AA54:AC54"/>
    <mergeCell ref="AG57:AI57"/>
    <mergeCell ref="AP93:AQ93"/>
    <mergeCell ref="AM91:AO91"/>
    <mergeCell ref="AA55:AC55"/>
    <mergeCell ref="AA56:AC56"/>
    <mergeCell ref="AG54:AI54"/>
    <mergeCell ref="AG55:AI55"/>
    <mergeCell ref="AA63:AE63"/>
    <mergeCell ref="AA92:AC92"/>
    <mergeCell ref="AA91:AC91"/>
    <mergeCell ref="AG59:AI59"/>
    <mergeCell ref="AP56:AQ56"/>
    <mergeCell ref="AG108:AK108"/>
    <mergeCell ref="AM101:AO101"/>
    <mergeCell ref="AP101:AQ101"/>
    <mergeCell ref="AD91:AF91"/>
    <mergeCell ref="AP105:AQ105"/>
    <mergeCell ref="AM103:AO103"/>
    <mergeCell ref="G4:G5"/>
    <mergeCell ref="G35:G36"/>
    <mergeCell ref="G66:G67"/>
    <mergeCell ref="AA31:AE31"/>
    <mergeCell ref="AG31:AK31"/>
    <mergeCell ref="I31:M31"/>
    <mergeCell ref="O31:S31"/>
    <mergeCell ref="AG63:AK63"/>
    <mergeCell ref="O57:Q57"/>
    <mergeCell ref="I63:M63"/>
    <mergeCell ref="O63:S63"/>
    <mergeCell ref="U53:W53"/>
    <mergeCell ref="U54:W54"/>
    <mergeCell ref="U55:W55"/>
    <mergeCell ref="U56:W56"/>
    <mergeCell ref="U22:W22"/>
    <mergeCell ref="I28:K28"/>
    <mergeCell ref="L28:M28"/>
    <mergeCell ref="O28:Q28"/>
    <mergeCell ref="I54:K54"/>
    <mergeCell ref="I59:K59"/>
    <mergeCell ref="U63:Y63"/>
    <mergeCell ref="O59:Q59"/>
    <mergeCell ref="I22:K22"/>
    <mergeCell ref="I92:K92"/>
    <mergeCell ref="I62:M62"/>
    <mergeCell ref="O62:S62"/>
    <mergeCell ref="U62:Y62"/>
    <mergeCell ref="I60:K60"/>
    <mergeCell ref="L60:N60"/>
    <mergeCell ref="O60:Q60"/>
    <mergeCell ref="R60:T60"/>
    <mergeCell ref="U60:W60"/>
    <mergeCell ref="X60:Z60"/>
    <mergeCell ref="L91:N91"/>
    <mergeCell ref="R91:T91"/>
    <mergeCell ref="X91:Z91"/>
    <mergeCell ref="L92:N92"/>
    <mergeCell ref="R92:T92"/>
    <mergeCell ref="X92:Z92"/>
    <mergeCell ref="I93:K93"/>
    <mergeCell ref="O93:Q93"/>
    <mergeCell ref="I97:K97"/>
    <mergeCell ref="AA103:AC103"/>
    <mergeCell ref="AD103:AE103"/>
    <mergeCell ref="U103:W103"/>
    <mergeCell ref="X103:Y103"/>
    <mergeCell ref="O98:Q98"/>
    <mergeCell ref="L103:M103"/>
    <mergeCell ref="O97:Q97"/>
    <mergeCell ref="U97:W97"/>
    <mergeCell ref="AA97:AC97"/>
    <mergeCell ref="I98:K98"/>
    <mergeCell ref="I103:K103"/>
    <mergeCell ref="I102:K102"/>
    <mergeCell ref="U99:W99"/>
    <mergeCell ref="I94:K94"/>
    <mergeCell ref="I95:K95"/>
    <mergeCell ref="I96:K96"/>
    <mergeCell ref="O95:Q95"/>
    <mergeCell ref="O96:Q96"/>
    <mergeCell ref="U95:W95"/>
    <mergeCell ref="U96:W96"/>
    <mergeCell ref="L96:N96"/>
    <mergeCell ref="AT6:AT9"/>
    <mergeCell ref="AT14:AT15"/>
    <mergeCell ref="AT45:AT46"/>
    <mergeCell ref="AT76:AT78"/>
    <mergeCell ref="AG92:AI92"/>
    <mergeCell ref="AM92:AO92"/>
    <mergeCell ref="AP92:AQ92"/>
    <mergeCell ref="AM63:AQ63"/>
    <mergeCell ref="AM56:AO56"/>
    <mergeCell ref="AP57:AQ57"/>
    <mergeCell ref="AM58:AO58"/>
    <mergeCell ref="AP58:AQ58"/>
    <mergeCell ref="AM59:AO59"/>
    <mergeCell ref="AP59:AQ59"/>
    <mergeCell ref="AM57:AO57"/>
    <mergeCell ref="AG62:AK62"/>
    <mergeCell ref="AM22:AO22"/>
    <mergeCell ref="AP22:AQ22"/>
    <mergeCell ref="AM23:AO23"/>
    <mergeCell ref="AP23:AQ23"/>
    <mergeCell ref="AP54:AQ54"/>
    <mergeCell ref="AM55:AO55"/>
    <mergeCell ref="AP55:AQ55"/>
    <mergeCell ref="AM25:AO25"/>
    <mergeCell ref="AP96:AQ96"/>
    <mergeCell ref="AA96:AC96"/>
    <mergeCell ref="AG96:AI96"/>
    <mergeCell ref="AM96:AO96"/>
    <mergeCell ref="X96:Z96"/>
    <mergeCell ref="AD96:AF96"/>
    <mergeCell ref="AJ96:AL96"/>
    <mergeCell ref="L101:N101"/>
    <mergeCell ref="R101:T101"/>
    <mergeCell ref="X101:Z101"/>
    <mergeCell ref="AD101:AF101"/>
    <mergeCell ref="AG101:AI101"/>
    <mergeCell ref="AJ101:AL101"/>
    <mergeCell ref="AD102:AF102"/>
    <mergeCell ref="AJ102:AL102"/>
    <mergeCell ref="O102:Q102"/>
    <mergeCell ref="U102:W102"/>
    <mergeCell ref="AA102:AC102"/>
    <mergeCell ref="AG102:AI102"/>
    <mergeCell ref="L102:N102"/>
    <mergeCell ref="R102:T102"/>
    <mergeCell ref="X102:Z102"/>
    <mergeCell ref="AU24:AU25"/>
    <mergeCell ref="AM100:AO100"/>
    <mergeCell ref="AP100:AQ100"/>
    <mergeCell ref="I99:K99"/>
    <mergeCell ref="I100:K100"/>
    <mergeCell ref="L99:M99"/>
    <mergeCell ref="L100:M100"/>
    <mergeCell ref="O99:Q99"/>
    <mergeCell ref="O100:Q100"/>
    <mergeCell ref="R99:S99"/>
    <mergeCell ref="R100:S100"/>
    <mergeCell ref="X99:Y99"/>
    <mergeCell ref="U100:W100"/>
    <mergeCell ref="X100:Y100"/>
    <mergeCell ref="AA99:AC99"/>
    <mergeCell ref="AD99:AE99"/>
    <mergeCell ref="AA100:AC100"/>
    <mergeCell ref="AD100:AE100"/>
    <mergeCell ref="AG99:AI99"/>
    <mergeCell ref="AJ99:AK99"/>
    <mergeCell ref="AG100:AI100"/>
    <mergeCell ref="AJ100:AK100"/>
    <mergeCell ref="AM99:AO99"/>
    <mergeCell ref="AP99:AQ99"/>
    <mergeCell ref="L93:N93"/>
    <mergeCell ref="R93:T93"/>
    <mergeCell ref="X93:Z93"/>
    <mergeCell ref="AD93:AF93"/>
    <mergeCell ref="AJ93:AL93"/>
    <mergeCell ref="L97:N97"/>
    <mergeCell ref="R97:T97"/>
    <mergeCell ref="X97:Z97"/>
    <mergeCell ref="AD97:AF97"/>
    <mergeCell ref="AJ97:AL97"/>
    <mergeCell ref="L94:N94"/>
    <mergeCell ref="R94:T94"/>
    <mergeCell ref="X94:Z94"/>
    <mergeCell ref="AD94:AF94"/>
    <mergeCell ref="AJ94:AL94"/>
    <mergeCell ref="L95:N95"/>
    <mergeCell ref="R95:T95"/>
    <mergeCell ref="X95:Z95"/>
    <mergeCell ref="AD95:AF95"/>
    <mergeCell ref="AJ95:AL95"/>
    <mergeCell ref="R96:T96"/>
  </mergeCells>
  <phoneticPr fontId="6" type="noConversion"/>
  <conditionalFormatting sqref="AN47">
    <cfRule type="expression" dxfId="2835" priority="5898">
      <formula>AN47&lt;8%</formula>
    </cfRule>
    <cfRule type="expression" dxfId="2834" priority="5899">
      <formula>AN47&gt;15%</formula>
    </cfRule>
  </conditionalFormatting>
  <conditionalFormatting sqref="I31 AM31 AG31 AA31 U31 O31">
    <cfRule type="expression" dxfId="2833" priority="5528">
      <formula>I31&lt;300</formula>
    </cfRule>
    <cfRule type="expression" dxfId="2832" priority="5529">
      <formula>I31&gt;360</formula>
    </cfRule>
  </conditionalFormatting>
  <conditionalFormatting sqref="I107 AA107 U107 O107 AG107 AM107 I32 AM32 AG32 AA32 U32 O32">
    <cfRule type="expression" dxfId="2831" priority="5526">
      <formula>I32&lt;30</formula>
    </cfRule>
    <cfRule type="expression" dxfId="2830" priority="5527">
      <formula>I32&gt;50</formula>
    </cfRule>
  </conditionalFormatting>
  <conditionalFormatting sqref="I62 O62 T62:U62 AA62 AG62 AM62">
    <cfRule type="expression" dxfId="2829" priority="4548">
      <formula>I62&lt;100</formula>
    </cfRule>
    <cfRule type="expression" dxfId="2828" priority="4549">
      <formula>I62&gt;200</formula>
    </cfRule>
  </conditionalFormatting>
  <conditionalFormatting sqref="I63 O63 AA63 AG63 AM63 T63:U63">
    <cfRule type="expression" dxfId="2827" priority="4546">
      <formula>I63&lt;20</formula>
    </cfRule>
    <cfRule type="expression" dxfId="2826" priority="4547">
      <formula>I63&gt;50</formula>
    </cfRule>
  </conditionalFormatting>
  <conditionalFormatting sqref="I108 AA108 U108 O108 AG108 AM108">
    <cfRule type="expression" dxfId="2825" priority="3706">
      <formula>I108&lt;160</formula>
    </cfRule>
    <cfRule type="expression" dxfId="2824" priority="3707">
      <formula>I108&gt;220</formula>
    </cfRule>
  </conditionalFormatting>
  <conditionalFormatting sqref="I99 L99 O99 R99 U99 X99 AA99 AD99 AG99 AJ99 AM99 AP99">
    <cfRule type="expression" dxfId="2823" priority="3598">
      <formula>I99&lt;40</formula>
    </cfRule>
    <cfRule type="expression" dxfId="2822" priority="3599">
      <formula>I99&gt;60</formula>
    </cfRule>
  </conditionalFormatting>
  <conditionalFormatting sqref="I100 L100 O100 R100 U100 X100 AA100 AD100 AG100 AJ100 AM100 AP100">
    <cfRule type="expression" dxfId="2821" priority="3596">
      <formula>I100&lt;50</formula>
    </cfRule>
    <cfRule type="expression" dxfId="2820" priority="3597">
      <formula>I100&gt;70</formula>
    </cfRule>
  </conditionalFormatting>
  <conditionalFormatting sqref="I102">
    <cfRule type="expression" dxfId="2819" priority="3550">
      <formula>I102&lt;35</formula>
    </cfRule>
    <cfRule type="expression" dxfId="2818" priority="3551">
      <formula>I102&gt;45</formula>
    </cfRule>
  </conditionalFormatting>
  <conditionalFormatting sqref="I6">
    <cfRule type="cellIs" dxfId="2817" priority="3542" operator="between">
      <formula>25</formula>
      <formula>27.99</formula>
    </cfRule>
    <cfRule type="cellIs" dxfId="2816" priority="3543" operator="between">
      <formula>32.1</formula>
      <formula>35</formula>
    </cfRule>
    <cfRule type="expression" dxfId="2815" priority="3544">
      <formula>I6&lt;25</formula>
    </cfRule>
    <cfRule type="expression" dxfId="2814" priority="3545">
      <formula>I6&gt;35</formula>
    </cfRule>
  </conditionalFormatting>
  <conditionalFormatting sqref="I8:I9">
    <cfRule type="expression" dxfId="2813" priority="3524" stopIfTrue="1">
      <formula>I8&gt;80</formula>
    </cfRule>
    <cfRule type="expression" dxfId="2812" priority="3525" stopIfTrue="1">
      <formula>I8&lt;60</formula>
    </cfRule>
  </conditionalFormatting>
  <conditionalFormatting sqref="I10">
    <cfRule type="cellIs" dxfId="2811" priority="3520" operator="between">
      <formula>130</formula>
      <formula>134.99</formula>
    </cfRule>
    <cfRule type="cellIs" dxfId="2810" priority="3521" operator="between">
      <formula>145.1</formula>
      <formula>150</formula>
    </cfRule>
    <cfRule type="expression" dxfId="2809" priority="3522">
      <formula>I10&lt;130</formula>
    </cfRule>
    <cfRule type="expression" dxfId="2808" priority="3523">
      <formula>I10&gt;150</formula>
    </cfRule>
  </conditionalFormatting>
  <conditionalFormatting sqref="I11">
    <cfRule type="cellIs" dxfId="2807" priority="3504" operator="between">
      <formula>7</formula>
      <formula>7.99</formula>
    </cfRule>
    <cfRule type="cellIs" dxfId="2806" priority="3505" operator="between">
      <formula>10.1</formula>
      <formula>12</formula>
    </cfRule>
    <cfRule type="expression" dxfId="2805" priority="3506">
      <formula>I11&lt;7</formula>
    </cfRule>
    <cfRule type="expression" dxfId="2804" priority="3507">
      <formula>I11&gt;12</formula>
    </cfRule>
  </conditionalFormatting>
  <conditionalFormatting sqref="I12">
    <cfRule type="cellIs" dxfId="2803" priority="3501" operator="between">
      <formula>16.1</formula>
      <formula>18</formula>
    </cfRule>
    <cfRule type="expression" dxfId="2802" priority="3502">
      <formula>I12&lt;12</formula>
    </cfRule>
    <cfRule type="expression" dxfId="2801" priority="3503">
      <formula>I12&gt;18</formula>
    </cfRule>
  </conditionalFormatting>
  <conditionalFormatting sqref="I13">
    <cfRule type="cellIs" dxfId="2800" priority="3496" operator="between">
      <formula>1.6</formula>
      <formula>1.699</formula>
    </cfRule>
    <cfRule type="cellIs" dxfId="2799" priority="3497" operator="between">
      <formula>1.91</formula>
      <formula>2.2</formula>
    </cfRule>
    <cfRule type="expression" dxfId="2798" priority="3498">
      <formula>I13&lt;1.6</formula>
    </cfRule>
    <cfRule type="expression" dxfId="2797" priority="3499">
      <formula>I13&gt;2.2</formula>
    </cfRule>
  </conditionalFormatting>
  <conditionalFormatting sqref="I14">
    <cfRule type="cellIs" dxfId="2796" priority="3492" operator="between">
      <formula>30%</formula>
      <formula>39.99%</formula>
    </cfRule>
    <cfRule type="cellIs" dxfId="2795" priority="3493" operator="between">
      <formula>50.01%</formula>
      <formula>60%</formula>
    </cfRule>
    <cfRule type="expression" dxfId="2794" priority="3494">
      <formula>I14&lt;30%</formula>
    </cfRule>
    <cfRule type="expression" dxfId="2793" priority="3495">
      <formula>I14&gt;60%</formula>
    </cfRule>
  </conditionalFormatting>
  <conditionalFormatting sqref="I15">
    <cfRule type="cellIs" dxfId="2792" priority="3484" operator="between">
      <formula>15%</formula>
      <formula>16.99%</formula>
    </cfRule>
    <cfRule type="cellIs" dxfId="2791" priority="3485" operator="between">
      <formula>27.01%</formula>
      <formula>30%</formula>
    </cfRule>
    <cfRule type="expression" dxfId="2790" priority="3486">
      <formula>I15&lt;15%</formula>
    </cfRule>
    <cfRule type="expression" dxfId="2789" priority="3487">
      <formula>I15&gt;30%</formula>
    </cfRule>
  </conditionalFormatting>
  <conditionalFormatting sqref="I16">
    <cfRule type="cellIs" dxfId="2788" priority="3480" operator="between">
      <formula>5%</formula>
      <formula>6.99%</formula>
    </cfRule>
    <cfRule type="cellIs" dxfId="2787" priority="3481" operator="between">
      <formula>12.99%</formula>
      <formula>15%</formula>
    </cfRule>
    <cfRule type="expression" dxfId="2786" priority="3482">
      <formula>I16&lt;5%</formula>
    </cfRule>
    <cfRule type="expression" dxfId="2785" priority="3483">
      <formula>I16&gt;15%</formula>
    </cfRule>
  </conditionalFormatting>
  <conditionalFormatting sqref="I17">
    <cfRule type="cellIs" dxfId="2784" priority="3476" operator="between">
      <formula>0.5%</formula>
      <formula>0.599%</formula>
    </cfRule>
    <cfRule type="cellIs" dxfId="2783" priority="3477" operator="between">
      <formula>1.41%</formula>
      <formula>1.5%</formula>
    </cfRule>
    <cfRule type="expression" dxfId="2782" priority="3478">
      <formula>I17&lt;0.5%</formula>
    </cfRule>
    <cfRule type="expression" dxfId="2781" priority="3479">
      <formula>I17&gt;1.5%</formula>
    </cfRule>
  </conditionalFormatting>
  <conditionalFormatting sqref="I22">
    <cfRule type="cellIs" dxfId="2780" priority="3263" operator="between">
      <formula>65</formula>
      <formula>66.9</formula>
    </cfRule>
    <cfRule type="cellIs" dxfId="2779" priority="3264" operator="between">
      <formula>73.1</formula>
      <formula>75</formula>
    </cfRule>
    <cfRule type="expression" dxfId="2778" priority="3265">
      <formula>I22&lt;65</formula>
    </cfRule>
    <cfRule type="expression" dxfId="2777" priority="3266">
      <formula>I22&gt;75</formula>
    </cfRule>
  </conditionalFormatting>
  <conditionalFormatting sqref="I24">
    <cfRule type="cellIs" dxfId="2776" priority="3034" operator="between">
      <formula>50</formula>
      <formula>51.9</formula>
    </cfRule>
    <cfRule type="cellIs" dxfId="2775" priority="3035" operator="between">
      <formula>58.1</formula>
      <formula>60</formula>
    </cfRule>
    <cfRule type="expression" dxfId="2774" priority="3036">
      <formula>I24&lt;50</formula>
    </cfRule>
    <cfRule type="expression" dxfId="2773" priority="3037">
      <formula>I24&gt;60</formula>
    </cfRule>
  </conditionalFormatting>
  <conditionalFormatting sqref="I26">
    <cfRule type="cellIs" dxfId="2772" priority="3026" operator="between">
      <formula>20</formula>
      <formula>21.9</formula>
    </cfRule>
    <cfRule type="cellIs" dxfId="2771" priority="3027" operator="between">
      <formula>28.1</formula>
      <formula>30</formula>
    </cfRule>
    <cfRule type="expression" dxfId="2770" priority="3028">
      <formula>I26&lt;20</formula>
    </cfRule>
    <cfRule type="expression" dxfId="2769" priority="3029">
      <formula>I26&gt;30</formula>
    </cfRule>
  </conditionalFormatting>
  <conditionalFormatting sqref="I27">
    <cfRule type="cellIs" dxfId="2768" priority="3022" operator="between">
      <formula>35</formula>
      <formula>36.9</formula>
    </cfRule>
    <cfRule type="cellIs" dxfId="2767" priority="3023" operator="between">
      <formula>43.1</formula>
      <formula>45</formula>
    </cfRule>
    <cfRule type="expression" dxfId="2766" priority="3024">
      <formula>I27&lt;35</formula>
    </cfRule>
    <cfRule type="expression" dxfId="2765" priority="3025">
      <formula>I27&gt;45</formula>
    </cfRule>
  </conditionalFormatting>
  <conditionalFormatting sqref="I28">
    <cfRule type="cellIs" dxfId="2764" priority="3018" operator="between">
      <formula>55</formula>
      <formula>56.9</formula>
    </cfRule>
    <cfRule type="cellIs" dxfId="2763" priority="3019" operator="between">
      <formula>63.1</formula>
      <formula>65</formula>
    </cfRule>
    <cfRule type="expression" dxfId="2762" priority="3020">
      <formula>I28&lt;55</formula>
    </cfRule>
    <cfRule type="expression" dxfId="2761" priority="3021">
      <formula>I28&gt;65</formula>
    </cfRule>
  </conditionalFormatting>
  <conditionalFormatting sqref="I37">
    <cfRule type="cellIs" dxfId="2760" priority="2678" operator="between">
      <formula>60</formula>
      <formula>64.99</formula>
    </cfRule>
    <cfRule type="cellIs" dxfId="2759" priority="2679" operator="between">
      <formula>75.1</formula>
      <formula>80</formula>
    </cfRule>
    <cfRule type="expression" dxfId="2758" priority="2680">
      <formula>I37&lt;60</formula>
    </cfRule>
    <cfRule type="expression" dxfId="2757" priority="2681">
      <formula>I37&gt;80</formula>
    </cfRule>
  </conditionalFormatting>
  <conditionalFormatting sqref="I39">
    <cfRule type="cellIs" dxfId="2756" priority="2670" operator="between">
      <formula>50</formula>
      <formula>54.99</formula>
    </cfRule>
    <cfRule type="cellIs" dxfId="2755" priority="2671" operator="between">
      <formula>65.01</formula>
      <formula>70</formula>
    </cfRule>
    <cfRule type="expression" dxfId="2754" priority="2672">
      <formula>I39&lt;50</formula>
    </cfRule>
    <cfRule type="expression" dxfId="2753" priority="2673">
      <formula>I39&gt;70</formula>
    </cfRule>
  </conditionalFormatting>
  <conditionalFormatting sqref="I41">
    <cfRule type="expression" dxfId="2752" priority="2661" stopIfTrue="1">
      <formula>I41&lt;130</formula>
    </cfRule>
  </conditionalFormatting>
  <conditionalFormatting sqref="I41">
    <cfRule type="expression" dxfId="2751" priority="2660" stopIfTrue="1">
      <formula>I41&gt;150</formula>
    </cfRule>
  </conditionalFormatting>
  <conditionalFormatting sqref="I42">
    <cfRule type="cellIs" dxfId="2750" priority="2656" operator="between">
      <formula>8</formula>
      <formula>8.99</formula>
    </cfRule>
    <cfRule type="cellIs" dxfId="2749" priority="2657" operator="between">
      <formula>11.01</formula>
      <formula>12</formula>
    </cfRule>
    <cfRule type="expression" dxfId="2748" priority="2658">
      <formula>I42&lt;8</formula>
    </cfRule>
    <cfRule type="expression" dxfId="2747" priority="2659">
      <formula>I42&gt;12</formula>
    </cfRule>
  </conditionalFormatting>
  <conditionalFormatting sqref="I43">
    <cfRule type="cellIs" dxfId="2746" priority="2652" operator="between">
      <formula>6</formula>
      <formula>7.499</formula>
    </cfRule>
    <cfRule type="cellIs" dxfId="2745" priority="2653" operator="between">
      <formula>8.51</formula>
      <formula>10</formula>
    </cfRule>
    <cfRule type="expression" dxfId="2744" priority="2654">
      <formula>I43&lt;6</formula>
    </cfRule>
    <cfRule type="expression" dxfId="2743" priority="2655">
      <formula>I43&gt;10</formula>
    </cfRule>
  </conditionalFormatting>
  <conditionalFormatting sqref="I44">
    <cfRule type="cellIs" dxfId="2742" priority="2648" operator="between">
      <formula>2</formula>
      <formula>2.199</formula>
    </cfRule>
    <cfRule type="cellIs" dxfId="2741" priority="2649" operator="between">
      <formula>2.41</formula>
      <formula>2.5</formula>
    </cfRule>
    <cfRule type="expression" dxfId="2740" priority="2650">
      <formula>I44&lt;2</formula>
    </cfRule>
    <cfRule type="expression" dxfId="2739" priority="2651">
      <formula>I44&gt;2.5</formula>
    </cfRule>
  </conditionalFormatting>
  <conditionalFormatting sqref="I45">
    <cfRule type="cellIs" dxfId="2738" priority="2644" operator="between">
      <formula>30%</formula>
      <formula>39.99%</formula>
    </cfRule>
    <cfRule type="cellIs" dxfId="2737" priority="2645" operator="between">
      <formula>50.01%</formula>
      <formula>60%</formula>
    </cfRule>
    <cfRule type="expression" dxfId="2736" priority="2646">
      <formula>I45&lt;30%</formula>
    </cfRule>
    <cfRule type="expression" dxfId="2735" priority="2647">
      <formula>I45&gt;60%</formula>
    </cfRule>
  </conditionalFormatting>
  <conditionalFormatting sqref="I46">
    <cfRule type="cellIs" dxfId="2734" priority="2640" operator="between">
      <formula>15%</formula>
      <formula>16.99%</formula>
    </cfRule>
    <cfRule type="cellIs" dxfId="2733" priority="2641" operator="between">
      <formula>27.01%</formula>
      <formula>30%</formula>
    </cfRule>
    <cfRule type="expression" dxfId="2732" priority="2642">
      <formula>I46&lt;15%</formula>
    </cfRule>
    <cfRule type="expression" dxfId="2731" priority="2643">
      <formula>I46&gt;30%</formula>
    </cfRule>
  </conditionalFormatting>
  <conditionalFormatting sqref="L60">
    <cfRule type="cellIs" dxfId="2730" priority="2398" operator="between">
      <formula>65</formula>
      <formula>66.9</formula>
    </cfRule>
    <cfRule type="cellIs" dxfId="2729" priority="2399" operator="between">
      <formula>73.1</formula>
      <formula>75</formula>
    </cfRule>
    <cfRule type="expression" dxfId="2728" priority="2400">
      <formula>L60&lt;65</formula>
    </cfRule>
    <cfRule type="expression" dxfId="2727" priority="2401">
      <formula>L60&gt;75</formula>
    </cfRule>
  </conditionalFormatting>
  <conditionalFormatting sqref="I59">
    <cfRule type="cellIs" dxfId="2726" priority="2374" operator="between">
      <formula>55</formula>
      <formula>56.9</formula>
    </cfRule>
    <cfRule type="cellIs" dxfId="2725" priority="2375" operator="between">
      <formula>63.1</formula>
      <formula>65</formula>
    </cfRule>
    <cfRule type="expression" dxfId="2724" priority="2376">
      <formula>I59&lt;55</formula>
    </cfRule>
    <cfRule type="expression" dxfId="2723" priority="2377">
      <formula>I59&gt;65</formula>
    </cfRule>
  </conditionalFormatting>
  <conditionalFormatting sqref="I53">
    <cfRule type="cellIs" dxfId="2722" priority="2370" operator="between">
      <formula>50</formula>
      <formula>56.99</formula>
    </cfRule>
    <cfRule type="cellIs" dxfId="2721" priority="2371" operator="between">
      <formula>63.1</formula>
      <formula>70</formula>
    </cfRule>
    <cfRule type="expression" dxfId="2720" priority="2372">
      <formula>I53&lt;50</formula>
    </cfRule>
    <cfRule type="expression" dxfId="2719" priority="2373">
      <formula>I53&gt;70</formula>
    </cfRule>
  </conditionalFormatting>
  <conditionalFormatting sqref="I57">
    <cfRule type="cellIs" dxfId="2718" priority="2362" operator="between">
      <formula>22</formula>
      <formula>22.99</formula>
    </cfRule>
    <cfRule type="cellIs" dxfId="2717" priority="2363" operator="between">
      <formula>25.1</formula>
      <formula>30</formula>
    </cfRule>
    <cfRule type="expression" dxfId="2716" priority="2364">
      <formula>I57&lt;22</formula>
    </cfRule>
    <cfRule type="expression" dxfId="2715" priority="2365">
      <formula>I57&gt;30</formula>
    </cfRule>
  </conditionalFormatting>
  <conditionalFormatting sqref="I58">
    <cfRule type="cellIs" dxfId="2714" priority="2358" operator="between">
      <formula>30</formula>
      <formula>31.99</formula>
    </cfRule>
    <cfRule type="cellIs" dxfId="2713" priority="2359" operator="between">
      <formula>36.1</formula>
      <formula>38</formula>
    </cfRule>
    <cfRule type="expression" dxfId="2712" priority="2360">
      <formula>I58&lt;30</formula>
    </cfRule>
    <cfRule type="expression" dxfId="2711" priority="2361">
      <formula>I58&gt;38</formula>
    </cfRule>
  </conditionalFormatting>
  <conditionalFormatting sqref="I68">
    <cfRule type="cellIs" dxfId="2710" priority="2094" operator="between">
      <formula>40</formula>
      <formula>44.99</formula>
    </cfRule>
    <cfRule type="cellIs" dxfId="2709" priority="2095" operator="between">
      <formula>55.1</formula>
      <formula>60</formula>
    </cfRule>
    <cfRule type="expression" dxfId="2708" priority="2096">
      <formula>I68&lt;40</formula>
    </cfRule>
    <cfRule type="expression" dxfId="2707" priority="2097">
      <formula>I68&gt;60</formula>
    </cfRule>
  </conditionalFormatting>
  <conditionalFormatting sqref="I70">
    <cfRule type="cellIs" dxfId="2706" priority="2086" operator="between">
      <formula>50</formula>
      <formula>54.99</formula>
    </cfRule>
    <cfRule type="cellIs" dxfId="2705" priority="2087" operator="between">
      <formula>65.01</formula>
      <formula>70</formula>
    </cfRule>
    <cfRule type="expression" dxfId="2704" priority="2088">
      <formula>I70&lt;50</formula>
    </cfRule>
    <cfRule type="expression" dxfId="2703" priority="2089">
      <formula>I70&gt;70</formula>
    </cfRule>
  </conditionalFormatting>
  <conditionalFormatting sqref="I72">
    <cfRule type="expression" dxfId="2702" priority="2081" stopIfTrue="1">
      <formula>I72&lt;135</formula>
    </cfRule>
  </conditionalFormatting>
  <conditionalFormatting sqref="I72">
    <cfRule type="expression" dxfId="2701" priority="2080" stopIfTrue="1">
      <formula>I72&gt;145</formula>
    </cfRule>
  </conditionalFormatting>
  <conditionalFormatting sqref="I73">
    <cfRule type="cellIs" dxfId="2700" priority="2076" operator="between">
      <formula>6</formula>
      <formula>6.499</formula>
    </cfRule>
    <cfRule type="cellIs" dxfId="2699" priority="2077" operator="between">
      <formula>7.51</formula>
      <formula>8</formula>
    </cfRule>
    <cfRule type="expression" dxfId="2698" priority="2078">
      <formula>I73&lt;6</formula>
    </cfRule>
    <cfRule type="expression" dxfId="2697" priority="2079">
      <formula>I73&gt;8</formula>
    </cfRule>
  </conditionalFormatting>
  <conditionalFormatting sqref="I74">
    <cfRule type="cellIs" dxfId="2696" priority="2072" operator="between">
      <formula>5</formula>
      <formula>5.499</formula>
    </cfRule>
    <cfRule type="cellIs" dxfId="2695" priority="2073" operator="between">
      <formula>6.51</formula>
      <formula>8</formula>
    </cfRule>
    <cfRule type="expression" dxfId="2694" priority="2074">
      <formula>I74&lt;5</formula>
    </cfRule>
    <cfRule type="expression" dxfId="2693" priority="2075">
      <formula>I74&gt;8</formula>
    </cfRule>
  </conditionalFormatting>
  <conditionalFormatting sqref="I75">
    <cfRule type="expression" dxfId="2692" priority="2070">
      <formula>I75&lt;2</formula>
    </cfRule>
    <cfRule type="expression" dxfId="2691" priority="2071">
      <formula>I75&gt;2.4</formula>
    </cfRule>
  </conditionalFormatting>
  <conditionalFormatting sqref="I76:I77">
    <cfRule type="expression" dxfId="2690" priority="2062">
      <formula>I76&lt;40%</formula>
    </cfRule>
    <cfRule type="expression" dxfId="2689" priority="2063">
      <formula>I76&gt;50%</formula>
    </cfRule>
  </conditionalFormatting>
  <conditionalFormatting sqref="I79">
    <cfRule type="cellIs" dxfId="2688" priority="2038" operator="between">
      <formula>0.5%</formula>
      <formula>0.599%</formula>
    </cfRule>
    <cfRule type="cellIs" dxfId="2687" priority="2039" operator="between">
      <formula>1.41%</formula>
      <formula>1.5%</formula>
    </cfRule>
    <cfRule type="expression" dxfId="2686" priority="2040">
      <formula>I79&lt;0.5%</formula>
    </cfRule>
    <cfRule type="expression" dxfId="2685" priority="2041">
      <formula>I79&gt;1.5%</formula>
    </cfRule>
  </conditionalFormatting>
  <conditionalFormatting sqref="I78">
    <cfRule type="cellIs" dxfId="2684" priority="2034" operator="between">
      <formula>20%</formula>
      <formula>24.99%</formula>
    </cfRule>
    <cfRule type="cellIs" dxfId="2683" priority="2035" operator="between">
      <formula>35.01%</formula>
      <formula>40%</formula>
    </cfRule>
    <cfRule type="expression" dxfId="2682" priority="2036">
      <formula>I78&lt;20%</formula>
    </cfRule>
    <cfRule type="expression" dxfId="2681" priority="2037">
      <formula>I78&gt;40%</formula>
    </cfRule>
  </conditionalFormatting>
  <conditionalFormatting sqref="I83">
    <cfRule type="cellIs" dxfId="2680" priority="1837" operator="between">
      <formula>2.21</formula>
      <formula>2.4</formula>
    </cfRule>
    <cfRule type="expression" dxfId="2679" priority="1838">
      <formula>I83&lt;1.8</formula>
    </cfRule>
    <cfRule type="expression" dxfId="2678" priority="1839">
      <formula>I83&gt;2.4</formula>
    </cfRule>
  </conditionalFormatting>
  <conditionalFormatting sqref="I86">
    <cfRule type="expression" dxfId="2677" priority="1791" stopIfTrue="1">
      <formula>I86&gt;130</formula>
    </cfRule>
    <cfRule type="expression" dxfId="2676" priority="1792" stopIfTrue="1">
      <formula>I86&lt;120</formula>
    </cfRule>
  </conditionalFormatting>
  <conditionalFormatting sqref="I88">
    <cfRule type="cellIs" dxfId="2675" priority="1785" operator="between">
      <formula>3</formula>
      <formula>4.099</formula>
    </cfRule>
    <cfRule type="expression" dxfId="2674" priority="1787">
      <formula>I88&lt;3</formula>
    </cfRule>
    <cfRule type="expression" dxfId="2673" priority="1788">
      <formula>I88&gt;4.5</formula>
    </cfRule>
  </conditionalFormatting>
  <conditionalFormatting sqref="U86">
    <cfRule type="expression" dxfId="2672" priority="1770" stopIfTrue="1">
      <formula>U86&gt;130</formula>
    </cfRule>
    <cfRule type="expression" dxfId="2671" priority="1771" stopIfTrue="1">
      <formula>U86&lt;120</formula>
    </cfRule>
  </conditionalFormatting>
  <conditionalFormatting sqref="U88">
    <cfRule type="cellIs" dxfId="2670" priority="1767" operator="between">
      <formula>3</formula>
      <formula>4.099</formula>
    </cfRule>
    <cfRule type="expression" dxfId="2669" priority="1768">
      <formula>U88&lt;3</formula>
    </cfRule>
    <cfRule type="expression" dxfId="2668" priority="1769">
      <formula>U88&gt;4.5</formula>
    </cfRule>
  </conditionalFormatting>
  <conditionalFormatting sqref="AM86">
    <cfRule type="expression" dxfId="2667" priority="1761" stopIfTrue="1">
      <formula>AM86&gt;130</formula>
    </cfRule>
    <cfRule type="expression" dxfId="2666" priority="1762" stopIfTrue="1">
      <formula>AM86&lt;120</formula>
    </cfRule>
  </conditionalFormatting>
  <conditionalFormatting sqref="AM88">
    <cfRule type="cellIs" dxfId="2665" priority="1758" operator="between">
      <formula>3</formula>
      <formula>4.099</formula>
    </cfRule>
    <cfRule type="expression" dxfId="2664" priority="1759">
      <formula>AM88&lt;3</formula>
    </cfRule>
    <cfRule type="expression" dxfId="2663" priority="1760">
      <formula>AM88&gt;4.5</formula>
    </cfRule>
  </conditionalFormatting>
  <conditionalFormatting sqref="AA86">
    <cfRule type="expression" dxfId="2662" priority="1752" stopIfTrue="1">
      <formula>AA86&gt;130</formula>
    </cfRule>
    <cfRule type="expression" dxfId="2661" priority="1753" stopIfTrue="1">
      <formula>AA86&lt;120</formula>
    </cfRule>
  </conditionalFormatting>
  <conditionalFormatting sqref="AA88">
    <cfRule type="cellIs" dxfId="2660" priority="1749" operator="between">
      <formula>3</formula>
      <formula>4.099</formula>
    </cfRule>
    <cfRule type="expression" dxfId="2659" priority="1750">
      <formula>AA88&lt;3</formula>
    </cfRule>
    <cfRule type="expression" dxfId="2658" priority="1751">
      <formula>AA88&gt;4.5</formula>
    </cfRule>
  </conditionalFormatting>
  <conditionalFormatting sqref="I91">
    <cfRule type="cellIs" dxfId="2657" priority="1745" operator="between">
      <formula>65</formula>
      <formula>66.9</formula>
    </cfRule>
    <cfRule type="cellIs" dxfId="2656" priority="1746" operator="between">
      <formula>73.1</formula>
      <formula>75</formula>
    </cfRule>
    <cfRule type="expression" dxfId="2655" priority="1747">
      <formula>I91&lt;65</formula>
    </cfRule>
    <cfRule type="expression" dxfId="2654" priority="1748">
      <formula>I91&gt;75</formula>
    </cfRule>
  </conditionalFormatting>
  <conditionalFormatting sqref="I97">
    <cfRule type="cellIs" dxfId="2653" priority="1625" operator="between">
      <formula>55</formula>
      <formula>56.9</formula>
    </cfRule>
    <cfRule type="cellIs" dxfId="2652" priority="1626" operator="between">
      <formula>63.1</formula>
      <formula>65</formula>
    </cfRule>
    <cfRule type="expression" dxfId="2651" priority="1627">
      <formula>I97&lt;55</formula>
    </cfRule>
    <cfRule type="expression" dxfId="2650" priority="1628">
      <formula>I97&gt;65</formula>
    </cfRule>
  </conditionalFormatting>
  <conditionalFormatting sqref="I95">
    <cfRule type="expression" dxfId="2649" priority="1579">
      <formula>I95&lt;24</formula>
    </cfRule>
    <cfRule type="expression" dxfId="2648" priority="1580">
      <formula>I95&gt;26</formula>
    </cfRule>
  </conditionalFormatting>
  <conditionalFormatting sqref="I93">
    <cfRule type="cellIs" dxfId="2647" priority="1575" operator="between">
      <formula>60</formula>
      <formula>61.9</formula>
    </cfRule>
    <cfRule type="cellIs" dxfId="2646" priority="1576" operator="between">
      <formula>68.1</formula>
      <formula>70</formula>
    </cfRule>
    <cfRule type="expression" dxfId="2645" priority="1577">
      <formula>I93&lt;60</formula>
    </cfRule>
    <cfRule type="expression" dxfId="2644" priority="1578">
      <formula>I93&gt;70</formula>
    </cfRule>
  </conditionalFormatting>
  <conditionalFormatting sqref="I96">
    <cfRule type="expression" dxfId="2643" priority="1569">
      <formula>I96&lt;34</formula>
    </cfRule>
    <cfRule type="expression" dxfId="2642" priority="1570">
      <formula>I96&gt;36</formula>
    </cfRule>
  </conditionalFormatting>
  <conditionalFormatting sqref="I102:K102">
    <cfRule type="cellIs" dxfId="2641" priority="1480" operator="between">
      <formula>35</formula>
      <formula>36.9</formula>
    </cfRule>
    <cfRule type="cellIs" dxfId="2640" priority="1479" operator="between">
      <formula>43.1</formula>
      <formula>45</formula>
    </cfRule>
  </conditionalFormatting>
  <conditionalFormatting sqref="X105:Y105 U105 AD105:AE105 AA105 L105:M105 I105 AP105:AQ105 AM105">
    <cfRule type="expression" dxfId="2639" priority="1469">
      <formula>I105&lt;20</formula>
    </cfRule>
    <cfRule type="expression" dxfId="2638" priority="1470">
      <formula>I105&gt;30</formula>
    </cfRule>
  </conditionalFormatting>
  <conditionalFormatting sqref="I103 L103 U103 X103 AA103 AD103 AM103 AP103">
    <cfRule type="expression" dxfId="2637" priority="1467">
      <formula>I103&lt;24</formula>
    </cfRule>
    <cfRule type="expression" dxfId="2636" priority="1468">
      <formula>I103&gt;28</formula>
    </cfRule>
  </conditionalFormatting>
  <conditionalFormatting sqref="I104 L104 U104 X104 AA104 AD104 AM104 AP104">
    <cfRule type="expression" dxfId="2635" priority="1465">
      <formula>I104&lt;40</formula>
    </cfRule>
    <cfRule type="expression" dxfId="2634" priority="1466">
      <formula>I104&gt;60</formula>
    </cfRule>
  </conditionalFormatting>
  <conditionalFormatting sqref="I84">
    <cfRule type="expression" dxfId="2633" priority="1435">
      <formula>I84&lt;5</formula>
    </cfRule>
    <cfRule type="expression" dxfId="2632" priority="1436">
      <formula>I84&gt;6</formula>
    </cfRule>
  </conditionalFormatting>
  <conditionalFormatting sqref="U84">
    <cfRule type="expression" dxfId="2631" priority="1433">
      <formula>U84&lt;5</formula>
    </cfRule>
    <cfRule type="expression" dxfId="2630" priority="1434">
      <formula>U84&gt;6</formula>
    </cfRule>
  </conditionalFormatting>
  <conditionalFormatting sqref="AA84">
    <cfRule type="expression" dxfId="2629" priority="1431">
      <formula>AA84&lt;5</formula>
    </cfRule>
    <cfRule type="expression" dxfId="2628" priority="1432">
      <formula>AA84&gt;6</formula>
    </cfRule>
  </conditionalFormatting>
  <conditionalFormatting sqref="AM84">
    <cfRule type="expression" dxfId="2627" priority="1429">
      <formula>AM84&lt;5</formula>
    </cfRule>
    <cfRule type="expression" dxfId="2626" priority="1430">
      <formula>AM84&gt;6</formula>
    </cfRule>
  </conditionalFormatting>
  <conditionalFormatting sqref="I48">
    <cfRule type="cellIs" dxfId="2625" priority="1425" operator="between">
      <formula>0.5%</formula>
      <formula>0.799%</formula>
    </cfRule>
    <cfRule type="cellIs" dxfId="2624" priority="1426" operator="between">
      <formula>1.21%</formula>
      <formula>1.5%</formula>
    </cfRule>
    <cfRule type="expression" dxfId="2623" priority="1427">
      <formula>I48&lt;0.5%</formula>
    </cfRule>
    <cfRule type="expression" dxfId="2622" priority="1428">
      <formula>I48&gt;1.5%</formula>
    </cfRule>
  </conditionalFormatting>
  <conditionalFormatting sqref="I82">
    <cfRule type="cellIs" dxfId="2621" priority="1401" operator="between">
      <formula>8</formula>
      <formula>9.99</formula>
    </cfRule>
    <cfRule type="cellIs" dxfId="2620" priority="1402" operator="between">
      <formula>14.1</formula>
      <formula>16</formula>
    </cfRule>
    <cfRule type="expression" dxfId="2619" priority="1403">
      <formula>I82&lt;8</formula>
    </cfRule>
    <cfRule type="expression" dxfId="2618" priority="1404">
      <formula>I82&gt;16</formula>
    </cfRule>
  </conditionalFormatting>
  <conditionalFormatting sqref="I7">
    <cfRule type="cellIs" dxfId="2617" priority="1365" operator="between">
      <formula>25</formula>
      <formula>27.99</formula>
    </cfRule>
    <cfRule type="cellIs" dxfId="2616" priority="1366" operator="between">
      <formula>32.1</formula>
      <formula>35</formula>
    </cfRule>
    <cfRule type="expression" dxfId="2615" priority="1367">
      <formula>I7&lt;25</formula>
    </cfRule>
    <cfRule type="expression" dxfId="2614" priority="1368">
      <formula>I7&gt;35</formula>
    </cfRule>
  </conditionalFormatting>
  <conditionalFormatting sqref="I23">
    <cfRule type="cellIs" dxfId="2613" priority="1357" operator="between">
      <formula>65</formula>
      <formula>66.9</formula>
    </cfRule>
    <cfRule type="cellIs" dxfId="2612" priority="1358" operator="between">
      <formula>73.1</formula>
      <formula>75</formula>
    </cfRule>
    <cfRule type="expression" dxfId="2611" priority="1359">
      <formula>I23&lt;65</formula>
    </cfRule>
    <cfRule type="expression" dxfId="2610" priority="1360">
      <formula>I23&gt;75</formula>
    </cfRule>
  </conditionalFormatting>
  <conditionalFormatting sqref="I25">
    <cfRule type="cellIs" dxfId="2609" priority="1353" operator="between">
      <formula>50</formula>
      <formula>51.9</formula>
    </cfRule>
    <cfRule type="cellIs" dxfId="2608" priority="1354" operator="between">
      <formula>58.1</formula>
      <formula>60</formula>
    </cfRule>
    <cfRule type="expression" dxfId="2607" priority="1355">
      <formula>I25&lt;50</formula>
    </cfRule>
    <cfRule type="expression" dxfId="2606" priority="1356">
      <formula>I25&gt;60</formula>
    </cfRule>
  </conditionalFormatting>
  <conditionalFormatting sqref="L29">
    <cfRule type="cellIs" dxfId="2605" priority="1349" operator="between">
      <formula>65</formula>
      <formula>66.9</formula>
    </cfRule>
    <cfRule type="cellIs" dxfId="2604" priority="1350" operator="between">
      <formula>73.1</formula>
      <formula>75</formula>
    </cfRule>
    <cfRule type="expression" dxfId="2603" priority="1351">
      <formula>L29&lt;65</formula>
    </cfRule>
    <cfRule type="expression" dxfId="2602" priority="1352">
      <formula>L29&gt;75</formula>
    </cfRule>
  </conditionalFormatting>
  <conditionalFormatting sqref="R29">
    <cfRule type="cellIs" dxfId="2601" priority="1345" operator="between">
      <formula>65</formula>
      <formula>66.9</formula>
    </cfRule>
    <cfRule type="cellIs" dxfId="2600" priority="1346" operator="between">
      <formula>73.1</formula>
      <formula>75</formula>
    </cfRule>
    <cfRule type="expression" dxfId="2599" priority="1347">
      <formula>R29&lt;65</formula>
    </cfRule>
    <cfRule type="expression" dxfId="2598" priority="1348">
      <formula>R29&gt;75</formula>
    </cfRule>
  </conditionalFormatting>
  <conditionalFormatting sqref="X29">
    <cfRule type="cellIs" dxfId="2597" priority="1341" operator="between">
      <formula>65</formula>
      <formula>66.9</formula>
    </cfRule>
    <cfRule type="cellIs" dxfId="2596" priority="1342" operator="between">
      <formula>73.1</formula>
      <formula>75</formula>
    </cfRule>
    <cfRule type="expression" dxfId="2595" priority="1343">
      <formula>X29&lt;65</formula>
    </cfRule>
    <cfRule type="expression" dxfId="2594" priority="1344">
      <formula>X29&gt;75</formula>
    </cfRule>
  </conditionalFormatting>
  <conditionalFormatting sqref="AD29">
    <cfRule type="cellIs" dxfId="2593" priority="1337" operator="between">
      <formula>65</formula>
      <formula>66.9</formula>
    </cfRule>
    <cfRule type="cellIs" dxfId="2592" priority="1338" operator="between">
      <formula>73.1</formula>
      <formula>75</formula>
    </cfRule>
    <cfRule type="expression" dxfId="2591" priority="1339">
      <formula>AD29&lt;65</formula>
    </cfRule>
    <cfRule type="expression" dxfId="2590" priority="1340">
      <formula>AD29&gt;75</formula>
    </cfRule>
  </conditionalFormatting>
  <conditionalFormatting sqref="AJ29">
    <cfRule type="cellIs" dxfId="2589" priority="1333" operator="between">
      <formula>65</formula>
      <formula>66.9</formula>
    </cfRule>
    <cfRule type="cellIs" dxfId="2588" priority="1334" operator="between">
      <formula>73.1</formula>
      <formula>75</formula>
    </cfRule>
    <cfRule type="expression" dxfId="2587" priority="1335">
      <formula>AJ29&lt;65</formula>
    </cfRule>
    <cfRule type="expression" dxfId="2586" priority="1336">
      <formula>AJ29&gt;75</formula>
    </cfRule>
  </conditionalFormatting>
  <conditionalFormatting sqref="AP29">
    <cfRule type="cellIs" dxfId="2585" priority="1329" operator="between">
      <formula>65</formula>
      <formula>66.9</formula>
    </cfRule>
    <cfRule type="cellIs" dxfId="2584" priority="1330" operator="between">
      <formula>73.1</formula>
      <formula>75</formula>
    </cfRule>
    <cfRule type="expression" dxfId="2583" priority="1331">
      <formula>AP29&lt;65</formula>
    </cfRule>
    <cfRule type="expression" dxfId="2582" priority="1332">
      <formula>AP29&gt;75</formula>
    </cfRule>
  </conditionalFormatting>
  <conditionalFormatting sqref="L22">
    <cfRule type="cellIs" dxfId="2581" priority="1325" operator="between">
      <formula>65</formula>
      <formula>66.9</formula>
    </cfRule>
    <cfRule type="cellIs" dxfId="2580" priority="1326" operator="between">
      <formula>73.1</formula>
      <formula>75</formula>
    </cfRule>
    <cfRule type="expression" dxfId="2579" priority="1327">
      <formula>L22&lt;65</formula>
    </cfRule>
    <cfRule type="expression" dxfId="2578" priority="1328">
      <formula>L22&gt;75</formula>
    </cfRule>
  </conditionalFormatting>
  <conditionalFormatting sqref="L24">
    <cfRule type="cellIs" dxfId="2577" priority="1321" operator="between">
      <formula>50</formula>
      <formula>51.9</formula>
    </cfRule>
    <cfRule type="cellIs" dxfId="2576" priority="1322" operator="between">
      <formula>58.1</formula>
      <formula>60</formula>
    </cfRule>
    <cfRule type="expression" dxfId="2575" priority="1323">
      <formula>L24&lt;50</formula>
    </cfRule>
    <cfRule type="expression" dxfId="2574" priority="1324">
      <formula>L24&gt;60</formula>
    </cfRule>
  </conditionalFormatting>
  <conditionalFormatting sqref="L26">
    <cfRule type="cellIs" dxfId="2573" priority="1317" operator="between">
      <formula>20</formula>
      <formula>21.9</formula>
    </cfRule>
    <cfRule type="cellIs" dxfId="2572" priority="1318" operator="between">
      <formula>28.1</formula>
      <formula>30</formula>
    </cfRule>
    <cfRule type="expression" dxfId="2571" priority="1319">
      <formula>L26&lt;20</formula>
    </cfRule>
    <cfRule type="expression" dxfId="2570" priority="1320">
      <formula>L26&gt;30</formula>
    </cfRule>
  </conditionalFormatting>
  <conditionalFormatting sqref="L27">
    <cfRule type="cellIs" dxfId="2569" priority="1313" operator="between">
      <formula>35</formula>
      <formula>36.9</formula>
    </cfRule>
    <cfRule type="cellIs" dxfId="2568" priority="1314" operator="between">
      <formula>43.1</formula>
      <formula>45</formula>
    </cfRule>
    <cfRule type="expression" dxfId="2567" priority="1315">
      <formula>L27&lt;35</formula>
    </cfRule>
    <cfRule type="expression" dxfId="2566" priority="1316">
      <formula>L27&gt;45</formula>
    </cfRule>
  </conditionalFormatting>
  <conditionalFormatting sqref="L28">
    <cfRule type="cellIs" dxfId="2565" priority="1309" operator="between">
      <formula>55</formula>
      <formula>56.9</formula>
    </cfRule>
    <cfRule type="cellIs" dxfId="2564" priority="1310" operator="between">
      <formula>63.1</formula>
      <formula>65</formula>
    </cfRule>
    <cfRule type="expression" dxfId="2563" priority="1311">
      <formula>L28&lt;55</formula>
    </cfRule>
    <cfRule type="expression" dxfId="2562" priority="1312">
      <formula>L28&gt;65</formula>
    </cfRule>
  </conditionalFormatting>
  <conditionalFormatting sqref="L23">
    <cfRule type="cellIs" dxfId="2561" priority="1305" operator="between">
      <formula>65</formula>
      <formula>66.9</formula>
    </cfRule>
    <cfRule type="cellIs" dxfId="2560" priority="1306" operator="between">
      <formula>73.1</formula>
      <formula>75</formula>
    </cfRule>
    <cfRule type="expression" dxfId="2559" priority="1307">
      <formula>L23&lt;65</formula>
    </cfRule>
    <cfRule type="expression" dxfId="2558" priority="1308">
      <formula>L23&gt;75</formula>
    </cfRule>
  </conditionalFormatting>
  <conditionalFormatting sqref="L25">
    <cfRule type="cellIs" dxfId="2557" priority="1301" operator="between">
      <formula>50</formula>
      <formula>51.9</formula>
    </cfRule>
    <cfRule type="cellIs" dxfId="2556" priority="1302" operator="between">
      <formula>58.1</formula>
      <formula>60</formula>
    </cfRule>
    <cfRule type="expression" dxfId="2555" priority="1303">
      <formula>L25&lt;50</formula>
    </cfRule>
    <cfRule type="expression" dxfId="2554" priority="1304">
      <formula>L25&gt;60</formula>
    </cfRule>
  </conditionalFormatting>
  <conditionalFormatting sqref="O22">
    <cfRule type="cellIs" dxfId="2553" priority="1297" operator="between">
      <formula>65</formula>
      <formula>66.9</formula>
    </cfRule>
    <cfRule type="cellIs" dxfId="2552" priority="1298" operator="between">
      <formula>73.1</formula>
      <formula>75</formula>
    </cfRule>
    <cfRule type="expression" dxfId="2551" priority="1299">
      <formula>O22&lt;65</formula>
    </cfRule>
    <cfRule type="expression" dxfId="2550" priority="1300">
      <formula>O22&gt;75</formula>
    </cfRule>
  </conditionalFormatting>
  <conditionalFormatting sqref="O24">
    <cfRule type="cellIs" dxfId="2549" priority="1293" operator="between">
      <formula>50</formula>
      <formula>51.9</formula>
    </cfRule>
    <cfRule type="cellIs" dxfId="2548" priority="1294" operator="between">
      <formula>58.1</formula>
      <formula>60</formula>
    </cfRule>
    <cfRule type="expression" dxfId="2547" priority="1295">
      <formula>O24&lt;50</formula>
    </cfRule>
    <cfRule type="expression" dxfId="2546" priority="1296">
      <formula>O24&gt;60</formula>
    </cfRule>
  </conditionalFormatting>
  <conditionalFormatting sqref="O26">
    <cfRule type="cellIs" dxfId="2545" priority="1289" operator="between">
      <formula>20</formula>
      <formula>21.9</formula>
    </cfRule>
    <cfRule type="cellIs" dxfId="2544" priority="1290" operator="between">
      <formula>28.1</formula>
      <formula>30</formula>
    </cfRule>
    <cfRule type="expression" dxfId="2543" priority="1291">
      <formula>O26&lt;20</formula>
    </cfRule>
    <cfRule type="expression" dxfId="2542" priority="1292">
      <formula>O26&gt;30</formula>
    </cfRule>
  </conditionalFormatting>
  <conditionalFormatting sqref="O27">
    <cfRule type="cellIs" dxfId="2541" priority="1285" operator="between">
      <formula>35</formula>
      <formula>36.9</formula>
    </cfRule>
    <cfRule type="cellIs" dxfId="2540" priority="1286" operator="between">
      <formula>43.1</formula>
      <formula>45</formula>
    </cfRule>
    <cfRule type="expression" dxfId="2539" priority="1287">
      <formula>O27&lt;35</formula>
    </cfRule>
    <cfRule type="expression" dxfId="2538" priority="1288">
      <formula>O27&gt;45</formula>
    </cfRule>
  </conditionalFormatting>
  <conditionalFormatting sqref="O28">
    <cfRule type="cellIs" dxfId="2537" priority="1281" operator="between">
      <formula>55</formula>
      <formula>56.9</formula>
    </cfRule>
    <cfRule type="cellIs" dxfId="2536" priority="1282" operator="between">
      <formula>63.1</formula>
      <formula>65</formula>
    </cfRule>
    <cfRule type="expression" dxfId="2535" priority="1283">
      <formula>O28&lt;55</formula>
    </cfRule>
    <cfRule type="expression" dxfId="2534" priority="1284">
      <formula>O28&gt;65</formula>
    </cfRule>
  </conditionalFormatting>
  <conditionalFormatting sqref="O23">
    <cfRule type="cellIs" dxfId="2533" priority="1277" operator="between">
      <formula>65</formula>
      <formula>66.9</formula>
    </cfRule>
    <cfRule type="cellIs" dxfId="2532" priority="1278" operator="between">
      <formula>73.1</formula>
      <formula>75</formula>
    </cfRule>
    <cfRule type="expression" dxfId="2531" priority="1279">
      <formula>O23&lt;65</formula>
    </cfRule>
    <cfRule type="expression" dxfId="2530" priority="1280">
      <formula>O23&gt;75</formula>
    </cfRule>
  </conditionalFormatting>
  <conditionalFormatting sqref="O25">
    <cfRule type="cellIs" dxfId="2529" priority="1273" operator="between">
      <formula>50</formula>
      <formula>51.9</formula>
    </cfRule>
    <cfRule type="cellIs" dxfId="2528" priority="1274" operator="between">
      <formula>58.1</formula>
      <formula>60</formula>
    </cfRule>
    <cfRule type="expression" dxfId="2527" priority="1275">
      <formula>O25&lt;50</formula>
    </cfRule>
    <cfRule type="expression" dxfId="2526" priority="1276">
      <formula>O25&gt;60</formula>
    </cfRule>
  </conditionalFormatting>
  <conditionalFormatting sqref="R22">
    <cfRule type="cellIs" dxfId="2525" priority="1269" operator="between">
      <formula>65</formula>
      <formula>66.9</formula>
    </cfRule>
    <cfRule type="cellIs" dxfId="2524" priority="1270" operator="between">
      <formula>73.1</formula>
      <formula>75</formula>
    </cfRule>
    <cfRule type="expression" dxfId="2523" priority="1271">
      <formula>R22&lt;65</formula>
    </cfRule>
    <cfRule type="expression" dxfId="2522" priority="1272">
      <formula>R22&gt;75</formula>
    </cfRule>
  </conditionalFormatting>
  <conditionalFormatting sqref="R24">
    <cfRule type="cellIs" dxfId="2521" priority="1265" operator="between">
      <formula>50</formula>
      <formula>51.9</formula>
    </cfRule>
    <cfRule type="cellIs" dxfId="2520" priority="1266" operator="between">
      <formula>58.1</formula>
      <formula>60</formula>
    </cfRule>
    <cfRule type="expression" dxfId="2519" priority="1267">
      <formula>R24&lt;50</formula>
    </cfRule>
    <cfRule type="expression" dxfId="2518" priority="1268">
      <formula>R24&gt;60</formula>
    </cfRule>
  </conditionalFormatting>
  <conditionalFormatting sqref="R26">
    <cfRule type="cellIs" dxfId="2517" priority="1261" operator="between">
      <formula>20</formula>
      <formula>21.9</formula>
    </cfRule>
    <cfRule type="cellIs" dxfId="2516" priority="1262" operator="between">
      <formula>28.1</formula>
      <formula>30</formula>
    </cfRule>
    <cfRule type="expression" dxfId="2515" priority="1263">
      <formula>R26&lt;20</formula>
    </cfRule>
    <cfRule type="expression" dxfId="2514" priority="1264">
      <formula>R26&gt;30</formula>
    </cfRule>
  </conditionalFormatting>
  <conditionalFormatting sqref="R27">
    <cfRule type="cellIs" dxfId="2513" priority="1257" operator="between">
      <formula>35</formula>
      <formula>36.9</formula>
    </cfRule>
    <cfRule type="cellIs" dxfId="2512" priority="1258" operator="between">
      <formula>43.1</formula>
      <formula>45</formula>
    </cfRule>
    <cfRule type="expression" dxfId="2511" priority="1259">
      <formula>R27&lt;35</formula>
    </cfRule>
    <cfRule type="expression" dxfId="2510" priority="1260">
      <formula>R27&gt;45</formula>
    </cfRule>
  </conditionalFormatting>
  <conditionalFormatting sqref="R28">
    <cfRule type="cellIs" dxfId="2509" priority="1253" operator="between">
      <formula>55</formula>
      <formula>56.9</formula>
    </cfRule>
    <cfRule type="cellIs" dxfId="2508" priority="1254" operator="between">
      <formula>63.1</formula>
      <formula>65</formula>
    </cfRule>
    <cfRule type="expression" dxfId="2507" priority="1255">
      <formula>R28&lt;55</formula>
    </cfRule>
    <cfRule type="expression" dxfId="2506" priority="1256">
      <formula>R28&gt;65</formula>
    </cfRule>
  </conditionalFormatting>
  <conditionalFormatting sqref="R23">
    <cfRule type="cellIs" dxfId="2505" priority="1249" operator="between">
      <formula>65</formula>
      <formula>66.9</formula>
    </cfRule>
    <cfRule type="cellIs" dxfId="2504" priority="1250" operator="between">
      <formula>73.1</formula>
      <formula>75</formula>
    </cfRule>
    <cfRule type="expression" dxfId="2503" priority="1251">
      <formula>R23&lt;65</formula>
    </cfRule>
    <cfRule type="expression" dxfId="2502" priority="1252">
      <formula>R23&gt;75</formula>
    </cfRule>
  </conditionalFormatting>
  <conditionalFormatting sqref="R25">
    <cfRule type="cellIs" dxfId="2501" priority="1245" operator="between">
      <formula>50</formula>
      <formula>51.9</formula>
    </cfRule>
    <cfRule type="cellIs" dxfId="2500" priority="1246" operator="between">
      <formula>58.1</formula>
      <formula>60</formula>
    </cfRule>
    <cfRule type="expression" dxfId="2499" priority="1247">
      <formula>R25&lt;50</formula>
    </cfRule>
    <cfRule type="expression" dxfId="2498" priority="1248">
      <formula>R25&gt;60</formula>
    </cfRule>
  </conditionalFormatting>
  <conditionalFormatting sqref="U22">
    <cfRule type="cellIs" dxfId="2497" priority="1241" operator="between">
      <formula>65</formula>
      <formula>66.9</formula>
    </cfRule>
    <cfRule type="cellIs" dxfId="2496" priority="1242" operator="between">
      <formula>73.1</formula>
      <formula>75</formula>
    </cfRule>
    <cfRule type="expression" dxfId="2495" priority="1243">
      <formula>U22&lt;65</formula>
    </cfRule>
    <cfRule type="expression" dxfId="2494" priority="1244">
      <formula>U22&gt;75</formula>
    </cfRule>
  </conditionalFormatting>
  <conditionalFormatting sqref="U24">
    <cfRule type="cellIs" dxfId="2493" priority="1237" operator="between">
      <formula>50</formula>
      <formula>51.9</formula>
    </cfRule>
    <cfRule type="cellIs" dxfId="2492" priority="1238" operator="between">
      <formula>58.1</formula>
      <formula>60</formula>
    </cfRule>
    <cfRule type="expression" dxfId="2491" priority="1239">
      <formula>U24&lt;50</formula>
    </cfRule>
    <cfRule type="expression" dxfId="2490" priority="1240">
      <formula>U24&gt;60</formula>
    </cfRule>
  </conditionalFormatting>
  <conditionalFormatting sqref="U26">
    <cfRule type="cellIs" dxfId="2489" priority="1233" operator="between">
      <formula>20</formula>
      <formula>21.9</formula>
    </cfRule>
    <cfRule type="cellIs" dxfId="2488" priority="1234" operator="between">
      <formula>28.1</formula>
      <formula>30</formula>
    </cfRule>
    <cfRule type="expression" dxfId="2487" priority="1235">
      <formula>U26&lt;20</formula>
    </cfRule>
    <cfRule type="expression" dxfId="2486" priority="1236">
      <formula>U26&gt;30</formula>
    </cfRule>
  </conditionalFormatting>
  <conditionalFormatting sqref="U27">
    <cfRule type="cellIs" dxfId="2485" priority="1229" operator="between">
      <formula>35</formula>
      <formula>36.9</formula>
    </cfRule>
    <cfRule type="cellIs" dxfId="2484" priority="1230" operator="between">
      <formula>43.1</formula>
      <formula>45</formula>
    </cfRule>
    <cfRule type="expression" dxfId="2483" priority="1231">
      <formula>U27&lt;35</formula>
    </cfRule>
    <cfRule type="expression" dxfId="2482" priority="1232">
      <formula>U27&gt;45</formula>
    </cfRule>
  </conditionalFormatting>
  <conditionalFormatting sqref="U28">
    <cfRule type="cellIs" dxfId="2481" priority="1225" operator="between">
      <formula>55</formula>
      <formula>56.9</formula>
    </cfRule>
    <cfRule type="cellIs" dxfId="2480" priority="1226" operator="between">
      <formula>63.1</formula>
      <formula>65</formula>
    </cfRule>
    <cfRule type="expression" dxfId="2479" priority="1227">
      <formula>U28&lt;55</formula>
    </cfRule>
    <cfRule type="expression" dxfId="2478" priority="1228">
      <formula>U28&gt;65</formula>
    </cfRule>
  </conditionalFormatting>
  <conditionalFormatting sqref="U23">
    <cfRule type="cellIs" dxfId="2477" priority="1221" operator="between">
      <formula>65</formula>
      <formula>66.9</formula>
    </cfRule>
    <cfRule type="cellIs" dxfId="2476" priority="1222" operator="between">
      <formula>73.1</formula>
      <formula>75</formula>
    </cfRule>
    <cfRule type="expression" dxfId="2475" priority="1223">
      <formula>U23&lt;65</formula>
    </cfRule>
    <cfRule type="expression" dxfId="2474" priority="1224">
      <formula>U23&gt;75</formula>
    </cfRule>
  </conditionalFormatting>
  <conditionalFormatting sqref="U25">
    <cfRule type="cellIs" dxfId="2473" priority="1217" operator="between">
      <formula>50</formula>
      <formula>51.9</formula>
    </cfRule>
    <cfRule type="cellIs" dxfId="2472" priority="1218" operator="between">
      <formula>58.1</formula>
      <formula>60</formula>
    </cfRule>
    <cfRule type="expression" dxfId="2471" priority="1219">
      <formula>U25&lt;50</formula>
    </cfRule>
    <cfRule type="expression" dxfId="2470" priority="1220">
      <formula>U25&gt;60</formula>
    </cfRule>
  </conditionalFormatting>
  <conditionalFormatting sqref="X22">
    <cfRule type="cellIs" dxfId="2469" priority="1213" operator="between">
      <formula>65</formula>
      <formula>66.9</formula>
    </cfRule>
    <cfRule type="cellIs" dxfId="2468" priority="1214" operator="between">
      <formula>73.1</formula>
      <formula>75</formula>
    </cfRule>
    <cfRule type="expression" dxfId="2467" priority="1215">
      <formula>X22&lt;65</formula>
    </cfRule>
    <cfRule type="expression" dxfId="2466" priority="1216">
      <formula>X22&gt;75</formula>
    </cfRule>
  </conditionalFormatting>
  <conditionalFormatting sqref="X24">
    <cfRule type="cellIs" dxfId="2465" priority="1209" operator="between">
      <formula>50</formula>
      <formula>51.9</formula>
    </cfRule>
    <cfRule type="cellIs" dxfId="2464" priority="1210" operator="between">
      <formula>58.1</formula>
      <formula>60</formula>
    </cfRule>
    <cfRule type="expression" dxfId="2463" priority="1211">
      <formula>X24&lt;50</formula>
    </cfRule>
    <cfRule type="expression" dxfId="2462" priority="1212">
      <formula>X24&gt;60</formula>
    </cfRule>
  </conditionalFormatting>
  <conditionalFormatting sqref="X26">
    <cfRule type="cellIs" dxfId="2461" priority="1205" operator="between">
      <formula>20</formula>
      <formula>21.9</formula>
    </cfRule>
    <cfRule type="cellIs" dxfId="2460" priority="1206" operator="between">
      <formula>28.1</formula>
      <formula>30</formula>
    </cfRule>
    <cfRule type="expression" dxfId="2459" priority="1207">
      <formula>X26&lt;20</formula>
    </cfRule>
    <cfRule type="expression" dxfId="2458" priority="1208">
      <formula>X26&gt;30</formula>
    </cfRule>
  </conditionalFormatting>
  <conditionalFormatting sqref="X27">
    <cfRule type="cellIs" dxfId="2457" priority="1201" operator="between">
      <formula>35</formula>
      <formula>36.9</formula>
    </cfRule>
    <cfRule type="cellIs" dxfId="2456" priority="1202" operator="between">
      <formula>43.1</formula>
      <formula>45</formula>
    </cfRule>
    <cfRule type="expression" dxfId="2455" priority="1203">
      <formula>X27&lt;35</formula>
    </cfRule>
    <cfRule type="expression" dxfId="2454" priority="1204">
      <formula>X27&gt;45</formula>
    </cfRule>
  </conditionalFormatting>
  <conditionalFormatting sqref="X28">
    <cfRule type="cellIs" dxfId="2453" priority="1197" operator="between">
      <formula>55</formula>
      <formula>56.9</formula>
    </cfRule>
    <cfRule type="cellIs" dxfId="2452" priority="1198" operator="between">
      <formula>63.1</formula>
      <formula>65</formula>
    </cfRule>
    <cfRule type="expression" dxfId="2451" priority="1199">
      <formula>X28&lt;55</formula>
    </cfRule>
    <cfRule type="expression" dxfId="2450" priority="1200">
      <formula>X28&gt;65</formula>
    </cfRule>
  </conditionalFormatting>
  <conditionalFormatting sqref="X23">
    <cfRule type="cellIs" dxfId="2449" priority="1193" operator="between">
      <formula>65</formula>
      <formula>66.9</formula>
    </cfRule>
    <cfRule type="cellIs" dxfId="2448" priority="1194" operator="between">
      <formula>73.1</formula>
      <formula>75</formula>
    </cfRule>
    <cfRule type="expression" dxfId="2447" priority="1195">
      <formula>X23&lt;65</formula>
    </cfRule>
    <cfRule type="expression" dxfId="2446" priority="1196">
      <formula>X23&gt;75</formula>
    </cfRule>
  </conditionalFormatting>
  <conditionalFormatting sqref="X25">
    <cfRule type="cellIs" dxfId="2445" priority="1189" operator="between">
      <formula>50</formula>
      <formula>51.9</formula>
    </cfRule>
    <cfRule type="cellIs" dxfId="2444" priority="1190" operator="between">
      <formula>58.1</formula>
      <formula>60</formula>
    </cfRule>
    <cfRule type="expression" dxfId="2443" priority="1191">
      <formula>X25&lt;50</formula>
    </cfRule>
    <cfRule type="expression" dxfId="2442" priority="1192">
      <formula>X25&gt;60</formula>
    </cfRule>
  </conditionalFormatting>
  <conditionalFormatting sqref="AA22">
    <cfRule type="cellIs" dxfId="2441" priority="1185" operator="between">
      <formula>65</formula>
      <formula>66.9</formula>
    </cfRule>
    <cfRule type="cellIs" dxfId="2440" priority="1186" operator="between">
      <formula>73.1</formula>
      <formula>75</formula>
    </cfRule>
    <cfRule type="expression" dxfId="2439" priority="1187">
      <formula>AA22&lt;65</formula>
    </cfRule>
    <cfRule type="expression" dxfId="2438" priority="1188">
      <formula>AA22&gt;75</formula>
    </cfRule>
  </conditionalFormatting>
  <conditionalFormatting sqref="AA24">
    <cfRule type="cellIs" dxfId="2437" priority="1181" operator="between">
      <formula>50</formula>
      <formula>51.9</formula>
    </cfRule>
    <cfRule type="cellIs" dxfId="2436" priority="1182" operator="between">
      <formula>58.1</formula>
      <formula>60</formula>
    </cfRule>
    <cfRule type="expression" dxfId="2435" priority="1183">
      <formula>AA24&lt;50</formula>
    </cfRule>
    <cfRule type="expression" dxfId="2434" priority="1184">
      <formula>AA24&gt;60</formula>
    </cfRule>
  </conditionalFormatting>
  <conditionalFormatting sqref="AA26">
    <cfRule type="cellIs" dxfId="2433" priority="1177" operator="between">
      <formula>20</formula>
      <formula>21.9</formula>
    </cfRule>
    <cfRule type="cellIs" dxfId="2432" priority="1178" operator="between">
      <formula>28.1</formula>
      <formula>30</formula>
    </cfRule>
    <cfRule type="expression" dxfId="2431" priority="1179">
      <formula>AA26&lt;20</formula>
    </cfRule>
    <cfRule type="expression" dxfId="2430" priority="1180">
      <formula>AA26&gt;30</formula>
    </cfRule>
  </conditionalFormatting>
  <conditionalFormatting sqref="AA27">
    <cfRule type="cellIs" dxfId="2429" priority="1173" operator="between">
      <formula>35</formula>
      <formula>36.9</formula>
    </cfRule>
    <cfRule type="cellIs" dxfId="2428" priority="1174" operator="between">
      <formula>43.1</formula>
      <formula>45</formula>
    </cfRule>
    <cfRule type="expression" dxfId="2427" priority="1175">
      <formula>AA27&lt;35</formula>
    </cfRule>
    <cfRule type="expression" dxfId="2426" priority="1176">
      <formula>AA27&gt;45</formula>
    </cfRule>
  </conditionalFormatting>
  <conditionalFormatting sqref="AA28">
    <cfRule type="cellIs" dxfId="2425" priority="1169" operator="between">
      <formula>55</formula>
      <formula>56.9</formula>
    </cfRule>
    <cfRule type="cellIs" dxfId="2424" priority="1170" operator="between">
      <formula>63.1</formula>
      <formula>65</formula>
    </cfRule>
    <cfRule type="expression" dxfId="2423" priority="1171">
      <formula>AA28&lt;55</formula>
    </cfRule>
    <cfRule type="expression" dxfId="2422" priority="1172">
      <formula>AA28&gt;65</formula>
    </cfRule>
  </conditionalFormatting>
  <conditionalFormatting sqref="AA23">
    <cfRule type="cellIs" dxfId="2421" priority="1165" operator="between">
      <formula>65</formula>
      <formula>66.9</formula>
    </cfRule>
    <cfRule type="cellIs" dxfId="2420" priority="1166" operator="between">
      <formula>73.1</formula>
      <formula>75</formula>
    </cfRule>
    <cfRule type="expression" dxfId="2419" priority="1167">
      <formula>AA23&lt;65</formula>
    </cfRule>
    <cfRule type="expression" dxfId="2418" priority="1168">
      <formula>AA23&gt;75</formula>
    </cfRule>
  </conditionalFormatting>
  <conditionalFormatting sqref="AA25">
    <cfRule type="cellIs" dxfId="2417" priority="1161" operator="between">
      <formula>50</formula>
      <formula>51.9</formula>
    </cfRule>
    <cfRule type="cellIs" dxfId="2416" priority="1162" operator="between">
      <formula>58.1</formula>
      <formula>60</formula>
    </cfRule>
    <cfRule type="expression" dxfId="2415" priority="1163">
      <formula>AA25&lt;50</formula>
    </cfRule>
    <cfRule type="expression" dxfId="2414" priority="1164">
      <formula>AA25&gt;60</formula>
    </cfRule>
  </conditionalFormatting>
  <conditionalFormatting sqref="AD22">
    <cfRule type="cellIs" dxfId="2413" priority="1157" operator="between">
      <formula>65</formula>
      <formula>66.9</formula>
    </cfRule>
    <cfRule type="cellIs" dxfId="2412" priority="1158" operator="between">
      <formula>73.1</formula>
      <formula>75</formula>
    </cfRule>
    <cfRule type="expression" dxfId="2411" priority="1159">
      <formula>AD22&lt;65</formula>
    </cfRule>
    <cfRule type="expression" dxfId="2410" priority="1160">
      <formula>AD22&gt;75</formula>
    </cfRule>
  </conditionalFormatting>
  <conditionalFormatting sqref="AD24">
    <cfRule type="cellIs" dxfId="2409" priority="1153" operator="between">
      <formula>50</formula>
      <formula>51.9</formula>
    </cfRule>
    <cfRule type="cellIs" dxfId="2408" priority="1154" operator="between">
      <formula>58.1</formula>
      <formula>60</formula>
    </cfRule>
    <cfRule type="expression" dxfId="2407" priority="1155">
      <formula>AD24&lt;50</formula>
    </cfRule>
    <cfRule type="expression" dxfId="2406" priority="1156">
      <formula>AD24&gt;60</formula>
    </cfRule>
  </conditionalFormatting>
  <conditionalFormatting sqref="AD26">
    <cfRule type="cellIs" dxfId="2405" priority="1149" operator="between">
      <formula>20</formula>
      <formula>21.9</formula>
    </cfRule>
    <cfRule type="cellIs" dxfId="2404" priority="1150" operator="between">
      <formula>28.1</formula>
      <formula>30</formula>
    </cfRule>
    <cfRule type="expression" dxfId="2403" priority="1151">
      <formula>AD26&lt;20</formula>
    </cfRule>
    <cfRule type="expression" dxfId="2402" priority="1152">
      <formula>AD26&gt;30</formula>
    </cfRule>
  </conditionalFormatting>
  <conditionalFormatting sqref="AD27">
    <cfRule type="cellIs" dxfId="2401" priority="1145" operator="between">
      <formula>35</formula>
      <formula>36.9</formula>
    </cfRule>
    <cfRule type="cellIs" dxfId="2400" priority="1146" operator="between">
      <formula>43.1</formula>
      <formula>45</formula>
    </cfRule>
    <cfRule type="expression" dxfId="2399" priority="1147">
      <formula>AD27&lt;35</formula>
    </cfRule>
    <cfRule type="expression" dxfId="2398" priority="1148">
      <formula>AD27&gt;45</formula>
    </cfRule>
  </conditionalFormatting>
  <conditionalFormatting sqref="AD28">
    <cfRule type="cellIs" dxfId="2397" priority="1141" operator="between">
      <formula>55</formula>
      <formula>56.9</formula>
    </cfRule>
    <cfRule type="cellIs" dxfId="2396" priority="1142" operator="between">
      <formula>63.1</formula>
      <formula>65</formula>
    </cfRule>
    <cfRule type="expression" dxfId="2395" priority="1143">
      <formula>AD28&lt;55</formula>
    </cfRule>
    <cfRule type="expression" dxfId="2394" priority="1144">
      <formula>AD28&gt;65</formula>
    </cfRule>
  </conditionalFormatting>
  <conditionalFormatting sqref="AD23">
    <cfRule type="cellIs" dxfId="2393" priority="1137" operator="between">
      <formula>65</formula>
      <formula>66.9</formula>
    </cfRule>
    <cfRule type="cellIs" dxfId="2392" priority="1138" operator="between">
      <formula>73.1</formula>
      <formula>75</formula>
    </cfRule>
    <cfRule type="expression" dxfId="2391" priority="1139">
      <formula>AD23&lt;65</formula>
    </cfRule>
    <cfRule type="expression" dxfId="2390" priority="1140">
      <formula>AD23&gt;75</formula>
    </cfRule>
  </conditionalFormatting>
  <conditionalFormatting sqref="AD25">
    <cfRule type="cellIs" dxfId="2389" priority="1133" operator="between">
      <formula>50</formula>
      <formula>51.9</formula>
    </cfRule>
    <cfRule type="cellIs" dxfId="2388" priority="1134" operator="between">
      <formula>58.1</formula>
      <formula>60</formula>
    </cfRule>
    <cfRule type="expression" dxfId="2387" priority="1135">
      <formula>AD25&lt;50</formula>
    </cfRule>
    <cfRule type="expression" dxfId="2386" priority="1136">
      <formula>AD25&gt;60</formula>
    </cfRule>
  </conditionalFormatting>
  <conditionalFormatting sqref="AG22">
    <cfRule type="cellIs" dxfId="2385" priority="1129" operator="between">
      <formula>65</formula>
      <formula>66.9</formula>
    </cfRule>
    <cfRule type="cellIs" dxfId="2384" priority="1130" operator="between">
      <formula>73.1</formula>
      <formula>75</formula>
    </cfRule>
    <cfRule type="expression" dxfId="2383" priority="1131">
      <formula>AG22&lt;65</formula>
    </cfRule>
    <cfRule type="expression" dxfId="2382" priority="1132">
      <formula>AG22&gt;75</formula>
    </cfRule>
  </conditionalFormatting>
  <conditionalFormatting sqref="AG24">
    <cfRule type="cellIs" dxfId="2381" priority="1125" operator="between">
      <formula>50</formula>
      <formula>51.9</formula>
    </cfRule>
    <cfRule type="cellIs" dxfId="2380" priority="1126" operator="between">
      <formula>58.1</formula>
      <formula>60</formula>
    </cfRule>
    <cfRule type="expression" dxfId="2379" priority="1127">
      <formula>AG24&lt;50</formula>
    </cfRule>
    <cfRule type="expression" dxfId="2378" priority="1128">
      <formula>AG24&gt;60</formula>
    </cfRule>
  </conditionalFormatting>
  <conditionalFormatting sqref="AG26">
    <cfRule type="cellIs" dxfId="2377" priority="1121" operator="between">
      <formula>20</formula>
      <formula>21.9</formula>
    </cfRule>
    <cfRule type="cellIs" dxfId="2376" priority="1122" operator="between">
      <formula>28.1</formula>
      <formula>30</formula>
    </cfRule>
    <cfRule type="expression" dxfId="2375" priority="1123">
      <formula>AG26&lt;20</formula>
    </cfRule>
    <cfRule type="expression" dxfId="2374" priority="1124">
      <formula>AG26&gt;30</formula>
    </cfRule>
  </conditionalFormatting>
  <conditionalFormatting sqref="AG27">
    <cfRule type="cellIs" dxfId="2373" priority="1117" operator="between">
      <formula>35</formula>
      <formula>36.9</formula>
    </cfRule>
    <cfRule type="cellIs" dxfId="2372" priority="1118" operator="between">
      <formula>43.1</formula>
      <formula>45</formula>
    </cfRule>
    <cfRule type="expression" dxfId="2371" priority="1119">
      <formula>AG27&lt;35</formula>
    </cfRule>
    <cfRule type="expression" dxfId="2370" priority="1120">
      <formula>AG27&gt;45</formula>
    </cfRule>
  </conditionalFormatting>
  <conditionalFormatting sqref="AG28">
    <cfRule type="cellIs" dxfId="2369" priority="1113" operator="between">
      <formula>55</formula>
      <formula>56.9</formula>
    </cfRule>
    <cfRule type="cellIs" dxfId="2368" priority="1114" operator="between">
      <formula>63.1</formula>
      <formula>65</formula>
    </cfRule>
    <cfRule type="expression" dxfId="2367" priority="1115">
      <formula>AG28&lt;55</formula>
    </cfRule>
    <cfRule type="expression" dxfId="2366" priority="1116">
      <formula>AG28&gt;65</formula>
    </cfRule>
  </conditionalFormatting>
  <conditionalFormatting sqref="AG23">
    <cfRule type="cellIs" dxfId="2365" priority="1109" operator="between">
      <formula>65</formula>
      <formula>66.9</formula>
    </cfRule>
    <cfRule type="cellIs" dxfId="2364" priority="1110" operator="between">
      <formula>73.1</formula>
      <formula>75</formula>
    </cfRule>
    <cfRule type="expression" dxfId="2363" priority="1111">
      <formula>AG23&lt;65</formula>
    </cfRule>
    <cfRule type="expression" dxfId="2362" priority="1112">
      <formula>AG23&gt;75</formula>
    </cfRule>
  </conditionalFormatting>
  <conditionalFormatting sqref="AG25">
    <cfRule type="cellIs" dxfId="2361" priority="1105" operator="between">
      <formula>50</formula>
      <formula>51.9</formula>
    </cfRule>
    <cfRule type="cellIs" dxfId="2360" priority="1106" operator="between">
      <formula>58.1</formula>
      <formula>60</formula>
    </cfRule>
    <cfRule type="expression" dxfId="2359" priority="1107">
      <formula>AG25&lt;50</formula>
    </cfRule>
    <cfRule type="expression" dxfId="2358" priority="1108">
      <formula>AG25&gt;60</formula>
    </cfRule>
  </conditionalFormatting>
  <conditionalFormatting sqref="AJ22">
    <cfRule type="cellIs" dxfId="2357" priority="1101" operator="between">
      <formula>65</formula>
      <formula>66.9</formula>
    </cfRule>
    <cfRule type="cellIs" dxfId="2356" priority="1102" operator="between">
      <formula>73.1</formula>
      <formula>75</formula>
    </cfRule>
    <cfRule type="expression" dxfId="2355" priority="1103">
      <formula>AJ22&lt;65</formula>
    </cfRule>
    <cfRule type="expression" dxfId="2354" priority="1104">
      <formula>AJ22&gt;75</formula>
    </cfRule>
  </conditionalFormatting>
  <conditionalFormatting sqref="AJ24">
    <cfRule type="cellIs" dxfId="2353" priority="1097" operator="between">
      <formula>50</formula>
      <formula>51.9</formula>
    </cfRule>
    <cfRule type="cellIs" dxfId="2352" priority="1098" operator="between">
      <formula>58.1</formula>
      <formula>60</formula>
    </cfRule>
    <cfRule type="expression" dxfId="2351" priority="1099">
      <formula>AJ24&lt;50</formula>
    </cfRule>
    <cfRule type="expression" dxfId="2350" priority="1100">
      <formula>AJ24&gt;60</formula>
    </cfRule>
  </conditionalFormatting>
  <conditionalFormatting sqref="AJ26">
    <cfRule type="cellIs" dxfId="2349" priority="1093" operator="between">
      <formula>20</formula>
      <formula>21.9</formula>
    </cfRule>
    <cfRule type="cellIs" dxfId="2348" priority="1094" operator="between">
      <formula>28.1</formula>
      <formula>30</formula>
    </cfRule>
    <cfRule type="expression" dxfId="2347" priority="1095">
      <formula>AJ26&lt;20</formula>
    </cfRule>
    <cfRule type="expression" dxfId="2346" priority="1096">
      <formula>AJ26&gt;30</formula>
    </cfRule>
  </conditionalFormatting>
  <conditionalFormatting sqref="AJ27">
    <cfRule type="cellIs" dxfId="2345" priority="1089" operator="between">
      <formula>35</formula>
      <formula>36.9</formula>
    </cfRule>
    <cfRule type="cellIs" dxfId="2344" priority="1090" operator="between">
      <formula>43.1</formula>
      <formula>45</formula>
    </cfRule>
    <cfRule type="expression" dxfId="2343" priority="1091">
      <formula>AJ27&lt;35</formula>
    </cfRule>
    <cfRule type="expression" dxfId="2342" priority="1092">
      <formula>AJ27&gt;45</formula>
    </cfRule>
  </conditionalFormatting>
  <conditionalFormatting sqref="AJ28">
    <cfRule type="cellIs" dxfId="2341" priority="1085" operator="between">
      <formula>55</formula>
      <formula>56.9</formula>
    </cfRule>
    <cfRule type="cellIs" dxfId="2340" priority="1086" operator="between">
      <formula>63.1</formula>
      <formula>65</formula>
    </cfRule>
    <cfRule type="expression" dxfId="2339" priority="1087">
      <formula>AJ28&lt;55</formula>
    </cfRule>
    <cfRule type="expression" dxfId="2338" priority="1088">
      <formula>AJ28&gt;65</formula>
    </cfRule>
  </conditionalFormatting>
  <conditionalFormatting sqref="AJ23">
    <cfRule type="cellIs" dxfId="2337" priority="1081" operator="between">
      <formula>65</formula>
      <formula>66.9</formula>
    </cfRule>
    <cfRule type="cellIs" dxfId="2336" priority="1082" operator="between">
      <formula>73.1</formula>
      <formula>75</formula>
    </cfRule>
    <cfRule type="expression" dxfId="2335" priority="1083">
      <formula>AJ23&lt;65</formula>
    </cfRule>
    <cfRule type="expression" dxfId="2334" priority="1084">
      <formula>AJ23&gt;75</formula>
    </cfRule>
  </conditionalFormatting>
  <conditionalFormatting sqref="AJ25">
    <cfRule type="cellIs" dxfId="2333" priority="1077" operator="between">
      <formula>50</formula>
      <formula>51.9</formula>
    </cfRule>
    <cfRule type="cellIs" dxfId="2332" priority="1078" operator="between">
      <formula>58.1</formula>
      <formula>60</formula>
    </cfRule>
    <cfRule type="expression" dxfId="2331" priority="1079">
      <formula>AJ25&lt;50</formula>
    </cfRule>
    <cfRule type="expression" dxfId="2330" priority="1080">
      <formula>AJ25&gt;60</formula>
    </cfRule>
  </conditionalFormatting>
  <conditionalFormatting sqref="AM22">
    <cfRule type="cellIs" dxfId="2329" priority="1073" operator="between">
      <formula>65</formula>
      <formula>66.9</formula>
    </cfRule>
    <cfRule type="cellIs" dxfId="2328" priority="1074" operator="between">
      <formula>73.1</formula>
      <formula>75</formula>
    </cfRule>
    <cfRule type="expression" dxfId="2327" priority="1075">
      <formula>AM22&lt;65</formula>
    </cfRule>
    <cfRule type="expression" dxfId="2326" priority="1076">
      <formula>AM22&gt;75</formula>
    </cfRule>
  </conditionalFormatting>
  <conditionalFormatting sqref="AM24">
    <cfRule type="cellIs" dxfId="2325" priority="1069" operator="between">
      <formula>50</formula>
      <formula>51.9</formula>
    </cfRule>
    <cfRule type="cellIs" dxfId="2324" priority="1070" operator="between">
      <formula>58.1</formula>
      <formula>60</formula>
    </cfRule>
    <cfRule type="expression" dxfId="2323" priority="1071">
      <formula>AM24&lt;50</formula>
    </cfRule>
    <cfRule type="expression" dxfId="2322" priority="1072">
      <formula>AM24&gt;60</formula>
    </cfRule>
  </conditionalFormatting>
  <conditionalFormatting sqref="AM26">
    <cfRule type="cellIs" dxfId="2321" priority="1065" operator="between">
      <formula>20</formula>
      <formula>21.9</formula>
    </cfRule>
    <cfRule type="cellIs" dxfId="2320" priority="1066" operator="between">
      <formula>28.1</formula>
      <formula>30</formula>
    </cfRule>
    <cfRule type="expression" dxfId="2319" priority="1067">
      <formula>AM26&lt;20</formula>
    </cfRule>
    <cfRule type="expression" dxfId="2318" priority="1068">
      <formula>AM26&gt;30</formula>
    </cfRule>
  </conditionalFormatting>
  <conditionalFormatting sqref="AM27">
    <cfRule type="cellIs" dxfId="2317" priority="1061" operator="between">
      <formula>35</formula>
      <formula>36.9</formula>
    </cfRule>
    <cfRule type="cellIs" dxfId="2316" priority="1062" operator="between">
      <formula>43.1</formula>
      <formula>45</formula>
    </cfRule>
    <cfRule type="expression" dxfId="2315" priority="1063">
      <formula>AM27&lt;35</formula>
    </cfRule>
    <cfRule type="expression" dxfId="2314" priority="1064">
      <formula>AM27&gt;45</formula>
    </cfRule>
  </conditionalFormatting>
  <conditionalFormatting sqref="AM28">
    <cfRule type="cellIs" dxfId="2313" priority="1057" operator="between">
      <formula>55</formula>
      <formula>56.9</formula>
    </cfRule>
    <cfRule type="cellIs" dxfId="2312" priority="1058" operator="between">
      <formula>63.1</formula>
      <formula>65</formula>
    </cfRule>
    <cfRule type="expression" dxfId="2311" priority="1059">
      <formula>AM28&lt;55</formula>
    </cfRule>
    <cfRule type="expression" dxfId="2310" priority="1060">
      <formula>AM28&gt;65</formula>
    </cfRule>
  </conditionalFormatting>
  <conditionalFormatting sqref="AM23">
    <cfRule type="cellIs" dxfId="2309" priority="1053" operator="between">
      <formula>65</formula>
      <formula>66.9</formula>
    </cfRule>
    <cfRule type="cellIs" dxfId="2308" priority="1054" operator="between">
      <formula>73.1</formula>
      <formula>75</formula>
    </cfRule>
    <cfRule type="expression" dxfId="2307" priority="1055">
      <formula>AM23&lt;65</formula>
    </cfRule>
    <cfRule type="expression" dxfId="2306" priority="1056">
      <formula>AM23&gt;75</formula>
    </cfRule>
  </conditionalFormatting>
  <conditionalFormatting sqref="AM25">
    <cfRule type="cellIs" dxfId="2305" priority="1049" operator="between">
      <formula>50</formula>
      <formula>51.9</formula>
    </cfRule>
    <cfRule type="cellIs" dxfId="2304" priority="1050" operator="between">
      <formula>58.1</formula>
      <formula>60</formula>
    </cfRule>
    <cfRule type="expression" dxfId="2303" priority="1051">
      <formula>AM25&lt;50</formula>
    </cfRule>
    <cfRule type="expression" dxfId="2302" priority="1052">
      <formula>AM25&gt;60</formula>
    </cfRule>
  </conditionalFormatting>
  <conditionalFormatting sqref="AP22">
    <cfRule type="cellIs" dxfId="2301" priority="1045" operator="between">
      <formula>65</formula>
      <formula>66.9</formula>
    </cfRule>
    <cfRule type="cellIs" dxfId="2300" priority="1046" operator="between">
      <formula>73.1</formula>
      <formula>75</formula>
    </cfRule>
    <cfRule type="expression" dxfId="2299" priority="1047">
      <formula>AP22&lt;65</formula>
    </cfRule>
    <cfRule type="expression" dxfId="2298" priority="1048">
      <formula>AP22&gt;75</formula>
    </cfRule>
  </conditionalFormatting>
  <conditionalFormatting sqref="AP24">
    <cfRule type="cellIs" dxfId="2297" priority="1041" operator="between">
      <formula>50</formula>
      <formula>51.9</formula>
    </cfRule>
    <cfRule type="cellIs" dxfId="2296" priority="1042" operator="between">
      <formula>58.1</formula>
      <formula>60</formula>
    </cfRule>
    <cfRule type="expression" dxfId="2295" priority="1043">
      <formula>AP24&lt;50</formula>
    </cfRule>
    <cfRule type="expression" dxfId="2294" priority="1044">
      <formula>AP24&gt;60</formula>
    </cfRule>
  </conditionalFormatting>
  <conditionalFormatting sqref="AP26">
    <cfRule type="cellIs" dxfId="2293" priority="1037" operator="between">
      <formula>20</formula>
      <formula>21.9</formula>
    </cfRule>
    <cfRule type="cellIs" dxfId="2292" priority="1038" operator="between">
      <formula>28.1</formula>
      <formula>30</formula>
    </cfRule>
    <cfRule type="expression" dxfId="2291" priority="1039">
      <formula>AP26&lt;20</formula>
    </cfRule>
    <cfRule type="expression" dxfId="2290" priority="1040">
      <formula>AP26&gt;30</formula>
    </cfRule>
  </conditionalFormatting>
  <conditionalFormatting sqref="AP27">
    <cfRule type="cellIs" dxfId="2289" priority="1033" operator="between">
      <formula>35</formula>
      <formula>36.9</formula>
    </cfRule>
    <cfRule type="cellIs" dxfId="2288" priority="1034" operator="between">
      <formula>43.1</formula>
      <formula>45</formula>
    </cfRule>
    <cfRule type="expression" dxfId="2287" priority="1035">
      <formula>AP27&lt;35</formula>
    </cfRule>
    <cfRule type="expression" dxfId="2286" priority="1036">
      <formula>AP27&gt;45</formula>
    </cfRule>
  </conditionalFormatting>
  <conditionalFormatting sqref="AP28">
    <cfRule type="cellIs" dxfId="2285" priority="1029" operator="between">
      <formula>55</formula>
      <formula>56.9</formula>
    </cfRule>
    <cfRule type="cellIs" dxfId="2284" priority="1030" operator="between">
      <formula>63.1</formula>
      <formula>65</formula>
    </cfRule>
    <cfRule type="expression" dxfId="2283" priority="1031">
      <formula>AP28&lt;55</formula>
    </cfRule>
    <cfRule type="expression" dxfId="2282" priority="1032">
      <formula>AP28&gt;65</formula>
    </cfRule>
  </conditionalFormatting>
  <conditionalFormatting sqref="AP23">
    <cfRule type="cellIs" dxfId="2281" priority="1025" operator="between">
      <formula>65</formula>
      <formula>66.9</formula>
    </cfRule>
    <cfRule type="cellIs" dxfId="2280" priority="1026" operator="between">
      <formula>73.1</formula>
      <formula>75</formula>
    </cfRule>
    <cfRule type="expression" dxfId="2279" priority="1027">
      <formula>AP23&lt;65</formula>
    </cfRule>
    <cfRule type="expression" dxfId="2278" priority="1028">
      <formula>AP23&gt;75</formula>
    </cfRule>
  </conditionalFormatting>
  <conditionalFormatting sqref="AP25">
    <cfRule type="cellIs" dxfId="2277" priority="1021" operator="between">
      <formula>50</formula>
      <formula>51.9</formula>
    </cfRule>
    <cfRule type="cellIs" dxfId="2276" priority="1022" operator="between">
      <formula>58.1</formula>
      <formula>60</formula>
    </cfRule>
    <cfRule type="expression" dxfId="2275" priority="1023">
      <formula>AP25&lt;50</formula>
    </cfRule>
    <cfRule type="expression" dxfId="2274" priority="1024">
      <formula>AP25&gt;60</formula>
    </cfRule>
  </conditionalFormatting>
  <conditionalFormatting sqref="O6">
    <cfRule type="cellIs" dxfId="2273" priority="1017" operator="between">
      <formula>25</formula>
      <formula>27.99</formula>
    </cfRule>
    <cfRule type="cellIs" dxfId="2272" priority="1018" operator="between">
      <formula>32.1</formula>
      <formula>35</formula>
    </cfRule>
    <cfRule type="expression" dxfId="2271" priority="1019">
      <formula>O6&lt;25</formula>
    </cfRule>
    <cfRule type="expression" dxfId="2270" priority="1020">
      <formula>O6&gt;35</formula>
    </cfRule>
  </conditionalFormatting>
  <conditionalFormatting sqref="O8:O9">
    <cfRule type="expression" dxfId="2269" priority="1015" stopIfTrue="1">
      <formula>O8&gt;80</formula>
    </cfRule>
    <cfRule type="expression" dxfId="2268" priority="1016" stopIfTrue="1">
      <formula>O8&lt;60</formula>
    </cfRule>
  </conditionalFormatting>
  <conditionalFormatting sqref="O10">
    <cfRule type="cellIs" dxfId="2267" priority="1011" operator="between">
      <formula>130</formula>
      <formula>134.99</formula>
    </cfRule>
    <cfRule type="cellIs" dxfId="2266" priority="1012" operator="between">
      <formula>145.1</formula>
      <formula>150</formula>
    </cfRule>
    <cfRule type="expression" dxfId="2265" priority="1013">
      <formula>O10&lt;130</formula>
    </cfRule>
    <cfRule type="expression" dxfId="2264" priority="1014">
      <formula>O10&gt;150</formula>
    </cfRule>
  </conditionalFormatting>
  <conditionalFormatting sqref="O11">
    <cfRule type="cellIs" dxfId="2263" priority="1007" operator="between">
      <formula>7</formula>
      <formula>7.99</formula>
    </cfRule>
    <cfRule type="cellIs" dxfId="2262" priority="1008" operator="between">
      <formula>10.1</formula>
      <formula>12</formula>
    </cfRule>
    <cfRule type="expression" dxfId="2261" priority="1009">
      <formula>O11&lt;7</formula>
    </cfRule>
    <cfRule type="expression" dxfId="2260" priority="1010">
      <formula>O11&gt;12</formula>
    </cfRule>
  </conditionalFormatting>
  <conditionalFormatting sqref="O12">
    <cfRule type="cellIs" dxfId="2259" priority="1004" operator="between">
      <formula>16.1</formula>
      <formula>18</formula>
    </cfRule>
    <cfRule type="expression" dxfId="2258" priority="1005">
      <formula>O12&lt;12</formula>
    </cfRule>
    <cfRule type="expression" dxfId="2257" priority="1006">
      <formula>O12&gt;18</formula>
    </cfRule>
  </conditionalFormatting>
  <conditionalFormatting sqref="O13">
    <cfRule type="cellIs" dxfId="2256" priority="1000" operator="between">
      <formula>1.6</formula>
      <formula>1.699</formula>
    </cfRule>
    <cfRule type="cellIs" dxfId="2255" priority="1001" operator="between">
      <formula>1.91</formula>
      <formula>2.2</formula>
    </cfRule>
    <cfRule type="expression" dxfId="2254" priority="1002">
      <formula>O13&lt;1.6</formula>
    </cfRule>
    <cfRule type="expression" dxfId="2253" priority="1003">
      <formula>O13&gt;2.2</formula>
    </cfRule>
  </conditionalFormatting>
  <conditionalFormatting sqref="O14">
    <cfRule type="cellIs" dxfId="2252" priority="996" operator="between">
      <formula>30%</formula>
      <formula>39.99%</formula>
    </cfRule>
    <cfRule type="cellIs" dxfId="2251" priority="997" operator="between">
      <formula>50.01%</formula>
      <formula>60%</formula>
    </cfRule>
    <cfRule type="expression" dxfId="2250" priority="998">
      <formula>O14&lt;30%</formula>
    </cfRule>
    <cfRule type="expression" dxfId="2249" priority="999">
      <formula>O14&gt;60%</formula>
    </cfRule>
  </conditionalFormatting>
  <conditionalFormatting sqref="O15">
    <cfRule type="cellIs" dxfId="2248" priority="992" operator="between">
      <formula>15%</formula>
      <formula>16.99%</formula>
    </cfRule>
    <cfRule type="cellIs" dxfId="2247" priority="993" operator="between">
      <formula>27.01%</formula>
      <formula>30%</formula>
    </cfRule>
    <cfRule type="expression" dxfId="2246" priority="994">
      <formula>O15&lt;15%</formula>
    </cfRule>
    <cfRule type="expression" dxfId="2245" priority="995">
      <formula>O15&gt;30%</formula>
    </cfRule>
  </conditionalFormatting>
  <conditionalFormatting sqref="O16">
    <cfRule type="cellIs" dxfId="2244" priority="988" operator="between">
      <formula>5%</formula>
      <formula>6.99%</formula>
    </cfRule>
    <cfRule type="cellIs" dxfId="2243" priority="989" operator="between">
      <formula>12.99%</formula>
      <formula>15%</formula>
    </cfRule>
    <cfRule type="expression" dxfId="2242" priority="990">
      <formula>O16&lt;5%</formula>
    </cfRule>
    <cfRule type="expression" dxfId="2241" priority="991">
      <formula>O16&gt;15%</formula>
    </cfRule>
  </conditionalFormatting>
  <conditionalFormatting sqref="O17">
    <cfRule type="cellIs" dxfId="2240" priority="984" operator="between">
      <formula>0.5%</formula>
      <formula>0.599%</formula>
    </cfRule>
    <cfRule type="cellIs" dxfId="2239" priority="985" operator="between">
      <formula>1.41%</formula>
      <formula>1.5%</formula>
    </cfRule>
    <cfRule type="expression" dxfId="2238" priority="986">
      <formula>O17&lt;0.5%</formula>
    </cfRule>
    <cfRule type="expression" dxfId="2237" priority="987">
      <formula>O17&gt;1.5%</formula>
    </cfRule>
  </conditionalFormatting>
  <conditionalFormatting sqref="O7">
    <cfRule type="cellIs" dxfId="2236" priority="980" operator="between">
      <formula>25</formula>
      <formula>27.99</formula>
    </cfRule>
    <cfRule type="cellIs" dxfId="2235" priority="981" operator="between">
      <formula>32.1</formula>
      <formula>35</formula>
    </cfRule>
    <cfRule type="expression" dxfId="2234" priority="982">
      <formula>O7&lt;25</formula>
    </cfRule>
    <cfRule type="expression" dxfId="2233" priority="983">
      <formula>O7&gt;35</formula>
    </cfRule>
  </conditionalFormatting>
  <conditionalFormatting sqref="U6">
    <cfRule type="cellIs" dxfId="2232" priority="976" operator="between">
      <formula>25</formula>
      <formula>27.99</formula>
    </cfRule>
    <cfRule type="cellIs" dxfId="2231" priority="977" operator="between">
      <formula>32.1</formula>
      <formula>35</formula>
    </cfRule>
    <cfRule type="expression" dxfId="2230" priority="978">
      <formula>U6&lt;25</formula>
    </cfRule>
    <cfRule type="expression" dxfId="2229" priority="979">
      <formula>U6&gt;35</formula>
    </cfRule>
  </conditionalFormatting>
  <conditionalFormatting sqref="U8:U9">
    <cfRule type="expression" dxfId="2228" priority="974" stopIfTrue="1">
      <formula>U8&gt;80</formula>
    </cfRule>
    <cfRule type="expression" dxfId="2227" priority="975" stopIfTrue="1">
      <formula>U8&lt;60</formula>
    </cfRule>
  </conditionalFormatting>
  <conditionalFormatting sqref="U10">
    <cfRule type="cellIs" dxfId="2226" priority="970" operator="between">
      <formula>130</formula>
      <formula>134.99</formula>
    </cfRule>
    <cfRule type="cellIs" dxfId="2225" priority="971" operator="between">
      <formula>145.1</formula>
      <formula>150</formula>
    </cfRule>
    <cfRule type="expression" dxfId="2224" priority="972">
      <formula>U10&lt;130</formula>
    </cfRule>
    <cfRule type="expression" dxfId="2223" priority="973">
      <formula>U10&gt;150</formula>
    </cfRule>
  </conditionalFormatting>
  <conditionalFormatting sqref="U11">
    <cfRule type="cellIs" dxfId="2222" priority="966" operator="between">
      <formula>7</formula>
      <formula>7.99</formula>
    </cfRule>
    <cfRule type="cellIs" dxfId="2221" priority="967" operator="between">
      <formula>10.1</formula>
      <formula>12</formula>
    </cfRule>
    <cfRule type="expression" dxfId="2220" priority="968">
      <formula>U11&lt;7</formula>
    </cfRule>
    <cfRule type="expression" dxfId="2219" priority="969">
      <formula>U11&gt;12</formula>
    </cfRule>
  </conditionalFormatting>
  <conditionalFormatting sqref="U12">
    <cfRule type="cellIs" dxfId="2218" priority="963" operator="between">
      <formula>16.1</formula>
      <formula>18</formula>
    </cfRule>
    <cfRule type="expression" dxfId="2217" priority="964">
      <formula>U12&lt;12</formula>
    </cfRule>
    <cfRule type="expression" dxfId="2216" priority="965">
      <formula>U12&gt;18</formula>
    </cfRule>
  </conditionalFormatting>
  <conditionalFormatting sqref="U13">
    <cfRule type="cellIs" dxfId="2215" priority="959" operator="between">
      <formula>1.6</formula>
      <formula>1.699</formula>
    </cfRule>
    <cfRule type="cellIs" dxfId="2214" priority="960" operator="between">
      <formula>1.91</formula>
      <formula>2.2</formula>
    </cfRule>
    <cfRule type="expression" dxfId="2213" priority="961">
      <formula>U13&lt;1.6</formula>
    </cfRule>
    <cfRule type="expression" dxfId="2212" priority="962">
      <formula>U13&gt;2.2</formula>
    </cfRule>
  </conditionalFormatting>
  <conditionalFormatting sqref="U14">
    <cfRule type="cellIs" dxfId="2211" priority="955" operator="between">
      <formula>30%</formula>
      <formula>39.99%</formula>
    </cfRule>
    <cfRule type="cellIs" dxfId="2210" priority="956" operator="between">
      <formula>50.01%</formula>
      <formula>60%</formula>
    </cfRule>
    <cfRule type="expression" dxfId="2209" priority="957">
      <formula>U14&lt;30%</formula>
    </cfRule>
    <cfRule type="expression" dxfId="2208" priority="958">
      <formula>U14&gt;60%</formula>
    </cfRule>
  </conditionalFormatting>
  <conditionalFormatting sqref="U15">
    <cfRule type="cellIs" dxfId="2207" priority="951" operator="between">
      <formula>15%</formula>
      <formula>16.99%</formula>
    </cfRule>
    <cfRule type="cellIs" dxfId="2206" priority="952" operator="between">
      <formula>27.01%</formula>
      <formula>30%</formula>
    </cfRule>
    <cfRule type="expression" dxfId="2205" priority="953">
      <formula>U15&lt;15%</formula>
    </cfRule>
    <cfRule type="expression" dxfId="2204" priority="954">
      <formula>U15&gt;30%</formula>
    </cfRule>
  </conditionalFormatting>
  <conditionalFormatting sqref="U16">
    <cfRule type="cellIs" dxfId="2203" priority="947" operator="between">
      <formula>5%</formula>
      <formula>6.99%</formula>
    </cfRule>
    <cfRule type="cellIs" dxfId="2202" priority="948" operator="between">
      <formula>12.99%</formula>
      <formula>15%</formula>
    </cfRule>
    <cfRule type="expression" dxfId="2201" priority="949">
      <formula>U16&lt;5%</formula>
    </cfRule>
    <cfRule type="expression" dxfId="2200" priority="950">
      <formula>U16&gt;15%</formula>
    </cfRule>
  </conditionalFormatting>
  <conditionalFormatting sqref="U17">
    <cfRule type="cellIs" dxfId="2199" priority="943" operator="between">
      <formula>0.5%</formula>
      <formula>0.599%</formula>
    </cfRule>
    <cfRule type="cellIs" dxfId="2198" priority="944" operator="between">
      <formula>1.41%</formula>
      <formula>1.5%</formula>
    </cfRule>
    <cfRule type="expression" dxfId="2197" priority="945">
      <formula>U17&lt;0.5%</formula>
    </cfRule>
    <cfRule type="expression" dxfId="2196" priority="946">
      <formula>U17&gt;1.5%</formula>
    </cfRule>
  </conditionalFormatting>
  <conditionalFormatting sqref="U7">
    <cfRule type="cellIs" dxfId="2195" priority="939" operator="between">
      <formula>25</formula>
      <formula>27.99</formula>
    </cfRule>
    <cfRule type="cellIs" dxfId="2194" priority="940" operator="between">
      <formula>32.1</formula>
      <formula>35</formula>
    </cfRule>
    <cfRule type="expression" dxfId="2193" priority="941">
      <formula>U7&lt;25</formula>
    </cfRule>
    <cfRule type="expression" dxfId="2192" priority="942">
      <formula>U7&gt;35</formula>
    </cfRule>
  </conditionalFormatting>
  <conditionalFormatting sqref="AA6">
    <cfRule type="cellIs" dxfId="2191" priority="935" operator="between">
      <formula>25</formula>
      <formula>27.99</formula>
    </cfRule>
    <cfRule type="cellIs" dxfId="2190" priority="936" operator="between">
      <formula>32.1</formula>
      <formula>35</formula>
    </cfRule>
    <cfRule type="expression" dxfId="2189" priority="937">
      <formula>AA6&lt;25</formula>
    </cfRule>
    <cfRule type="expression" dxfId="2188" priority="938">
      <formula>AA6&gt;35</formula>
    </cfRule>
  </conditionalFormatting>
  <conditionalFormatting sqref="AA8:AA9">
    <cfRule type="expression" dxfId="2187" priority="933" stopIfTrue="1">
      <formula>AA8&gt;80</formula>
    </cfRule>
    <cfRule type="expression" dxfId="2186" priority="934" stopIfTrue="1">
      <formula>AA8&lt;60</formula>
    </cfRule>
  </conditionalFormatting>
  <conditionalFormatting sqref="AA10">
    <cfRule type="cellIs" dxfId="2185" priority="929" operator="between">
      <formula>130</formula>
      <formula>134.99</formula>
    </cfRule>
    <cfRule type="cellIs" dxfId="2184" priority="930" operator="between">
      <formula>145.1</formula>
      <formula>150</formula>
    </cfRule>
    <cfRule type="expression" dxfId="2183" priority="931">
      <formula>AA10&lt;130</formula>
    </cfRule>
    <cfRule type="expression" dxfId="2182" priority="932">
      <formula>AA10&gt;150</formula>
    </cfRule>
  </conditionalFormatting>
  <conditionalFormatting sqref="AA11">
    <cfRule type="cellIs" dxfId="2181" priority="925" operator="between">
      <formula>7</formula>
      <formula>7.99</formula>
    </cfRule>
    <cfRule type="cellIs" dxfId="2180" priority="926" operator="between">
      <formula>10.1</formula>
      <formula>12</formula>
    </cfRule>
    <cfRule type="expression" dxfId="2179" priority="927">
      <formula>AA11&lt;7</formula>
    </cfRule>
    <cfRule type="expression" dxfId="2178" priority="928">
      <formula>AA11&gt;12</formula>
    </cfRule>
  </conditionalFormatting>
  <conditionalFormatting sqref="AA12">
    <cfRule type="cellIs" dxfId="2177" priority="922" operator="between">
      <formula>16.1</formula>
      <formula>18</formula>
    </cfRule>
    <cfRule type="expression" dxfId="2176" priority="923">
      <formula>AA12&lt;12</formula>
    </cfRule>
    <cfRule type="expression" dxfId="2175" priority="924">
      <formula>AA12&gt;18</formula>
    </cfRule>
  </conditionalFormatting>
  <conditionalFormatting sqref="AA13">
    <cfRule type="cellIs" dxfId="2174" priority="918" operator="between">
      <formula>1.6</formula>
      <formula>1.699</formula>
    </cfRule>
    <cfRule type="cellIs" dxfId="2173" priority="919" operator="between">
      <formula>1.91</formula>
      <formula>2.2</formula>
    </cfRule>
    <cfRule type="expression" dxfId="2172" priority="920">
      <formula>AA13&lt;1.6</formula>
    </cfRule>
    <cfRule type="expression" dxfId="2171" priority="921">
      <formula>AA13&gt;2.2</formula>
    </cfRule>
  </conditionalFormatting>
  <conditionalFormatting sqref="AA14">
    <cfRule type="cellIs" dxfId="2170" priority="914" operator="between">
      <formula>30%</formula>
      <formula>39.99%</formula>
    </cfRule>
    <cfRule type="cellIs" dxfId="2169" priority="915" operator="between">
      <formula>50.01%</formula>
      <formula>60%</formula>
    </cfRule>
    <cfRule type="expression" dxfId="2168" priority="916">
      <formula>AA14&lt;30%</formula>
    </cfRule>
    <cfRule type="expression" dxfId="2167" priority="917">
      <formula>AA14&gt;60%</formula>
    </cfRule>
  </conditionalFormatting>
  <conditionalFormatting sqref="AA15">
    <cfRule type="cellIs" dxfId="2166" priority="910" operator="between">
      <formula>15%</formula>
      <formula>16.99%</formula>
    </cfRule>
    <cfRule type="cellIs" dxfId="2165" priority="911" operator="between">
      <formula>27.01%</formula>
      <formula>30%</formula>
    </cfRule>
    <cfRule type="expression" dxfId="2164" priority="912">
      <formula>AA15&lt;15%</formula>
    </cfRule>
    <cfRule type="expression" dxfId="2163" priority="913">
      <formula>AA15&gt;30%</formula>
    </cfRule>
  </conditionalFormatting>
  <conditionalFormatting sqref="AA16">
    <cfRule type="cellIs" dxfId="2162" priority="906" operator="between">
      <formula>5%</formula>
      <formula>6.99%</formula>
    </cfRule>
    <cfRule type="cellIs" dxfId="2161" priority="907" operator="between">
      <formula>12.99%</formula>
      <formula>15%</formula>
    </cfRule>
    <cfRule type="expression" dxfId="2160" priority="908">
      <formula>AA16&lt;5%</formula>
    </cfRule>
    <cfRule type="expression" dxfId="2159" priority="909">
      <formula>AA16&gt;15%</formula>
    </cfRule>
  </conditionalFormatting>
  <conditionalFormatting sqref="AA17">
    <cfRule type="cellIs" dxfId="2158" priority="902" operator="between">
      <formula>0.5%</formula>
      <formula>0.599%</formula>
    </cfRule>
    <cfRule type="cellIs" dxfId="2157" priority="903" operator="between">
      <formula>1.41%</formula>
      <formula>1.5%</formula>
    </cfRule>
    <cfRule type="expression" dxfId="2156" priority="904">
      <formula>AA17&lt;0.5%</formula>
    </cfRule>
    <cfRule type="expression" dxfId="2155" priority="905">
      <formula>AA17&gt;1.5%</formula>
    </cfRule>
  </conditionalFormatting>
  <conditionalFormatting sqref="AA7">
    <cfRule type="cellIs" dxfId="2154" priority="898" operator="between">
      <formula>25</formula>
      <formula>27.99</formula>
    </cfRule>
    <cfRule type="cellIs" dxfId="2153" priority="899" operator="between">
      <formula>32.1</formula>
      <formula>35</formula>
    </cfRule>
    <cfRule type="expression" dxfId="2152" priority="900">
      <formula>AA7&lt;25</formula>
    </cfRule>
    <cfRule type="expression" dxfId="2151" priority="901">
      <formula>AA7&gt;35</formula>
    </cfRule>
  </conditionalFormatting>
  <conditionalFormatting sqref="AG6">
    <cfRule type="cellIs" dxfId="2150" priority="894" operator="between">
      <formula>25</formula>
      <formula>27.99</formula>
    </cfRule>
    <cfRule type="cellIs" dxfId="2149" priority="895" operator="between">
      <formula>32.1</formula>
      <formula>35</formula>
    </cfRule>
    <cfRule type="expression" dxfId="2148" priority="896">
      <formula>AG6&lt;25</formula>
    </cfRule>
    <cfRule type="expression" dxfId="2147" priority="897">
      <formula>AG6&gt;35</formula>
    </cfRule>
  </conditionalFormatting>
  <conditionalFormatting sqref="AG8:AG9">
    <cfRule type="expression" dxfId="2146" priority="892" stopIfTrue="1">
      <formula>AG8&gt;80</formula>
    </cfRule>
    <cfRule type="expression" dxfId="2145" priority="893" stopIfTrue="1">
      <formula>AG8&lt;60</formula>
    </cfRule>
  </conditionalFormatting>
  <conditionalFormatting sqref="AG10">
    <cfRule type="cellIs" dxfId="2144" priority="888" operator="between">
      <formula>130</formula>
      <formula>134.99</formula>
    </cfRule>
    <cfRule type="cellIs" dxfId="2143" priority="889" operator="between">
      <formula>145.1</formula>
      <formula>150</formula>
    </cfRule>
    <cfRule type="expression" dxfId="2142" priority="890">
      <formula>AG10&lt;130</formula>
    </cfRule>
    <cfRule type="expression" dxfId="2141" priority="891">
      <formula>AG10&gt;150</formula>
    </cfRule>
  </conditionalFormatting>
  <conditionalFormatting sqref="AG11">
    <cfRule type="cellIs" dxfId="2140" priority="884" operator="between">
      <formula>7</formula>
      <formula>7.99</formula>
    </cfRule>
    <cfRule type="cellIs" dxfId="2139" priority="885" operator="between">
      <formula>10.1</formula>
      <formula>12</formula>
    </cfRule>
    <cfRule type="expression" dxfId="2138" priority="886">
      <formula>AG11&lt;7</formula>
    </cfRule>
    <cfRule type="expression" dxfId="2137" priority="887">
      <formula>AG11&gt;12</formula>
    </cfRule>
  </conditionalFormatting>
  <conditionalFormatting sqref="AG12">
    <cfRule type="cellIs" dxfId="2136" priority="881" operator="between">
      <formula>16.1</formula>
      <formula>18</formula>
    </cfRule>
    <cfRule type="expression" dxfId="2135" priority="882">
      <formula>AG12&lt;12</formula>
    </cfRule>
    <cfRule type="expression" dxfId="2134" priority="883">
      <formula>AG12&gt;18</formula>
    </cfRule>
  </conditionalFormatting>
  <conditionalFormatting sqref="AG13">
    <cfRule type="cellIs" dxfId="2133" priority="877" operator="between">
      <formula>1.6</formula>
      <formula>1.699</formula>
    </cfRule>
    <cfRule type="cellIs" dxfId="2132" priority="878" operator="between">
      <formula>1.91</formula>
      <formula>2.2</formula>
    </cfRule>
    <cfRule type="expression" dxfId="2131" priority="879">
      <formula>AG13&lt;1.6</formula>
    </cfRule>
    <cfRule type="expression" dxfId="2130" priority="880">
      <formula>AG13&gt;2.2</formula>
    </cfRule>
  </conditionalFormatting>
  <conditionalFormatting sqref="AG14">
    <cfRule type="cellIs" dxfId="2129" priority="873" operator="between">
      <formula>30%</formula>
      <formula>39.99%</formula>
    </cfRule>
    <cfRule type="cellIs" dxfId="2128" priority="874" operator="between">
      <formula>50.01%</formula>
      <formula>60%</formula>
    </cfRule>
    <cfRule type="expression" dxfId="2127" priority="875">
      <formula>AG14&lt;30%</formula>
    </cfRule>
    <cfRule type="expression" dxfId="2126" priority="876">
      <formula>AG14&gt;60%</formula>
    </cfRule>
  </conditionalFormatting>
  <conditionalFormatting sqref="AG15">
    <cfRule type="cellIs" dxfId="2125" priority="869" operator="between">
      <formula>15%</formula>
      <formula>16.99%</formula>
    </cfRule>
    <cfRule type="cellIs" dxfId="2124" priority="870" operator="between">
      <formula>27.01%</formula>
      <formula>30%</formula>
    </cfRule>
    <cfRule type="expression" dxfId="2123" priority="871">
      <formula>AG15&lt;15%</formula>
    </cfRule>
    <cfRule type="expression" dxfId="2122" priority="872">
      <formula>AG15&gt;30%</formula>
    </cfRule>
  </conditionalFormatting>
  <conditionalFormatting sqref="AG16">
    <cfRule type="cellIs" dxfId="2121" priority="865" operator="between">
      <formula>5%</formula>
      <formula>6.99%</formula>
    </cfRule>
    <cfRule type="cellIs" dxfId="2120" priority="866" operator="between">
      <formula>12.99%</formula>
      <formula>15%</formula>
    </cfRule>
    <cfRule type="expression" dxfId="2119" priority="867">
      <formula>AG16&lt;5%</formula>
    </cfRule>
    <cfRule type="expression" dxfId="2118" priority="868">
      <formula>AG16&gt;15%</formula>
    </cfRule>
  </conditionalFormatting>
  <conditionalFormatting sqref="AG17">
    <cfRule type="cellIs" dxfId="2117" priority="861" operator="between">
      <formula>0.5%</formula>
      <formula>0.599%</formula>
    </cfRule>
    <cfRule type="cellIs" dxfId="2116" priority="862" operator="between">
      <formula>1.41%</formula>
      <formula>1.5%</formula>
    </cfRule>
    <cfRule type="expression" dxfId="2115" priority="863">
      <formula>AG17&lt;0.5%</formula>
    </cfRule>
    <cfRule type="expression" dxfId="2114" priority="864">
      <formula>AG17&gt;1.5%</formula>
    </cfRule>
  </conditionalFormatting>
  <conditionalFormatting sqref="AG7">
    <cfRule type="cellIs" dxfId="2113" priority="857" operator="between">
      <formula>25</formula>
      <formula>27.99</formula>
    </cfRule>
    <cfRule type="cellIs" dxfId="2112" priority="858" operator="between">
      <formula>32.1</formula>
      <formula>35</formula>
    </cfRule>
    <cfRule type="expression" dxfId="2111" priority="859">
      <formula>AG7&lt;25</formula>
    </cfRule>
    <cfRule type="expression" dxfId="2110" priority="860">
      <formula>AG7&gt;35</formula>
    </cfRule>
  </conditionalFormatting>
  <conditionalFormatting sqref="AM6">
    <cfRule type="cellIs" dxfId="2109" priority="853" operator="between">
      <formula>25</formula>
      <formula>27.99</formula>
    </cfRule>
    <cfRule type="cellIs" dxfId="2108" priority="854" operator="between">
      <formula>32.1</formula>
      <formula>35</formula>
    </cfRule>
    <cfRule type="expression" dxfId="2107" priority="855">
      <formula>AM6&lt;25</formula>
    </cfRule>
    <cfRule type="expression" dxfId="2106" priority="856">
      <formula>AM6&gt;35</formula>
    </cfRule>
  </conditionalFormatting>
  <conditionalFormatting sqref="AM8:AM9">
    <cfRule type="expression" dxfId="2105" priority="851" stopIfTrue="1">
      <formula>AM8&gt;80</formula>
    </cfRule>
    <cfRule type="expression" dxfId="2104" priority="852" stopIfTrue="1">
      <formula>AM8&lt;60</formula>
    </cfRule>
  </conditionalFormatting>
  <conditionalFormatting sqref="AM10">
    <cfRule type="cellIs" dxfId="2103" priority="847" operator="between">
      <formula>130</formula>
      <formula>134.99</formula>
    </cfRule>
    <cfRule type="cellIs" dxfId="2102" priority="848" operator="between">
      <formula>145.1</formula>
      <formula>150</formula>
    </cfRule>
    <cfRule type="expression" dxfId="2101" priority="849">
      <formula>AM10&lt;130</formula>
    </cfRule>
    <cfRule type="expression" dxfId="2100" priority="850">
      <formula>AM10&gt;150</formula>
    </cfRule>
  </conditionalFormatting>
  <conditionalFormatting sqref="AM11">
    <cfRule type="cellIs" dxfId="2099" priority="843" operator="between">
      <formula>7</formula>
      <formula>7.99</formula>
    </cfRule>
    <cfRule type="cellIs" dxfId="2098" priority="844" operator="between">
      <formula>10.1</formula>
      <formula>12</formula>
    </cfRule>
    <cfRule type="expression" dxfId="2097" priority="845">
      <formula>AM11&lt;7</formula>
    </cfRule>
    <cfRule type="expression" dxfId="2096" priority="846">
      <formula>AM11&gt;12</formula>
    </cfRule>
  </conditionalFormatting>
  <conditionalFormatting sqref="AM12">
    <cfRule type="cellIs" dxfId="2095" priority="840" operator="between">
      <formula>16.1</formula>
      <formula>18</formula>
    </cfRule>
    <cfRule type="expression" dxfId="2094" priority="841">
      <formula>AM12&lt;12</formula>
    </cfRule>
    <cfRule type="expression" dxfId="2093" priority="842">
      <formula>AM12&gt;18</formula>
    </cfRule>
  </conditionalFormatting>
  <conditionalFormatting sqref="AM13">
    <cfRule type="cellIs" dxfId="2092" priority="836" operator="between">
      <formula>1.6</formula>
      <formula>1.699</formula>
    </cfRule>
    <cfRule type="cellIs" dxfId="2091" priority="837" operator="between">
      <formula>1.91</formula>
      <formula>2.2</formula>
    </cfRule>
    <cfRule type="expression" dxfId="2090" priority="838">
      <formula>AM13&lt;1.6</formula>
    </cfRule>
    <cfRule type="expression" dxfId="2089" priority="839">
      <formula>AM13&gt;2.2</formula>
    </cfRule>
  </conditionalFormatting>
  <conditionalFormatting sqref="AM14">
    <cfRule type="cellIs" dxfId="2088" priority="832" operator="between">
      <formula>30%</formula>
      <formula>39.99%</formula>
    </cfRule>
    <cfRule type="cellIs" dxfId="2087" priority="833" operator="between">
      <formula>50.01%</formula>
      <formula>60%</formula>
    </cfRule>
    <cfRule type="expression" dxfId="2086" priority="834">
      <formula>AM14&lt;30%</formula>
    </cfRule>
    <cfRule type="expression" dxfId="2085" priority="835">
      <formula>AM14&gt;60%</formula>
    </cfRule>
  </conditionalFormatting>
  <conditionalFormatting sqref="AM15">
    <cfRule type="cellIs" dxfId="2084" priority="828" operator="between">
      <formula>15%</formula>
      <formula>16.99%</formula>
    </cfRule>
    <cfRule type="cellIs" dxfId="2083" priority="829" operator="between">
      <formula>27.01%</formula>
      <formula>30%</formula>
    </cfRule>
    <cfRule type="expression" dxfId="2082" priority="830">
      <formula>AM15&lt;15%</formula>
    </cfRule>
    <cfRule type="expression" dxfId="2081" priority="831">
      <formula>AM15&gt;30%</formula>
    </cfRule>
  </conditionalFormatting>
  <conditionalFormatting sqref="AM16">
    <cfRule type="cellIs" dxfId="2080" priority="824" operator="between">
      <formula>5%</formula>
      <formula>6.99%</formula>
    </cfRule>
    <cfRule type="cellIs" dxfId="2079" priority="825" operator="between">
      <formula>12.99%</formula>
      <formula>15%</formula>
    </cfRule>
    <cfRule type="expression" dxfId="2078" priority="826">
      <formula>AM16&lt;5%</formula>
    </cfRule>
    <cfRule type="expression" dxfId="2077" priority="827">
      <formula>AM16&gt;15%</formula>
    </cfRule>
  </conditionalFormatting>
  <conditionalFormatting sqref="AM17">
    <cfRule type="cellIs" dxfId="2076" priority="820" operator="between">
      <formula>0.5%</formula>
      <formula>0.599%</formula>
    </cfRule>
    <cfRule type="cellIs" dxfId="2075" priority="821" operator="between">
      <formula>1.41%</formula>
      <formula>1.5%</formula>
    </cfRule>
    <cfRule type="expression" dxfId="2074" priority="822">
      <formula>AM17&lt;0.5%</formula>
    </cfRule>
    <cfRule type="expression" dxfId="2073" priority="823">
      <formula>AM17&gt;1.5%</formula>
    </cfRule>
  </conditionalFormatting>
  <conditionalFormatting sqref="AM7">
    <cfRule type="cellIs" dxfId="2072" priority="816" operator="between">
      <formula>25</formula>
      <formula>27.99</formula>
    </cfRule>
    <cfRule type="cellIs" dxfId="2071" priority="817" operator="between">
      <formula>32.1</formula>
      <formula>35</formula>
    </cfRule>
    <cfRule type="expression" dxfId="2070" priority="818">
      <formula>AM7&lt;25</formula>
    </cfRule>
    <cfRule type="expression" dxfId="2069" priority="819">
      <formula>AM7&gt;35</formula>
    </cfRule>
  </conditionalFormatting>
  <conditionalFormatting sqref="I38">
    <cfRule type="cellIs" dxfId="2068" priority="812" operator="between">
      <formula>60</formula>
      <formula>64.99</formula>
    </cfRule>
    <cfRule type="cellIs" dxfId="2067" priority="813" operator="between">
      <formula>75.1</formula>
      <formula>80</formula>
    </cfRule>
    <cfRule type="expression" dxfId="2066" priority="814">
      <formula>I38&lt;60</formula>
    </cfRule>
    <cfRule type="expression" dxfId="2065" priority="815">
      <formula>I38&gt;80</formula>
    </cfRule>
  </conditionalFormatting>
  <conditionalFormatting sqref="I40">
    <cfRule type="cellIs" dxfId="2064" priority="808" operator="between">
      <formula>50</formula>
      <formula>54.99</formula>
    </cfRule>
    <cfRule type="cellIs" dxfId="2063" priority="809" operator="between">
      <formula>65.01</formula>
      <formula>70</formula>
    </cfRule>
    <cfRule type="expression" dxfId="2062" priority="810">
      <formula>I40&lt;50</formula>
    </cfRule>
    <cfRule type="expression" dxfId="2061" priority="811">
      <formula>I40&gt;70</formula>
    </cfRule>
  </conditionalFormatting>
  <conditionalFormatting sqref="I54:I56">
    <cfRule type="cellIs" dxfId="2060" priority="804" operator="between">
      <formula>50</formula>
      <formula>56.99</formula>
    </cfRule>
    <cfRule type="cellIs" dxfId="2059" priority="805" operator="between">
      <formula>63.1</formula>
      <formula>70</formula>
    </cfRule>
    <cfRule type="expression" dxfId="2058" priority="806">
      <formula>I54&lt;50</formula>
    </cfRule>
    <cfRule type="expression" dxfId="2057" priority="807">
      <formula>I54&gt;70</formula>
    </cfRule>
  </conditionalFormatting>
  <conditionalFormatting sqref="R60">
    <cfRule type="cellIs" dxfId="2056" priority="800" operator="between">
      <formula>65</formula>
      <formula>66.9</formula>
    </cfRule>
    <cfRule type="cellIs" dxfId="2055" priority="801" operator="between">
      <formula>73.1</formula>
      <formula>75</formula>
    </cfRule>
    <cfRule type="expression" dxfId="2054" priority="802">
      <formula>R60&lt;65</formula>
    </cfRule>
    <cfRule type="expression" dxfId="2053" priority="803">
      <formula>R60&gt;75</formula>
    </cfRule>
  </conditionalFormatting>
  <conditionalFormatting sqref="X60">
    <cfRule type="cellIs" dxfId="2052" priority="796" operator="between">
      <formula>65</formula>
      <formula>66.9</formula>
    </cfRule>
    <cfRule type="cellIs" dxfId="2051" priority="797" operator="between">
      <formula>73.1</formula>
      <formula>75</formula>
    </cfRule>
    <cfRule type="expression" dxfId="2050" priority="798">
      <formula>X60&lt;65</formula>
    </cfRule>
    <cfRule type="expression" dxfId="2049" priority="799">
      <formula>X60&gt;75</formula>
    </cfRule>
  </conditionalFormatting>
  <conditionalFormatting sqref="AD60">
    <cfRule type="cellIs" dxfId="2048" priority="792" operator="between">
      <formula>65</formula>
      <formula>66.9</formula>
    </cfRule>
    <cfRule type="cellIs" dxfId="2047" priority="793" operator="between">
      <formula>73.1</formula>
      <formula>75</formula>
    </cfRule>
    <cfRule type="expression" dxfId="2046" priority="794">
      <formula>AD60&lt;65</formula>
    </cfRule>
    <cfRule type="expression" dxfId="2045" priority="795">
      <formula>AD60&gt;75</formula>
    </cfRule>
  </conditionalFormatting>
  <conditionalFormatting sqref="AJ60">
    <cfRule type="cellIs" dxfId="2044" priority="788" operator="between">
      <formula>65</formula>
      <formula>66.9</formula>
    </cfRule>
    <cfRule type="cellIs" dxfId="2043" priority="789" operator="between">
      <formula>73.1</formula>
      <formula>75</formula>
    </cfRule>
    <cfRule type="expression" dxfId="2042" priority="790">
      <formula>AJ60&lt;65</formula>
    </cfRule>
    <cfRule type="expression" dxfId="2041" priority="791">
      <formula>AJ60&gt;75</formula>
    </cfRule>
  </conditionalFormatting>
  <conditionalFormatting sqref="AP60">
    <cfRule type="cellIs" dxfId="2040" priority="784" operator="between">
      <formula>65</formula>
      <formula>66.9</formula>
    </cfRule>
    <cfRule type="cellIs" dxfId="2039" priority="785" operator="between">
      <formula>73.1</formula>
      <formula>75</formula>
    </cfRule>
    <cfRule type="expression" dxfId="2038" priority="786">
      <formula>AP60&lt;65</formula>
    </cfRule>
    <cfRule type="expression" dxfId="2037" priority="787">
      <formula>AP60&gt;75</formula>
    </cfRule>
  </conditionalFormatting>
  <conditionalFormatting sqref="L59">
    <cfRule type="cellIs" dxfId="2036" priority="780" operator="between">
      <formula>55</formula>
      <formula>56.9</formula>
    </cfRule>
    <cfRule type="cellIs" dxfId="2035" priority="781" operator="between">
      <formula>63.1</formula>
      <formula>65</formula>
    </cfRule>
    <cfRule type="expression" dxfId="2034" priority="782">
      <formula>L59&lt;55</formula>
    </cfRule>
    <cfRule type="expression" dxfId="2033" priority="783">
      <formula>L59&gt;65</formula>
    </cfRule>
  </conditionalFormatting>
  <conditionalFormatting sqref="L53">
    <cfRule type="cellIs" dxfId="2032" priority="776" operator="between">
      <formula>50</formula>
      <formula>56.99</formula>
    </cfRule>
    <cfRule type="cellIs" dxfId="2031" priority="777" operator="between">
      <formula>63.1</formula>
      <formula>70</formula>
    </cfRule>
    <cfRule type="expression" dxfId="2030" priority="778">
      <formula>L53&lt;50</formula>
    </cfRule>
    <cfRule type="expression" dxfId="2029" priority="779">
      <formula>L53&gt;70</formula>
    </cfRule>
  </conditionalFormatting>
  <conditionalFormatting sqref="L57">
    <cfRule type="cellIs" dxfId="2028" priority="772" operator="between">
      <formula>22</formula>
      <formula>22.99</formula>
    </cfRule>
    <cfRule type="cellIs" dxfId="2027" priority="773" operator="between">
      <formula>25.1</formula>
      <formula>30</formula>
    </cfRule>
    <cfRule type="expression" dxfId="2026" priority="774">
      <formula>L57&lt;22</formula>
    </cfRule>
    <cfRule type="expression" dxfId="2025" priority="775">
      <formula>L57&gt;30</formula>
    </cfRule>
  </conditionalFormatting>
  <conditionalFormatting sqref="L58">
    <cfRule type="cellIs" dxfId="2024" priority="768" operator="between">
      <formula>30</formula>
      <formula>31.99</formula>
    </cfRule>
    <cfRule type="cellIs" dxfId="2023" priority="769" operator="between">
      <formula>36.1</formula>
      <formula>38</formula>
    </cfRule>
    <cfRule type="expression" dxfId="2022" priority="770">
      <formula>L58&lt;30</formula>
    </cfRule>
    <cfRule type="expression" dxfId="2021" priority="771">
      <formula>L58&gt;38</formula>
    </cfRule>
  </conditionalFormatting>
  <conditionalFormatting sqref="L54:L56">
    <cfRule type="cellIs" dxfId="2020" priority="764" operator="between">
      <formula>50</formula>
      <formula>56.99</formula>
    </cfRule>
    <cfRule type="cellIs" dxfId="2019" priority="765" operator="between">
      <formula>63.1</formula>
      <formula>70</formula>
    </cfRule>
    <cfRule type="expression" dxfId="2018" priority="766">
      <formula>L54&lt;50</formula>
    </cfRule>
    <cfRule type="expression" dxfId="2017" priority="767">
      <formula>L54&gt;70</formula>
    </cfRule>
  </conditionalFormatting>
  <conditionalFormatting sqref="O59">
    <cfRule type="cellIs" dxfId="2016" priority="760" operator="between">
      <formula>55</formula>
      <formula>56.9</formula>
    </cfRule>
    <cfRule type="cellIs" dxfId="2015" priority="761" operator="between">
      <formula>63.1</formula>
      <formula>65</formula>
    </cfRule>
    <cfRule type="expression" dxfId="2014" priority="762">
      <formula>O59&lt;55</formula>
    </cfRule>
    <cfRule type="expression" dxfId="2013" priority="763">
      <formula>O59&gt;65</formula>
    </cfRule>
  </conditionalFormatting>
  <conditionalFormatting sqref="O53">
    <cfRule type="cellIs" dxfId="2012" priority="756" operator="between">
      <formula>50</formula>
      <formula>56.99</formula>
    </cfRule>
    <cfRule type="cellIs" dxfId="2011" priority="757" operator="between">
      <formula>63.1</formula>
      <formula>70</formula>
    </cfRule>
    <cfRule type="expression" dxfId="2010" priority="758">
      <formula>O53&lt;50</formula>
    </cfRule>
    <cfRule type="expression" dxfId="2009" priority="759">
      <formula>O53&gt;70</formula>
    </cfRule>
  </conditionalFormatting>
  <conditionalFormatting sqref="O57">
    <cfRule type="cellIs" dxfId="2008" priority="752" operator="between">
      <formula>22</formula>
      <formula>22.99</formula>
    </cfRule>
    <cfRule type="cellIs" dxfId="2007" priority="753" operator="between">
      <formula>25.1</formula>
      <formula>30</formula>
    </cfRule>
    <cfRule type="expression" dxfId="2006" priority="754">
      <formula>O57&lt;22</formula>
    </cfRule>
    <cfRule type="expression" dxfId="2005" priority="755">
      <formula>O57&gt;30</formula>
    </cfRule>
  </conditionalFormatting>
  <conditionalFormatting sqref="O58">
    <cfRule type="cellIs" dxfId="2004" priority="748" operator="between">
      <formula>30</formula>
      <formula>31.99</formula>
    </cfRule>
    <cfRule type="cellIs" dxfId="2003" priority="749" operator="between">
      <formula>36.1</formula>
      <formula>38</formula>
    </cfRule>
    <cfRule type="expression" dxfId="2002" priority="750">
      <formula>O58&lt;30</formula>
    </cfRule>
    <cfRule type="expression" dxfId="2001" priority="751">
      <formula>O58&gt;38</formula>
    </cfRule>
  </conditionalFormatting>
  <conditionalFormatting sqref="O54:O56">
    <cfRule type="cellIs" dxfId="2000" priority="744" operator="between">
      <formula>50</formula>
      <formula>56.99</formula>
    </cfRule>
    <cfRule type="cellIs" dxfId="1999" priority="745" operator="between">
      <formula>63.1</formula>
      <formula>70</formula>
    </cfRule>
    <cfRule type="expression" dxfId="1998" priority="746">
      <formula>O54&lt;50</formula>
    </cfRule>
    <cfRule type="expression" dxfId="1997" priority="747">
      <formula>O54&gt;70</formula>
    </cfRule>
  </conditionalFormatting>
  <conditionalFormatting sqref="R59">
    <cfRule type="cellIs" dxfId="1996" priority="740" operator="between">
      <formula>55</formula>
      <formula>56.9</formula>
    </cfRule>
    <cfRule type="cellIs" dxfId="1995" priority="741" operator="between">
      <formula>63.1</formula>
      <formula>65</formula>
    </cfRule>
    <cfRule type="expression" dxfId="1994" priority="742">
      <formula>R59&lt;55</formula>
    </cfRule>
    <cfRule type="expression" dxfId="1993" priority="743">
      <formula>R59&gt;65</formula>
    </cfRule>
  </conditionalFormatting>
  <conditionalFormatting sqref="R53">
    <cfRule type="cellIs" dxfId="1992" priority="736" operator="between">
      <formula>50</formula>
      <formula>56.99</formula>
    </cfRule>
    <cfRule type="cellIs" dxfId="1991" priority="737" operator="between">
      <formula>63.1</formula>
      <formula>70</formula>
    </cfRule>
    <cfRule type="expression" dxfId="1990" priority="738">
      <formula>R53&lt;50</formula>
    </cfRule>
    <cfRule type="expression" dxfId="1989" priority="739">
      <formula>R53&gt;70</formula>
    </cfRule>
  </conditionalFormatting>
  <conditionalFormatting sqref="R57">
    <cfRule type="cellIs" dxfId="1988" priority="732" operator="between">
      <formula>22</formula>
      <formula>22.99</formula>
    </cfRule>
    <cfRule type="cellIs" dxfId="1987" priority="733" operator="between">
      <formula>25.1</formula>
      <formula>30</formula>
    </cfRule>
    <cfRule type="expression" dxfId="1986" priority="734">
      <formula>R57&lt;22</formula>
    </cfRule>
    <cfRule type="expression" dxfId="1985" priority="735">
      <formula>R57&gt;30</formula>
    </cfRule>
  </conditionalFormatting>
  <conditionalFormatting sqref="R58">
    <cfRule type="cellIs" dxfId="1984" priority="728" operator="between">
      <formula>30</formula>
      <formula>31.99</formula>
    </cfRule>
    <cfRule type="cellIs" dxfId="1983" priority="729" operator="between">
      <formula>36.1</formula>
      <formula>38</formula>
    </cfRule>
    <cfRule type="expression" dxfId="1982" priority="730">
      <formula>R58&lt;30</formula>
    </cfRule>
    <cfRule type="expression" dxfId="1981" priority="731">
      <formula>R58&gt;38</formula>
    </cfRule>
  </conditionalFormatting>
  <conditionalFormatting sqref="R54:R56">
    <cfRule type="cellIs" dxfId="1980" priority="724" operator="between">
      <formula>50</formula>
      <formula>56.99</formula>
    </cfRule>
    <cfRule type="cellIs" dxfId="1979" priority="725" operator="between">
      <formula>63.1</formula>
      <formula>70</formula>
    </cfRule>
    <cfRule type="expression" dxfId="1978" priority="726">
      <formula>R54&lt;50</formula>
    </cfRule>
    <cfRule type="expression" dxfId="1977" priority="727">
      <formula>R54&gt;70</formula>
    </cfRule>
  </conditionalFormatting>
  <conditionalFormatting sqref="U59">
    <cfRule type="cellIs" dxfId="1976" priority="720" operator="between">
      <formula>55</formula>
      <formula>56.9</formula>
    </cfRule>
    <cfRule type="cellIs" dxfId="1975" priority="721" operator="between">
      <formula>63.1</formula>
      <formula>65</formula>
    </cfRule>
    <cfRule type="expression" dxfId="1974" priority="722">
      <formula>U59&lt;55</formula>
    </cfRule>
    <cfRule type="expression" dxfId="1973" priority="723">
      <formula>U59&gt;65</formula>
    </cfRule>
  </conditionalFormatting>
  <conditionalFormatting sqref="U53">
    <cfRule type="cellIs" dxfId="1972" priority="716" operator="between">
      <formula>50</formula>
      <formula>56.99</formula>
    </cfRule>
    <cfRule type="cellIs" dxfId="1971" priority="717" operator="between">
      <formula>63.1</formula>
      <formula>70</formula>
    </cfRule>
    <cfRule type="expression" dxfId="1970" priority="718">
      <formula>U53&lt;50</formula>
    </cfRule>
    <cfRule type="expression" dxfId="1969" priority="719">
      <formula>U53&gt;70</formula>
    </cfRule>
  </conditionalFormatting>
  <conditionalFormatting sqref="U57">
    <cfRule type="cellIs" dxfId="1968" priority="712" operator="between">
      <formula>22</formula>
      <formula>22.99</formula>
    </cfRule>
    <cfRule type="cellIs" dxfId="1967" priority="713" operator="between">
      <formula>25.1</formula>
      <formula>30</formula>
    </cfRule>
    <cfRule type="expression" dxfId="1966" priority="714">
      <formula>U57&lt;22</formula>
    </cfRule>
    <cfRule type="expression" dxfId="1965" priority="715">
      <formula>U57&gt;30</formula>
    </cfRule>
  </conditionalFormatting>
  <conditionalFormatting sqref="U58">
    <cfRule type="cellIs" dxfId="1964" priority="708" operator="between">
      <formula>30</formula>
      <formula>31.99</formula>
    </cfRule>
    <cfRule type="cellIs" dxfId="1963" priority="709" operator="between">
      <formula>36.1</formula>
      <formula>38</formula>
    </cfRule>
    <cfRule type="expression" dxfId="1962" priority="710">
      <formula>U58&lt;30</formula>
    </cfRule>
    <cfRule type="expression" dxfId="1961" priority="711">
      <formula>U58&gt;38</formula>
    </cfRule>
  </conditionalFormatting>
  <conditionalFormatting sqref="U54:U56">
    <cfRule type="cellIs" dxfId="1960" priority="704" operator="between">
      <formula>50</formula>
      <formula>56.99</formula>
    </cfRule>
    <cfRule type="cellIs" dxfId="1959" priority="705" operator="between">
      <formula>63.1</formula>
      <formula>70</formula>
    </cfRule>
    <cfRule type="expression" dxfId="1958" priority="706">
      <formula>U54&lt;50</formula>
    </cfRule>
    <cfRule type="expression" dxfId="1957" priority="707">
      <formula>U54&gt;70</formula>
    </cfRule>
  </conditionalFormatting>
  <conditionalFormatting sqref="X59">
    <cfRule type="cellIs" dxfId="1956" priority="700" operator="between">
      <formula>55</formula>
      <formula>56.9</formula>
    </cfRule>
    <cfRule type="cellIs" dxfId="1955" priority="701" operator="between">
      <formula>63.1</formula>
      <formula>65</formula>
    </cfRule>
    <cfRule type="expression" dxfId="1954" priority="702">
      <formula>X59&lt;55</formula>
    </cfRule>
    <cfRule type="expression" dxfId="1953" priority="703">
      <formula>X59&gt;65</formula>
    </cfRule>
  </conditionalFormatting>
  <conditionalFormatting sqref="X53">
    <cfRule type="cellIs" dxfId="1952" priority="696" operator="between">
      <formula>50</formula>
      <formula>56.99</formula>
    </cfRule>
    <cfRule type="cellIs" dxfId="1951" priority="697" operator="between">
      <formula>63.1</formula>
      <formula>70</formula>
    </cfRule>
    <cfRule type="expression" dxfId="1950" priority="698">
      <formula>X53&lt;50</formula>
    </cfRule>
    <cfRule type="expression" dxfId="1949" priority="699">
      <formula>X53&gt;70</formula>
    </cfRule>
  </conditionalFormatting>
  <conditionalFormatting sqref="X57">
    <cfRule type="cellIs" dxfId="1948" priority="692" operator="between">
      <formula>22</formula>
      <formula>22.99</formula>
    </cfRule>
    <cfRule type="cellIs" dxfId="1947" priority="693" operator="between">
      <formula>25.1</formula>
      <formula>30</formula>
    </cfRule>
    <cfRule type="expression" dxfId="1946" priority="694">
      <formula>X57&lt;22</formula>
    </cfRule>
    <cfRule type="expression" dxfId="1945" priority="695">
      <formula>X57&gt;30</formula>
    </cfRule>
  </conditionalFormatting>
  <conditionalFormatting sqref="X58">
    <cfRule type="cellIs" dxfId="1944" priority="688" operator="between">
      <formula>30</formula>
      <formula>31.99</formula>
    </cfRule>
    <cfRule type="cellIs" dxfId="1943" priority="689" operator="between">
      <formula>36.1</formula>
      <formula>38</formula>
    </cfRule>
    <cfRule type="expression" dxfId="1942" priority="690">
      <formula>X58&lt;30</formula>
    </cfRule>
    <cfRule type="expression" dxfId="1941" priority="691">
      <formula>X58&gt;38</formula>
    </cfRule>
  </conditionalFormatting>
  <conditionalFormatting sqref="X54:X56">
    <cfRule type="cellIs" dxfId="1940" priority="684" operator="between">
      <formula>50</formula>
      <formula>56.99</formula>
    </cfRule>
    <cfRule type="cellIs" dxfId="1939" priority="685" operator="between">
      <formula>63.1</formula>
      <formula>70</formula>
    </cfRule>
    <cfRule type="expression" dxfId="1938" priority="686">
      <formula>X54&lt;50</formula>
    </cfRule>
    <cfRule type="expression" dxfId="1937" priority="687">
      <formula>X54&gt;70</formula>
    </cfRule>
  </conditionalFormatting>
  <conditionalFormatting sqref="AA59">
    <cfRule type="cellIs" dxfId="1936" priority="680" operator="between">
      <formula>55</formula>
      <formula>56.9</formula>
    </cfRule>
    <cfRule type="cellIs" dxfId="1935" priority="681" operator="between">
      <formula>63.1</formula>
      <formula>65</formula>
    </cfRule>
    <cfRule type="expression" dxfId="1934" priority="682">
      <formula>AA59&lt;55</formula>
    </cfRule>
    <cfRule type="expression" dxfId="1933" priority="683">
      <formula>AA59&gt;65</formula>
    </cfRule>
  </conditionalFormatting>
  <conditionalFormatting sqref="AA53">
    <cfRule type="cellIs" dxfId="1932" priority="676" operator="between">
      <formula>50</formula>
      <formula>56.99</formula>
    </cfRule>
    <cfRule type="cellIs" dxfId="1931" priority="677" operator="between">
      <formula>63.1</formula>
      <formula>70</formula>
    </cfRule>
    <cfRule type="expression" dxfId="1930" priority="678">
      <formula>AA53&lt;50</formula>
    </cfRule>
    <cfRule type="expression" dxfId="1929" priority="679">
      <formula>AA53&gt;70</formula>
    </cfRule>
  </conditionalFormatting>
  <conditionalFormatting sqref="AA57">
    <cfRule type="cellIs" dxfId="1928" priority="672" operator="between">
      <formula>22</formula>
      <formula>22.99</formula>
    </cfRule>
    <cfRule type="cellIs" dxfId="1927" priority="673" operator="between">
      <formula>25.1</formula>
      <formula>30</formula>
    </cfRule>
    <cfRule type="expression" dxfId="1926" priority="674">
      <formula>AA57&lt;22</formula>
    </cfRule>
    <cfRule type="expression" dxfId="1925" priority="675">
      <formula>AA57&gt;30</formula>
    </cfRule>
  </conditionalFormatting>
  <conditionalFormatting sqref="AA58">
    <cfRule type="cellIs" dxfId="1924" priority="668" operator="between">
      <formula>30</formula>
      <formula>31.99</formula>
    </cfRule>
    <cfRule type="cellIs" dxfId="1923" priority="669" operator="between">
      <formula>36.1</formula>
      <formula>38</formula>
    </cfRule>
    <cfRule type="expression" dxfId="1922" priority="670">
      <formula>AA58&lt;30</formula>
    </cfRule>
    <cfRule type="expression" dxfId="1921" priority="671">
      <formula>AA58&gt;38</formula>
    </cfRule>
  </conditionalFormatting>
  <conditionalFormatting sqref="AA54:AA56">
    <cfRule type="cellIs" dxfId="1920" priority="664" operator="between">
      <formula>50</formula>
      <formula>56.99</formula>
    </cfRule>
    <cfRule type="cellIs" dxfId="1919" priority="665" operator="between">
      <formula>63.1</formula>
      <formula>70</formula>
    </cfRule>
    <cfRule type="expression" dxfId="1918" priority="666">
      <formula>AA54&lt;50</formula>
    </cfRule>
    <cfRule type="expression" dxfId="1917" priority="667">
      <formula>AA54&gt;70</formula>
    </cfRule>
  </conditionalFormatting>
  <conditionalFormatting sqref="AD59">
    <cfRule type="cellIs" dxfId="1916" priority="660" operator="between">
      <formula>55</formula>
      <formula>56.9</formula>
    </cfRule>
    <cfRule type="cellIs" dxfId="1915" priority="661" operator="between">
      <formula>63.1</formula>
      <formula>65</formula>
    </cfRule>
    <cfRule type="expression" dxfId="1914" priority="662">
      <formula>AD59&lt;55</formula>
    </cfRule>
    <cfRule type="expression" dxfId="1913" priority="663">
      <formula>AD59&gt;65</formula>
    </cfRule>
  </conditionalFormatting>
  <conditionalFormatting sqref="AD53">
    <cfRule type="cellIs" dxfId="1912" priority="656" operator="between">
      <formula>50</formula>
      <formula>56.99</formula>
    </cfRule>
    <cfRule type="cellIs" dxfId="1911" priority="657" operator="between">
      <formula>63.1</formula>
      <formula>70</formula>
    </cfRule>
    <cfRule type="expression" dxfId="1910" priority="658">
      <formula>AD53&lt;50</formula>
    </cfRule>
    <cfRule type="expression" dxfId="1909" priority="659">
      <formula>AD53&gt;70</formula>
    </cfRule>
  </conditionalFormatting>
  <conditionalFormatting sqref="AD57">
    <cfRule type="cellIs" dxfId="1908" priority="652" operator="between">
      <formula>22</formula>
      <formula>22.99</formula>
    </cfRule>
    <cfRule type="cellIs" dxfId="1907" priority="653" operator="between">
      <formula>25.1</formula>
      <formula>30</formula>
    </cfRule>
    <cfRule type="expression" dxfId="1906" priority="654">
      <formula>AD57&lt;22</formula>
    </cfRule>
    <cfRule type="expression" dxfId="1905" priority="655">
      <formula>AD57&gt;30</formula>
    </cfRule>
  </conditionalFormatting>
  <conditionalFormatting sqref="AD58">
    <cfRule type="cellIs" dxfId="1904" priority="648" operator="between">
      <formula>30</formula>
      <formula>31.99</formula>
    </cfRule>
    <cfRule type="cellIs" dxfId="1903" priority="649" operator="between">
      <formula>36.1</formula>
      <formula>38</formula>
    </cfRule>
    <cfRule type="expression" dxfId="1902" priority="650">
      <formula>AD58&lt;30</formula>
    </cfRule>
    <cfRule type="expression" dxfId="1901" priority="651">
      <formula>AD58&gt;38</formula>
    </cfRule>
  </conditionalFormatting>
  <conditionalFormatting sqref="AD54:AD56">
    <cfRule type="cellIs" dxfId="1900" priority="644" operator="between">
      <formula>50</formula>
      <formula>56.99</formula>
    </cfRule>
    <cfRule type="cellIs" dxfId="1899" priority="645" operator="between">
      <formula>63.1</formula>
      <formula>70</formula>
    </cfRule>
    <cfRule type="expression" dxfId="1898" priority="646">
      <formula>AD54&lt;50</formula>
    </cfRule>
    <cfRule type="expression" dxfId="1897" priority="647">
      <formula>AD54&gt;70</formula>
    </cfRule>
  </conditionalFormatting>
  <conditionalFormatting sqref="AG59">
    <cfRule type="cellIs" dxfId="1896" priority="640" operator="between">
      <formula>55</formula>
      <formula>56.9</formula>
    </cfRule>
    <cfRule type="cellIs" dxfId="1895" priority="641" operator="between">
      <formula>63.1</formula>
      <formula>65</formula>
    </cfRule>
    <cfRule type="expression" dxfId="1894" priority="642">
      <formula>AG59&lt;55</formula>
    </cfRule>
    <cfRule type="expression" dxfId="1893" priority="643">
      <formula>AG59&gt;65</formula>
    </cfRule>
  </conditionalFormatting>
  <conditionalFormatting sqref="AG53">
    <cfRule type="cellIs" dxfId="1892" priority="636" operator="between">
      <formula>50</formula>
      <formula>56.99</formula>
    </cfRule>
    <cfRule type="cellIs" dxfId="1891" priority="637" operator="between">
      <formula>63.1</formula>
      <formula>70</formula>
    </cfRule>
    <cfRule type="expression" dxfId="1890" priority="638">
      <formula>AG53&lt;50</formula>
    </cfRule>
    <cfRule type="expression" dxfId="1889" priority="639">
      <formula>AG53&gt;70</formula>
    </cfRule>
  </conditionalFormatting>
  <conditionalFormatting sqref="AG57">
    <cfRule type="cellIs" dxfId="1888" priority="632" operator="between">
      <formula>22</formula>
      <formula>22.99</formula>
    </cfRule>
    <cfRule type="cellIs" dxfId="1887" priority="633" operator="between">
      <formula>25.1</formula>
      <formula>30</formula>
    </cfRule>
    <cfRule type="expression" dxfId="1886" priority="634">
      <formula>AG57&lt;22</formula>
    </cfRule>
    <cfRule type="expression" dxfId="1885" priority="635">
      <formula>AG57&gt;30</formula>
    </cfRule>
  </conditionalFormatting>
  <conditionalFormatting sqref="AG58">
    <cfRule type="cellIs" dxfId="1884" priority="628" operator="between">
      <formula>30</formula>
      <formula>31.99</formula>
    </cfRule>
    <cfRule type="cellIs" dxfId="1883" priority="629" operator="between">
      <formula>36.1</formula>
      <formula>38</formula>
    </cfRule>
    <cfRule type="expression" dxfId="1882" priority="630">
      <formula>AG58&lt;30</formula>
    </cfRule>
    <cfRule type="expression" dxfId="1881" priority="631">
      <formula>AG58&gt;38</formula>
    </cfRule>
  </conditionalFormatting>
  <conditionalFormatting sqref="AG54:AG56">
    <cfRule type="cellIs" dxfId="1880" priority="624" operator="between">
      <formula>50</formula>
      <formula>56.99</formula>
    </cfRule>
    <cfRule type="cellIs" dxfId="1879" priority="625" operator="between">
      <formula>63.1</formula>
      <formula>70</formula>
    </cfRule>
    <cfRule type="expression" dxfId="1878" priority="626">
      <formula>AG54&lt;50</formula>
    </cfRule>
    <cfRule type="expression" dxfId="1877" priority="627">
      <formula>AG54&gt;70</formula>
    </cfRule>
  </conditionalFormatting>
  <conditionalFormatting sqref="AJ59">
    <cfRule type="cellIs" dxfId="1876" priority="620" operator="between">
      <formula>55</formula>
      <formula>56.9</formula>
    </cfRule>
    <cfRule type="cellIs" dxfId="1875" priority="621" operator="between">
      <formula>63.1</formula>
      <formula>65</formula>
    </cfRule>
    <cfRule type="expression" dxfId="1874" priority="622">
      <formula>AJ59&lt;55</formula>
    </cfRule>
    <cfRule type="expression" dxfId="1873" priority="623">
      <formula>AJ59&gt;65</formula>
    </cfRule>
  </conditionalFormatting>
  <conditionalFormatting sqref="AJ53">
    <cfRule type="cellIs" dxfId="1872" priority="616" operator="between">
      <formula>50</formula>
      <formula>56.99</formula>
    </cfRule>
    <cfRule type="cellIs" dxfId="1871" priority="617" operator="between">
      <formula>63.1</formula>
      <formula>70</formula>
    </cfRule>
    <cfRule type="expression" dxfId="1870" priority="618">
      <formula>AJ53&lt;50</formula>
    </cfRule>
    <cfRule type="expression" dxfId="1869" priority="619">
      <formula>AJ53&gt;70</formula>
    </cfRule>
  </conditionalFormatting>
  <conditionalFormatting sqref="AJ57">
    <cfRule type="cellIs" dxfId="1868" priority="612" operator="between">
      <formula>22</formula>
      <formula>22.99</formula>
    </cfRule>
    <cfRule type="cellIs" dxfId="1867" priority="613" operator="between">
      <formula>25.1</formula>
      <formula>30</formula>
    </cfRule>
    <cfRule type="expression" dxfId="1866" priority="614">
      <formula>AJ57&lt;22</formula>
    </cfRule>
    <cfRule type="expression" dxfId="1865" priority="615">
      <formula>AJ57&gt;30</formula>
    </cfRule>
  </conditionalFormatting>
  <conditionalFormatting sqref="AJ58">
    <cfRule type="cellIs" dxfId="1864" priority="608" operator="between">
      <formula>30</formula>
      <formula>31.99</formula>
    </cfRule>
    <cfRule type="cellIs" dxfId="1863" priority="609" operator="between">
      <formula>36.1</formula>
      <formula>38</formula>
    </cfRule>
    <cfRule type="expression" dxfId="1862" priority="610">
      <formula>AJ58&lt;30</formula>
    </cfRule>
    <cfRule type="expression" dxfId="1861" priority="611">
      <formula>AJ58&gt;38</formula>
    </cfRule>
  </conditionalFormatting>
  <conditionalFormatting sqref="AJ54:AJ56">
    <cfRule type="cellIs" dxfId="1860" priority="604" operator="between">
      <formula>50</formula>
      <formula>56.99</formula>
    </cfRule>
    <cfRule type="cellIs" dxfId="1859" priority="605" operator="between">
      <formula>63.1</formula>
      <formula>70</formula>
    </cfRule>
    <cfRule type="expression" dxfId="1858" priority="606">
      <formula>AJ54&lt;50</formula>
    </cfRule>
    <cfRule type="expression" dxfId="1857" priority="607">
      <formula>AJ54&gt;70</formula>
    </cfRule>
  </conditionalFormatting>
  <conditionalFormatting sqref="AM59">
    <cfRule type="cellIs" dxfId="1856" priority="600" operator="between">
      <formula>55</formula>
      <formula>56.9</formula>
    </cfRule>
    <cfRule type="cellIs" dxfId="1855" priority="601" operator="between">
      <formula>63.1</formula>
      <formula>65</formula>
    </cfRule>
    <cfRule type="expression" dxfId="1854" priority="602">
      <formula>AM59&lt;55</formula>
    </cfRule>
    <cfRule type="expression" dxfId="1853" priority="603">
      <formula>AM59&gt;65</formula>
    </cfRule>
  </conditionalFormatting>
  <conditionalFormatting sqref="AM53">
    <cfRule type="cellIs" dxfId="1852" priority="596" operator="between">
      <formula>50</formula>
      <formula>56.99</formula>
    </cfRule>
    <cfRule type="cellIs" dxfId="1851" priority="597" operator="between">
      <formula>63.1</formula>
      <formula>70</formula>
    </cfRule>
    <cfRule type="expression" dxfId="1850" priority="598">
      <formula>AM53&lt;50</formula>
    </cfRule>
    <cfRule type="expression" dxfId="1849" priority="599">
      <formula>AM53&gt;70</formula>
    </cfRule>
  </conditionalFormatting>
  <conditionalFormatting sqref="AM57">
    <cfRule type="cellIs" dxfId="1848" priority="592" operator="between">
      <formula>22</formula>
      <formula>22.99</formula>
    </cfRule>
    <cfRule type="cellIs" dxfId="1847" priority="593" operator="between">
      <formula>25.1</formula>
      <formula>30</formula>
    </cfRule>
    <cfRule type="expression" dxfId="1846" priority="594">
      <formula>AM57&lt;22</formula>
    </cfRule>
    <cfRule type="expression" dxfId="1845" priority="595">
      <formula>AM57&gt;30</formula>
    </cfRule>
  </conditionalFormatting>
  <conditionalFormatting sqref="AM58">
    <cfRule type="cellIs" dxfId="1844" priority="588" operator="between">
      <formula>30</formula>
      <formula>31.99</formula>
    </cfRule>
    <cfRule type="cellIs" dxfId="1843" priority="589" operator="between">
      <formula>36.1</formula>
      <formula>38</formula>
    </cfRule>
    <cfRule type="expression" dxfId="1842" priority="590">
      <formula>AM58&lt;30</formula>
    </cfRule>
    <cfRule type="expression" dxfId="1841" priority="591">
      <formula>AM58&gt;38</formula>
    </cfRule>
  </conditionalFormatting>
  <conditionalFormatting sqref="AM54:AM56">
    <cfRule type="cellIs" dxfId="1840" priority="584" operator="between">
      <formula>50</formula>
      <formula>56.99</formula>
    </cfRule>
    <cfRule type="cellIs" dxfId="1839" priority="585" operator="between">
      <formula>63.1</formula>
      <formula>70</formula>
    </cfRule>
    <cfRule type="expression" dxfId="1838" priority="586">
      <formula>AM54&lt;50</formula>
    </cfRule>
    <cfRule type="expression" dxfId="1837" priority="587">
      <formula>AM54&gt;70</formula>
    </cfRule>
  </conditionalFormatting>
  <conditionalFormatting sqref="AP59">
    <cfRule type="cellIs" dxfId="1836" priority="580" operator="between">
      <formula>55</formula>
      <formula>56.9</formula>
    </cfRule>
    <cfRule type="cellIs" dxfId="1835" priority="581" operator="between">
      <formula>63.1</formula>
      <formula>65</formula>
    </cfRule>
    <cfRule type="expression" dxfId="1834" priority="582">
      <formula>AP59&lt;55</formula>
    </cfRule>
    <cfRule type="expression" dxfId="1833" priority="583">
      <formula>AP59&gt;65</formula>
    </cfRule>
  </conditionalFormatting>
  <conditionalFormatting sqref="AP53">
    <cfRule type="cellIs" dxfId="1832" priority="576" operator="between">
      <formula>50</formula>
      <formula>56.99</formula>
    </cfRule>
    <cfRule type="cellIs" dxfId="1831" priority="577" operator="between">
      <formula>63.1</formula>
      <formula>70</formula>
    </cfRule>
    <cfRule type="expression" dxfId="1830" priority="578">
      <formula>AP53&lt;50</formula>
    </cfRule>
    <cfRule type="expression" dxfId="1829" priority="579">
      <formula>AP53&gt;70</formula>
    </cfRule>
  </conditionalFormatting>
  <conditionalFormatting sqref="AP57">
    <cfRule type="cellIs" dxfId="1828" priority="572" operator="between">
      <formula>22</formula>
      <formula>22.99</formula>
    </cfRule>
    <cfRule type="cellIs" dxfId="1827" priority="573" operator="between">
      <formula>25.1</formula>
      <formula>30</formula>
    </cfRule>
    <cfRule type="expression" dxfId="1826" priority="574">
      <formula>AP57&lt;22</formula>
    </cfRule>
    <cfRule type="expression" dxfId="1825" priority="575">
      <formula>AP57&gt;30</formula>
    </cfRule>
  </conditionalFormatting>
  <conditionalFormatting sqref="AP58">
    <cfRule type="cellIs" dxfId="1824" priority="568" operator="between">
      <formula>30</formula>
      <formula>31.99</formula>
    </cfRule>
    <cfRule type="cellIs" dxfId="1823" priority="569" operator="between">
      <formula>36.1</formula>
      <formula>38</formula>
    </cfRule>
    <cfRule type="expression" dxfId="1822" priority="570">
      <formula>AP58&lt;30</formula>
    </cfRule>
    <cfRule type="expression" dxfId="1821" priority="571">
      <formula>AP58&gt;38</formula>
    </cfRule>
  </conditionalFormatting>
  <conditionalFormatting sqref="AP54:AP56">
    <cfRule type="cellIs" dxfId="1820" priority="564" operator="between">
      <formula>50</formula>
      <formula>56.99</formula>
    </cfRule>
    <cfRule type="cellIs" dxfId="1819" priority="565" operator="between">
      <formula>63.1</formula>
      <formula>70</formula>
    </cfRule>
    <cfRule type="expression" dxfId="1818" priority="566">
      <formula>AP54&lt;50</formula>
    </cfRule>
    <cfRule type="expression" dxfId="1817" priority="567">
      <formula>AP54&gt;70</formula>
    </cfRule>
  </conditionalFormatting>
  <conditionalFormatting sqref="O37">
    <cfRule type="cellIs" dxfId="1816" priority="560" operator="between">
      <formula>60</formula>
      <formula>64.99</formula>
    </cfRule>
    <cfRule type="cellIs" dxfId="1815" priority="561" operator="between">
      <formula>75.1</formula>
      <formula>80</formula>
    </cfRule>
    <cfRule type="expression" dxfId="1814" priority="562">
      <formula>O37&lt;60</formula>
    </cfRule>
    <cfRule type="expression" dxfId="1813" priority="563">
      <formula>O37&gt;80</formula>
    </cfRule>
  </conditionalFormatting>
  <conditionalFormatting sqref="O39">
    <cfRule type="cellIs" dxfId="1812" priority="556" operator="between">
      <formula>50</formula>
      <formula>54.99</formula>
    </cfRule>
    <cfRule type="cellIs" dxfId="1811" priority="557" operator="between">
      <formula>65.01</formula>
      <formula>70</formula>
    </cfRule>
    <cfRule type="expression" dxfId="1810" priority="558">
      <formula>O39&lt;50</formula>
    </cfRule>
    <cfRule type="expression" dxfId="1809" priority="559">
      <formula>O39&gt;70</formula>
    </cfRule>
  </conditionalFormatting>
  <conditionalFormatting sqref="O41">
    <cfRule type="expression" dxfId="1808" priority="555" stopIfTrue="1">
      <formula>O41&lt;130</formula>
    </cfRule>
  </conditionalFormatting>
  <conditionalFormatting sqref="O41">
    <cfRule type="expression" dxfId="1807" priority="554" stopIfTrue="1">
      <formula>O41&gt;150</formula>
    </cfRule>
  </conditionalFormatting>
  <conditionalFormatting sqref="O42">
    <cfRule type="cellIs" dxfId="1806" priority="550" operator="between">
      <formula>8</formula>
      <formula>8.99</formula>
    </cfRule>
    <cfRule type="cellIs" dxfId="1805" priority="551" operator="between">
      <formula>11.01</formula>
      <formula>12</formula>
    </cfRule>
    <cfRule type="expression" dxfId="1804" priority="552">
      <formula>O42&lt;8</formula>
    </cfRule>
    <cfRule type="expression" dxfId="1803" priority="553">
      <formula>O42&gt;12</formula>
    </cfRule>
  </conditionalFormatting>
  <conditionalFormatting sqref="O43">
    <cfRule type="cellIs" dxfId="1802" priority="546" operator="between">
      <formula>6</formula>
      <formula>7.499</formula>
    </cfRule>
    <cfRule type="cellIs" dxfId="1801" priority="547" operator="between">
      <formula>8.51</formula>
      <formula>10</formula>
    </cfRule>
    <cfRule type="expression" dxfId="1800" priority="548">
      <formula>O43&lt;6</formula>
    </cfRule>
    <cfRule type="expression" dxfId="1799" priority="549">
      <formula>O43&gt;10</formula>
    </cfRule>
  </conditionalFormatting>
  <conditionalFormatting sqref="O44">
    <cfRule type="cellIs" dxfId="1798" priority="542" operator="between">
      <formula>2</formula>
      <formula>2.199</formula>
    </cfRule>
    <cfRule type="cellIs" dxfId="1797" priority="543" operator="between">
      <formula>2.41</formula>
      <formula>2.5</formula>
    </cfRule>
    <cfRule type="expression" dxfId="1796" priority="544">
      <formula>O44&lt;2</formula>
    </cfRule>
    <cfRule type="expression" dxfId="1795" priority="545">
      <formula>O44&gt;2.5</formula>
    </cfRule>
  </conditionalFormatting>
  <conditionalFormatting sqref="O45">
    <cfRule type="cellIs" dxfId="1794" priority="538" operator="between">
      <formula>30%</formula>
      <formula>39.99%</formula>
    </cfRule>
    <cfRule type="cellIs" dxfId="1793" priority="539" operator="between">
      <formula>50.01%</formula>
      <formula>60%</formula>
    </cfRule>
    <cfRule type="expression" dxfId="1792" priority="540">
      <formula>O45&lt;30%</formula>
    </cfRule>
    <cfRule type="expression" dxfId="1791" priority="541">
      <formula>O45&gt;60%</formula>
    </cfRule>
  </conditionalFormatting>
  <conditionalFormatting sqref="O46">
    <cfRule type="cellIs" dxfId="1790" priority="534" operator="between">
      <formula>15%</formula>
      <formula>16.99%</formula>
    </cfRule>
    <cfRule type="cellIs" dxfId="1789" priority="535" operator="between">
      <formula>27.01%</formula>
      <formula>30%</formula>
    </cfRule>
    <cfRule type="expression" dxfId="1788" priority="536">
      <formula>O46&lt;15%</formula>
    </cfRule>
    <cfRule type="expression" dxfId="1787" priority="537">
      <formula>O46&gt;30%</formula>
    </cfRule>
  </conditionalFormatting>
  <conditionalFormatting sqref="O48">
    <cfRule type="cellIs" dxfId="1786" priority="526" operator="between">
      <formula>0.5%</formula>
      <formula>0.799%</formula>
    </cfRule>
    <cfRule type="cellIs" dxfId="1785" priority="527" operator="between">
      <formula>1.21%</formula>
      <formula>1.5%</formula>
    </cfRule>
    <cfRule type="expression" dxfId="1784" priority="528">
      <formula>O48&lt;0.5%</formula>
    </cfRule>
    <cfRule type="expression" dxfId="1783" priority="529">
      <formula>O48&gt;1.5%</formula>
    </cfRule>
  </conditionalFormatting>
  <conditionalFormatting sqref="O38">
    <cfRule type="cellIs" dxfId="1782" priority="522" operator="between">
      <formula>60</formula>
      <formula>64.99</formula>
    </cfRule>
    <cfRule type="cellIs" dxfId="1781" priority="523" operator="between">
      <formula>75.1</formula>
      <formula>80</formula>
    </cfRule>
    <cfRule type="expression" dxfId="1780" priority="524">
      <formula>O38&lt;60</formula>
    </cfRule>
    <cfRule type="expression" dxfId="1779" priority="525">
      <formula>O38&gt;80</formula>
    </cfRule>
  </conditionalFormatting>
  <conditionalFormatting sqref="O40">
    <cfRule type="cellIs" dxfId="1778" priority="518" operator="between">
      <formula>50</formula>
      <formula>54.99</formula>
    </cfRule>
    <cfRule type="cellIs" dxfId="1777" priority="519" operator="between">
      <formula>65.01</formula>
      <formula>70</formula>
    </cfRule>
    <cfRule type="expression" dxfId="1776" priority="520">
      <formula>O40&lt;50</formula>
    </cfRule>
    <cfRule type="expression" dxfId="1775" priority="521">
      <formula>O40&gt;70</formula>
    </cfRule>
  </conditionalFormatting>
  <conditionalFormatting sqref="U37">
    <cfRule type="cellIs" dxfId="1774" priority="514" operator="between">
      <formula>60</formula>
      <formula>64.99</formula>
    </cfRule>
    <cfRule type="cellIs" dxfId="1773" priority="515" operator="between">
      <formula>75.1</formula>
      <formula>80</formula>
    </cfRule>
    <cfRule type="expression" dxfId="1772" priority="516">
      <formula>U37&lt;60</formula>
    </cfRule>
    <cfRule type="expression" dxfId="1771" priority="517">
      <formula>U37&gt;80</formula>
    </cfRule>
  </conditionalFormatting>
  <conditionalFormatting sqref="U39">
    <cfRule type="cellIs" dxfId="1770" priority="510" operator="between">
      <formula>50</formula>
      <formula>54.99</formula>
    </cfRule>
    <cfRule type="cellIs" dxfId="1769" priority="511" operator="between">
      <formula>65.01</formula>
      <formula>70</formula>
    </cfRule>
    <cfRule type="expression" dxfId="1768" priority="512">
      <formula>U39&lt;50</formula>
    </cfRule>
    <cfRule type="expression" dxfId="1767" priority="513">
      <formula>U39&gt;70</formula>
    </cfRule>
  </conditionalFormatting>
  <conditionalFormatting sqref="U41">
    <cfRule type="expression" dxfId="1766" priority="509" stopIfTrue="1">
      <formula>U41&lt;130</formula>
    </cfRule>
  </conditionalFormatting>
  <conditionalFormatting sqref="U41">
    <cfRule type="expression" dxfId="1765" priority="508" stopIfTrue="1">
      <formula>U41&gt;150</formula>
    </cfRule>
  </conditionalFormatting>
  <conditionalFormatting sqref="U42">
    <cfRule type="cellIs" dxfId="1764" priority="504" operator="between">
      <formula>8</formula>
      <formula>8.99</formula>
    </cfRule>
    <cfRule type="cellIs" dxfId="1763" priority="505" operator="between">
      <formula>11.01</formula>
      <formula>12</formula>
    </cfRule>
    <cfRule type="expression" dxfId="1762" priority="506">
      <formula>U42&lt;8</formula>
    </cfRule>
    <cfRule type="expression" dxfId="1761" priority="507">
      <formula>U42&gt;12</formula>
    </cfRule>
  </conditionalFormatting>
  <conditionalFormatting sqref="U43">
    <cfRule type="cellIs" dxfId="1760" priority="500" operator="between">
      <formula>6</formula>
      <formula>7.499</formula>
    </cfRule>
    <cfRule type="cellIs" dxfId="1759" priority="501" operator="between">
      <formula>8.51</formula>
      <formula>10</formula>
    </cfRule>
    <cfRule type="expression" dxfId="1758" priority="502">
      <formula>U43&lt;6</formula>
    </cfRule>
    <cfRule type="expression" dxfId="1757" priority="503">
      <formula>U43&gt;10</formula>
    </cfRule>
  </conditionalFormatting>
  <conditionalFormatting sqref="U44">
    <cfRule type="cellIs" dxfId="1756" priority="496" operator="between">
      <formula>2</formula>
      <formula>2.199</formula>
    </cfRule>
    <cfRule type="cellIs" dxfId="1755" priority="497" operator="between">
      <formula>2.41</formula>
      <formula>2.5</formula>
    </cfRule>
    <cfRule type="expression" dxfId="1754" priority="498">
      <formula>U44&lt;2</formula>
    </cfRule>
    <cfRule type="expression" dxfId="1753" priority="499">
      <formula>U44&gt;2.5</formula>
    </cfRule>
  </conditionalFormatting>
  <conditionalFormatting sqref="U45">
    <cfRule type="cellIs" dxfId="1752" priority="492" operator="between">
      <formula>30%</formula>
      <formula>39.99%</formula>
    </cfRule>
    <cfRule type="cellIs" dxfId="1751" priority="493" operator="between">
      <formula>50.01%</formula>
      <formula>60%</formula>
    </cfRule>
    <cfRule type="expression" dxfId="1750" priority="494">
      <formula>U45&lt;30%</formula>
    </cfRule>
    <cfRule type="expression" dxfId="1749" priority="495">
      <formula>U45&gt;60%</formula>
    </cfRule>
  </conditionalFormatting>
  <conditionalFormatting sqref="U46">
    <cfRule type="cellIs" dxfId="1748" priority="488" operator="between">
      <formula>15%</formula>
      <formula>16.99%</formula>
    </cfRule>
    <cfRule type="cellIs" dxfId="1747" priority="489" operator="between">
      <formula>27.01%</formula>
      <formula>30%</formula>
    </cfRule>
    <cfRule type="expression" dxfId="1746" priority="490">
      <formula>U46&lt;15%</formula>
    </cfRule>
    <cfRule type="expression" dxfId="1745" priority="491">
      <formula>U46&gt;30%</formula>
    </cfRule>
  </conditionalFormatting>
  <conditionalFormatting sqref="U48">
    <cfRule type="cellIs" dxfId="1744" priority="480" operator="between">
      <formula>0.5%</formula>
      <formula>0.799%</formula>
    </cfRule>
    <cfRule type="cellIs" dxfId="1743" priority="481" operator="between">
      <formula>1.21%</formula>
      <formula>1.5%</formula>
    </cfRule>
    <cfRule type="expression" dxfId="1742" priority="482">
      <formula>U48&lt;0.5%</formula>
    </cfRule>
    <cfRule type="expression" dxfId="1741" priority="483">
      <formula>U48&gt;1.5%</formula>
    </cfRule>
  </conditionalFormatting>
  <conditionalFormatting sqref="U38">
    <cfRule type="cellIs" dxfId="1740" priority="476" operator="between">
      <formula>60</formula>
      <formula>64.99</formula>
    </cfRule>
    <cfRule type="cellIs" dxfId="1739" priority="477" operator="between">
      <formula>75.1</formula>
      <formula>80</formula>
    </cfRule>
    <cfRule type="expression" dxfId="1738" priority="478">
      <formula>U38&lt;60</formula>
    </cfRule>
    <cfRule type="expression" dxfId="1737" priority="479">
      <formula>U38&gt;80</formula>
    </cfRule>
  </conditionalFormatting>
  <conditionalFormatting sqref="U40">
    <cfRule type="cellIs" dxfId="1736" priority="472" operator="between">
      <formula>50</formula>
      <formula>54.99</formula>
    </cfRule>
    <cfRule type="cellIs" dxfId="1735" priority="473" operator="between">
      <formula>65.01</formula>
      <formula>70</formula>
    </cfRule>
    <cfRule type="expression" dxfId="1734" priority="474">
      <formula>U40&lt;50</formula>
    </cfRule>
    <cfRule type="expression" dxfId="1733" priority="475">
      <formula>U40&gt;70</formula>
    </cfRule>
  </conditionalFormatting>
  <conditionalFormatting sqref="AA37">
    <cfRule type="cellIs" dxfId="1732" priority="468" operator="between">
      <formula>60</formula>
      <formula>64.99</formula>
    </cfRule>
    <cfRule type="cellIs" dxfId="1731" priority="469" operator="between">
      <formula>75.1</formula>
      <formula>80</formula>
    </cfRule>
    <cfRule type="expression" dxfId="1730" priority="470">
      <formula>AA37&lt;60</formula>
    </cfRule>
    <cfRule type="expression" dxfId="1729" priority="471">
      <formula>AA37&gt;80</formula>
    </cfRule>
  </conditionalFormatting>
  <conditionalFormatting sqref="AA39">
    <cfRule type="cellIs" dxfId="1728" priority="464" operator="between">
      <formula>50</formula>
      <formula>54.99</formula>
    </cfRule>
    <cfRule type="cellIs" dxfId="1727" priority="465" operator="between">
      <formula>65.01</formula>
      <formula>70</formula>
    </cfRule>
    <cfRule type="expression" dxfId="1726" priority="466">
      <formula>AA39&lt;50</formula>
    </cfRule>
    <cfRule type="expression" dxfId="1725" priority="467">
      <formula>AA39&gt;70</formula>
    </cfRule>
  </conditionalFormatting>
  <conditionalFormatting sqref="AA41">
    <cfRule type="expression" dxfId="1724" priority="463" stopIfTrue="1">
      <formula>AA41&lt;130</formula>
    </cfRule>
  </conditionalFormatting>
  <conditionalFormatting sqref="AA41">
    <cfRule type="expression" dxfId="1723" priority="462" stopIfTrue="1">
      <formula>AA41&gt;150</formula>
    </cfRule>
  </conditionalFormatting>
  <conditionalFormatting sqref="AA42">
    <cfRule type="cellIs" dxfId="1722" priority="458" operator="between">
      <formula>8</formula>
      <formula>8.99</formula>
    </cfRule>
    <cfRule type="cellIs" dxfId="1721" priority="459" operator="between">
      <formula>11.01</formula>
      <formula>12</formula>
    </cfRule>
    <cfRule type="expression" dxfId="1720" priority="460">
      <formula>AA42&lt;8</formula>
    </cfRule>
    <cfRule type="expression" dxfId="1719" priority="461">
      <formula>AA42&gt;12</formula>
    </cfRule>
  </conditionalFormatting>
  <conditionalFormatting sqref="AA43">
    <cfRule type="cellIs" dxfId="1718" priority="454" operator="between">
      <formula>6</formula>
      <formula>7.499</formula>
    </cfRule>
    <cfRule type="cellIs" dxfId="1717" priority="455" operator="between">
      <formula>8.51</formula>
      <formula>10</formula>
    </cfRule>
    <cfRule type="expression" dxfId="1716" priority="456">
      <formula>AA43&lt;6</formula>
    </cfRule>
    <cfRule type="expression" dxfId="1715" priority="457">
      <formula>AA43&gt;10</formula>
    </cfRule>
  </conditionalFormatting>
  <conditionalFormatting sqref="AA44">
    <cfRule type="cellIs" dxfId="1714" priority="450" operator="between">
      <formula>2</formula>
      <formula>2.199</formula>
    </cfRule>
    <cfRule type="cellIs" dxfId="1713" priority="451" operator="between">
      <formula>2.41</formula>
      <formula>2.5</formula>
    </cfRule>
    <cfRule type="expression" dxfId="1712" priority="452">
      <formula>AA44&lt;2</formula>
    </cfRule>
    <cfRule type="expression" dxfId="1711" priority="453">
      <formula>AA44&gt;2.5</formula>
    </cfRule>
  </conditionalFormatting>
  <conditionalFormatting sqref="AA45">
    <cfRule type="cellIs" dxfId="1710" priority="446" operator="between">
      <formula>30%</formula>
      <formula>39.99%</formula>
    </cfRule>
    <cfRule type="cellIs" dxfId="1709" priority="447" operator="between">
      <formula>50.01%</formula>
      <formula>60%</formula>
    </cfRule>
    <cfRule type="expression" dxfId="1708" priority="448">
      <formula>AA45&lt;30%</formula>
    </cfRule>
    <cfRule type="expression" dxfId="1707" priority="449">
      <formula>AA45&gt;60%</formula>
    </cfRule>
  </conditionalFormatting>
  <conditionalFormatting sqref="AA46">
    <cfRule type="cellIs" dxfId="1706" priority="442" operator="between">
      <formula>15%</formula>
      <formula>16.99%</formula>
    </cfRule>
    <cfRule type="cellIs" dxfId="1705" priority="443" operator="between">
      <formula>27.01%</formula>
      <formula>30%</formula>
    </cfRule>
    <cfRule type="expression" dxfId="1704" priority="444">
      <formula>AA46&lt;15%</formula>
    </cfRule>
    <cfRule type="expression" dxfId="1703" priority="445">
      <formula>AA46&gt;30%</formula>
    </cfRule>
  </conditionalFormatting>
  <conditionalFormatting sqref="AA48">
    <cfRule type="cellIs" dxfId="1702" priority="434" operator="between">
      <formula>0.5%</formula>
      <formula>0.799%</formula>
    </cfRule>
    <cfRule type="cellIs" dxfId="1701" priority="435" operator="between">
      <formula>1.21%</formula>
      <formula>1.5%</formula>
    </cfRule>
    <cfRule type="expression" dxfId="1700" priority="436">
      <formula>AA48&lt;0.5%</formula>
    </cfRule>
    <cfRule type="expression" dxfId="1699" priority="437">
      <formula>AA48&gt;1.5%</formula>
    </cfRule>
  </conditionalFormatting>
  <conditionalFormatting sqref="AA38">
    <cfRule type="cellIs" dxfId="1698" priority="430" operator="between">
      <formula>60</formula>
      <formula>64.99</formula>
    </cfRule>
    <cfRule type="cellIs" dxfId="1697" priority="431" operator="between">
      <formula>75.1</formula>
      <formula>80</formula>
    </cfRule>
    <cfRule type="expression" dxfId="1696" priority="432">
      <formula>AA38&lt;60</formula>
    </cfRule>
    <cfRule type="expression" dxfId="1695" priority="433">
      <formula>AA38&gt;80</formula>
    </cfRule>
  </conditionalFormatting>
  <conditionalFormatting sqref="AA40">
    <cfRule type="cellIs" dxfId="1694" priority="426" operator="between">
      <formula>50</formula>
      <formula>54.99</formula>
    </cfRule>
    <cfRule type="cellIs" dxfId="1693" priority="427" operator="between">
      <formula>65.01</formula>
      <formula>70</formula>
    </cfRule>
    <cfRule type="expression" dxfId="1692" priority="428">
      <formula>AA40&lt;50</formula>
    </cfRule>
    <cfRule type="expression" dxfId="1691" priority="429">
      <formula>AA40&gt;70</formula>
    </cfRule>
  </conditionalFormatting>
  <conditionalFormatting sqref="AG37">
    <cfRule type="cellIs" dxfId="1690" priority="422" operator="between">
      <formula>60</formula>
      <formula>64.99</formula>
    </cfRule>
    <cfRule type="cellIs" dxfId="1689" priority="423" operator="between">
      <formula>75.1</formula>
      <formula>80</formula>
    </cfRule>
    <cfRule type="expression" dxfId="1688" priority="424">
      <formula>AG37&lt;60</formula>
    </cfRule>
    <cfRule type="expression" dxfId="1687" priority="425">
      <formula>AG37&gt;80</formula>
    </cfRule>
  </conditionalFormatting>
  <conditionalFormatting sqref="AG39">
    <cfRule type="cellIs" dxfId="1686" priority="418" operator="between">
      <formula>50</formula>
      <formula>54.99</formula>
    </cfRule>
    <cfRule type="cellIs" dxfId="1685" priority="419" operator="between">
      <formula>65.01</formula>
      <formula>70</formula>
    </cfRule>
    <cfRule type="expression" dxfId="1684" priority="420">
      <formula>AG39&lt;50</formula>
    </cfRule>
    <cfRule type="expression" dxfId="1683" priority="421">
      <formula>AG39&gt;70</formula>
    </cfRule>
  </conditionalFormatting>
  <conditionalFormatting sqref="AG41">
    <cfRule type="expression" dxfId="1682" priority="417" stopIfTrue="1">
      <formula>AG41&lt;130</formula>
    </cfRule>
  </conditionalFormatting>
  <conditionalFormatting sqref="AG41">
    <cfRule type="expression" dxfId="1681" priority="416" stopIfTrue="1">
      <formula>AG41&gt;150</formula>
    </cfRule>
  </conditionalFormatting>
  <conditionalFormatting sqref="AG42">
    <cfRule type="cellIs" dxfId="1680" priority="412" operator="between">
      <formula>8</formula>
      <formula>8.99</formula>
    </cfRule>
    <cfRule type="cellIs" dxfId="1679" priority="413" operator="between">
      <formula>11.01</formula>
      <formula>12</formula>
    </cfRule>
    <cfRule type="expression" dxfId="1678" priority="414">
      <formula>AG42&lt;8</formula>
    </cfRule>
    <cfRule type="expression" dxfId="1677" priority="415">
      <formula>AG42&gt;12</formula>
    </cfRule>
  </conditionalFormatting>
  <conditionalFormatting sqref="AG43">
    <cfRule type="cellIs" dxfId="1676" priority="408" operator="between">
      <formula>6</formula>
      <formula>7.499</formula>
    </cfRule>
    <cfRule type="cellIs" dxfId="1675" priority="409" operator="between">
      <formula>8.51</formula>
      <formula>10</formula>
    </cfRule>
    <cfRule type="expression" dxfId="1674" priority="410">
      <formula>AG43&lt;6</formula>
    </cfRule>
    <cfRule type="expression" dxfId="1673" priority="411">
      <formula>AG43&gt;10</formula>
    </cfRule>
  </conditionalFormatting>
  <conditionalFormatting sqref="AG44">
    <cfRule type="cellIs" dxfId="1672" priority="404" operator="between">
      <formula>2</formula>
      <formula>2.199</formula>
    </cfRule>
    <cfRule type="cellIs" dxfId="1671" priority="405" operator="between">
      <formula>2.41</formula>
      <formula>2.5</formula>
    </cfRule>
    <cfRule type="expression" dxfId="1670" priority="406">
      <formula>AG44&lt;2</formula>
    </cfRule>
    <cfRule type="expression" dxfId="1669" priority="407">
      <formula>AG44&gt;2.5</formula>
    </cfRule>
  </conditionalFormatting>
  <conditionalFormatting sqref="AG45">
    <cfRule type="cellIs" dxfId="1668" priority="400" operator="between">
      <formula>30%</formula>
      <formula>39.99%</formula>
    </cfRule>
    <cfRule type="cellIs" dxfId="1667" priority="401" operator="between">
      <formula>50.01%</formula>
      <formula>60%</formula>
    </cfRule>
    <cfRule type="expression" dxfId="1666" priority="402">
      <formula>AG45&lt;30%</formula>
    </cfRule>
    <cfRule type="expression" dxfId="1665" priority="403">
      <formula>AG45&gt;60%</formula>
    </cfRule>
  </conditionalFormatting>
  <conditionalFormatting sqref="AG46">
    <cfRule type="cellIs" dxfId="1664" priority="396" operator="between">
      <formula>15%</formula>
      <formula>16.99%</formula>
    </cfRule>
    <cfRule type="cellIs" dxfId="1663" priority="397" operator="between">
      <formula>27.01%</formula>
      <formula>30%</formula>
    </cfRule>
    <cfRule type="expression" dxfId="1662" priority="398">
      <formula>AG46&lt;15%</formula>
    </cfRule>
    <cfRule type="expression" dxfId="1661" priority="399">
      <formula>AG46&gt;30%</formula>
    </cfRule>
  </conditionalFormatting>
  <conditionalFormatting sqref="AG48">
    <cfRule type="cellIs" dxfId="1660" priority="388" operator="between">
      <formula>0.5%</formula>
      <formula>0.799%</formula>
    </cfRule>
    <cfRule type="cellIs" dxfId="1659" priority="389" operator="between">
      <formula>1.21%</formula>
      <formula>1.5%</formula>
    </cfRule>
    <cfRule type="expression" dxfId="1658" priority="390">
      <formula>AG48&lt;0.5%</formula>
    </cfRule>
    <cfRule type="expression" dxfId="1657" priority="391">
      <formula>AG48&gt;1.5%</formula>
    </cfRule>
  </conditionalFormatting>
  <conditionalFormatting sqref="AG38">
    <cfRule type="cellIs" dxfId="1656" priority="384" operator="between">
      <formula>60</formula>
      <formula>64.99</formula>
    </cfRule>
    <cfRule type="cellIs" dxfId="1655" priority="385" operator="between">
      <formula>75.1</formula>
      <formula>80</formula>
    </cfRule>
    <cfRule type="expression" dxfId="1654" priority="386">
      <formula>AG38&lt;60</formula>
    </cfRule>
    <cfRule type="expression" dxfId="1653" priority="387">
      <formula>AG38&gt;80</formula>
    </cfRule>
  </conditionalFormatting>
  <conditionalFormatting sqref="AG40">
    <cfRule type="cellIs" dxfId="1652" priority="380" operator="between">
      <formula>50</formula>
      <formula>54.99</formula>
    </cfRule>
    <cfRule type="cellIs" dxfId="1651" priority="381" operator="between">
      <formula>65.01</formula>
      <formula>70</formula>
    </cfRule>
    <cfRule type="expression" dxfId="1650" priority="382">
      <formula>AG40&lt;50</formula>
    </cfRule>
    <cfRule type="expression" dxfId="1649" priority="383">
      <formula>AG40&gt;70</formula>
    </cfRule>
  </conditionalFormatting>
  <conditionalFormatting sqref="AM37">
    <cfRule type="cellIs" dxfId="1648" priority="376" operator="between">
      <formula>60</formula>
      <formula>64.99</formula>
    </cfRule>
    <cfRule type="cellIs" dxfId="1647" priority="377" operator="between">
      <formula>75.1</formula>
      <formula>80</formula>
    </cfRule>
    <cfRule type="expression" dxfId="1646" priority="378">
      <formula>AM37&lt;60</formula>
    </cfRule>
    <cfRule type="expression" dxfId="1645" priority="379">
      <formula>AM37&gt;80</formula>
    </cfRule>
  </conditionalFormatting>
  <conditionalFormatting sqref="AM39">
    <cfRule type="cellIs" dxfId="1644" priority="372" operator="between">
      <formula>50</formula>
      <formula>54.99</formula>
    </cfRule>
    <cfRule type="cellIs" dxfId="1643" priority="373" operator="between">
      <formula>65.01</formula>
      <formula>70</formula>
    </cfRule>
    <cfRule type="expression" dxfId="1642" priority="374">
      <formula>AM39&lt;50</formula>
    </cfRule>
    <cfRule type="expression" dxfId="1641" priority="375">
      <formula>AM39&gt;70</formula>
    </cfRule>
  </conditionalFormatting>
  <conditionalFormatting sqref="AM41">
    <cfRule type="expression" dxfId="1640" priority="371" stopIfTrue="1">
      <formula>AM41&lt;130</formula>
    </cfRule>
  </conditionalFormatting>
  <conditionalFormatting sqref="AM41">
    <cfRule type="expression" dxfId="1639" priority="370" stopIfTrue="1">
      <formula>AM41&gt;150</formula>
    </cfRule>
  </conditionalFormatting>
  <conditionalFormatting sqref="AM42">
    <cfRule type="cellIs" dxfId="1638" priority="366" operator="between">
      <formula>8</formula>
      <formula>8.99</formula>
    </cfRule>
    <cfRule type="cellIs" dxfId="1637" priority="367" operator="between">
      <formula>11.01</formula>
      <formula>12</formula>
    </cfRule>
    <cfRule type="expression" dxfId="1636" priority="368">
      <formula>AM42&lt;8</formula>
    </cfRule>
    <cfRule type="expression" dxfId="1635" priority="369">
      <formula>AM42&gt;12</formula>
    </cfRule>
  </conditionalFormatting>
  <conditionalFormatting sqref="AM43">
    <cfRule type="cellIs" dxfId="1634" priority="362" operator="between">
      <formula>6</formula>
      <formula>7.499</formula>
    </cfRule>
    <cfRule type="cellIs" dxfId="1633" priority="363" operator="between">
      <formula>8.51</formula>
      <formula>10</formula>
    </cfRule>
    <cfRule type="expression" dxfId="1632" priority="364">
      <formula>AM43&lt;6</formula>
    </cfRule>
    <cfRule type="expression" dxfId="1631" priority="365">
      <formula>AM43&gt;10</formula>
    </cfRule>
  </conditionalFormatting>
  <conditionalFormatting sqref="AM44">
    <cfRule type="cellIs" dxfId="1630" priority="358" operator="between">
      <formula>2</formula>
      <formula>2.199</formula>
    </cfRule>
    <cfRule type="cellIs" dxfId="1629" priority="359" operator="between">
      <formula>2.41</formula>
      <formula>2.5</formula>
    </cfRule>
    <cfRule type="expression" dxfId="1628" priority="360">
      <formula>AM44&lt;2</formula>
    </cfRule>
    <cfRule type="expression" dxfId="1627" priority="361">
      <formula>AM44&gt;2.5</formula>
    </cfRule>
  </conditionalFormatting>
  <conditionalFormatting sqref="AM45">
    <cfRule type="cellIs" dxfId="1626" priority="354" operator="between">
      <formula>30%</formula>
      <formula>39.99%</formula>
    </cfRule>
    <cfRule type="cellIs" dxfId="1625" priority="355" operator="between">
      <formula>50.01%</formula>
      <formula>60%</formula>
    </cfRule>
    <cfRule type="expression" dxfId="1624" priority="356">
      <formula>AM45&lt;30%</formula>
    </cfRule>
    <cfRule type="expression" dxfId="1623" priority="357">
      <formula>AM45&gt;60%</formula>
    </cfRule>
  </conditionalFormatting>
  <conditionalFormatting sqref="AM46">
    <cfRule type="cellIs" dxfId="1622" priority="350" operator="between">
      <formula>15%</formula>
      <formula>16.99%</formula>
    </cfRule>
    <cfRule type="cellIs" dxfId="1621" priority="351" operator="between">
      <formula>27.01%</formula>
      <formula>30%</formula>
    </cfRule>
    <cfRule type="expression" dxfId="1620" priority="352">
      <formula>AM46&lt;15%</formula>
    </cfRule>
    <cfRule type="expression" dxfId="1619" priority="353">
      <formula>AM46&gt;30%</formula>
    </cfRule>
  </conditionalFormatting>
  <conditionalFormatting sqref="AM48">
    <cfRule type="cellIs" dxfId="1618" priority="342" operator="between">
      <formula>0.5%</formula>
      <formula>0.799%</formula>
    </cfRule>
    <cfRule type="cellIs" dxfId="1617" priority="343" operator="between">
      <formula>1.21%</formula>
      <formula>1.5%</formula>
    </cfRule>
    <cfRule type="expression" dxfId="1616" priority="344">
      <formula>AM48&lt;0.5%</formula>
    </cfRule>
    <cfRule type="expression" dxfId="1615" priority="345">
      <formula>AM48&gt;1.5%</formula>
    </cfRule>
  </conditionalFormatting>
  <conditionalFormatting sqref="AM38">
    <cfRule type="cellIs" dxfId="1614" priority="338" operator="between">
      <formula>60</formula>
      <formula>64.99</formula>
    </cfRule>
    <cfRule type="cellIs" dxfId="1613" priority="339" operator="between">
      <formula>75.1</formula>
      <formula>80</formula>
    </cfRule>
    <cfRule type="expression" dxfId="1612" priority="340">
      <formula>AM38&lt;60</formula>
    </cfRule>
    <cfRule type="expression" dxfId="1611" priority="341">
      <formula>AM38&gt;80</formula>
    </cfRule>
  </conditionalFormatting>
  <conditionalFormatting sqref="AM40">
    <cfRule type="cellIs" dxfId="1610" priority="334" operator="between">
      <formula>50</formula>
      <formula>54.99</formula>
    </cfRule>
    <cfRule type="cellIs" dxfId="1609" priority="335" operator="between">
      <formula>65.01</formula>
      <formula>70</formula>
    </cfRule>
    <cfRule type="expression" dxfId="1608" priority="336">
      <formula>AM40&lt;50</formula>
    </cfRule>
    <cfRule type="expression" dxfId="1607" priority="337">
      <formula>AM40&gt;70</formula>
    </cfRule>
  </conditionalFormatting>
  <conditionalFormatting sqref="I69">
    <cfRule type="cellIs" dxfId="1606" priority="330" operator="between">
      <formula>40</formula>
      <formula>44.99</formula>
    </cfRule>
    <cfRule type="cellIs" dxfId="1605" priority="331" operator="between">
      <formula>55.1</formula>
      <formula>60</formula>
    </cfRule>
    <cfRule type="expression" dxfId="1604" priority="332">
      <formula>I69&lt;40</formula>
    </cfRule>
    <cfRule type="expression" dxfId="1603" priority="333">
      <formula>I69&gt;60</formula>
    </cfRule>
  </conditionalFormatting>
  <conditionalFormatting sqref="I71">
    <cfRule type="cellIs" dxfId="1602" priority="326" operator="between">
      <formula>50</formula>
      <formula>54.99</formula>
    </cfRule>
    <cfRule type="cellIs" dxfId="1601" priority="327" operator="between">
      <formula>65.01</formula>
      <formula>70</formula>
    </cfRule>
    <cfRule type="expression" dxfId="1600" priority="328">
      <formula>I71&lt;50</formula>
    </cfRule>
    <cfRule type="expression" dxfId="1599" priority="329">
      <formula>I71&gt;70</formula>
    </cfRule>
  </conditionalFormatting>
  <conditionalFormatting sqref="I92">
    <cfRule type="cellIs" dxfId="1598" priority="322" operator="between">
      <formula>65</formula>
      <formula>66.9</formula>
    </cfRule>
    <cfRule type="cellIs" dxfId="1597" priority="323" operator="between">
      <formula>73.1</formula>
      <formula>75</formula>
    </cfRule>
    <cfRule type="expression" dxfId="1596" priority="324">
      <formula>I92&lt;65</formula>
    </cfRule>
    <cfRule type="expression" dxfId="1595" priority="325">
      <formula>I92&gt;75</formula>
    </cfRule>
  </conditionalFormatting>
  <conditionalFormatting sqref="L98">
    <cfRule type="cellIs" dxfId="1594" priority="314" operator="between">
      <formula>65</formula>
      <formula>66.9</formula>
    </cfRule>
    <cfRule type="cellIs" dxfId="1593" priority="315" operator="between">
      <formula>73.1</formula>
      <formula>75</formula>
    </cfRule>
    <cfRule type="expression" dxfId="1592" priority="316">
      <formula>L98&lt;65</formula>
    </cfRule>
    <cfRule type="expression" dxfId="1591" priority="317">
      <formula>L98&gt;75</formula>
    </cfRule>
  </conditionalFormatting>
  <conditionalFormatting sqref="L102 O102 R102 U102 X102 AA102 AD102 AG102 AJ102 AM102 AP102">
    <cfRule type="expression" dxfId="1590" priority="312">
      <formula>L102&lt;35</formula>
    </cfRule>
    <cfRule type="expression" dxfId="1589" priority="313">
      <formula>L102&gt;45</formula>
    </cfRule>
  </conditionalFormatting>
  <conditionalFormatting sqref="L102:AQ102">
    <cfRule type="cellIs" dxfId="1588" priority="310" operator="between">
      <formula>43.1</formula>
      <formula>45</formula>
    </cfRule>
    <cfRule type="cellIs" dxfId="1587" priority="311" operator="between">
      <formula>35</formula>
      <formula>36.9</formula>
    </cfRule>
  </conditionalFormatting>
  <conditionalFormatting sqref="R98">
    <cfRule type="cellIs" dxfId="1586" priority="302" operator="between">
      <formula>65</formula>
      <formula>66.9</formula>
    </cfRule>
    <cfRule type="cellIs" dxfId="1585" priority="303" operator="between">
      <formula>73.1</formula>
      <formula>75</formula>
    </cfRule>
    <cfRule type="expression" dxfId="1584" priority="304">
      <formula>R98&lt;65</formula>
    </cfRule>
    <cfRule type="expression" dxfId="1583" priority="305">
      <formula>R98&gt;75</formula>
    </cfRule>
  </conditionalFormatting>
  <conditionalFormatting sqref="X98">
    <cfRule type="cellIs" dxfId="1582" priority="298" operator="between">
      <formula>65</formula>
      <formula>66.9</formula>
    </cfRule>
    <cfRule type="cellIs" dxfId="1581" priority="299" operator="between">
      <formula>73.1</formula>
      <formula>75</formula>
    </cfRule>
    <cfRule type="expression" dxfId="1580" priority="300">
      <formula>X98&lt;65</formula>
    </cfRule>
    <cfRule type="expression" dxfId="1579" priority="301">
      <formula>X98&gt;75</formula>
    </cfRule>
  </conditionalFormatting>
  <conditionalFormatting sqref="AD98">
    <cfRule type="cellIs" dxfId="1578" priority="294" operator="between">
      <formula>65</formula>
      <formula>66.9</formula>
    </cfRule>
    <cfRule type="cellIs" dxfId="1577" priority="295" operator="between">
      <formula>73.1</formula>
      <formula>75</formula>
    </cfRule>
    <cfRule type="expression" dxfId="1576" priority="296">
      <formula>AD98&lt;65</formula>
    </cfRule>
    <cfRule type="expression" dxfId="1575" priority="297">
      <formula>AD98&gt;75</formula>
    </cfRule>
  </conditionalFormatting>
  <conditionalFormatting sqref="AJ98">
    <cfRule type="cellIs" dxfId="1574" priority="290" operator="between">
      <formula>65</formula>
      <formula>66.9</formula>
    </cfRule>
    <cfRule type="cellIs" dxfId="1573" priority="291" operator="between">
      <formula>73.1</formula>
      <formula>75</formula>
    </cfRule>
    <cfRule type="expression" dxfId="1572" priority="292">
      <formula>AJ98&lt;65</formula>
    </cfRule>
    <cfRule type="expression" dxfId="1571" priority="293">
      <formula>AJ98&gt;75</formula>
    </cfRule>
  </conditionalFormatting>
  <conditionalFormatting sqref="AP98">
    <cfRule type="cellIs" dxfId="1570" priority="286" operator="between">
      <formula>65</formula>
      <formula>66.9</formula>
    </cfRule>
    <cfRule type="cellIs" dxfId="1569" priority="287" operator="between">
      <formula>73.1</formula>
      <formula>75</formula>
    </cfRule>
    <cfRule type="expression" dxfId="1568" priority="288">
      <formula>AP98&lt;65</formula>
    </cfRule>
    <cfRule type="expression" dxfId="1567" priority="289">
      <formula>AP98&gt;75</formula>
    </cfRule>
  </conditionalFormatting>
  <conditionalFormatting sqref="L91 O91 R91 U91 X91 AA91 AD91 AG91 AJ91 AM91 AP91">
    <cfRule type="cellIs" dxfId="1566" priority="282" operator="between">
      <formula>65</formula>
      <formula>66.9</formula>
    </cfRule>
    <cfRule type="cellIs" dxfId="1565" priority="283" operator="between">
      <formula>73.1</formula>
      <formula>75</formula>
    </cfRule>
    <cfRule type="expression" dxfId="1564" priority="284">
      <formula>L91&lt;65</formula>
    </cfRule>
    <cfRule type="expression" dxfId="1563" priority="285">
      <formula>L91&gt;75</formula>
    </cfRule>
  </conditionalFormatting>
  <conditionalFormatting sqref="L97 O97 R97 U97 X97 AA97 AD97 AG97 AJ97 AM97 AP97">
    <cfRule type="cellIs" dxfId="1562" priority="278" operator="between">
      <formula>55</formula>
      <formula>56.9</formula>
    </cfRule>
    <cfRule type="cellIs" dxfId="1561" priority="279" operator="between">
      <formula>63.1</formula>
      <formula>65</formula>
    </cfRule>
    <cfRule type="expression" dxfId="1560" priority="280">
      <formula>L97&lt;55</formula>
    </cfRule>
    <cfRule type="expression" dxfId="1559" priority="281">
      <formula>L97&gt;65</formula>
    </cfRule>
  </conditionalFormatting>
  <conditionalFormatting sqref="L95 O95 R95 U95 X95 AA95 AD95 AG95 AJ95 AM95 AP95">
    <cfRule type="expression" dxfId="1558" priority="276">
      <formula>L95&lt;24</formula>
    </cfRule>
    <cfRule type="expression" dxfId="1557" priority="277">
      <formula>L95&gt;26</formula>
    </cfRule>
  </conditionalFormatting>
  <conditionalFormatting sqref="L96 O96 R96 U96 X96 AA96 AD96 AG96 AJ96 AM96 AP96">
    <cfRule type="expression" dxfId="1556" priority="270">
      <formula>L96&lt;34</formula>
    </cfRule>
    <cfRule type="expression" dxfId="1555" priority="271">
      <formula>L96&gt;36</formula>
    </cfRule>
  </conditionalFormatting>
  <conditionalFormatting sqref="L92 O92 R92 U92 X92 AA92 AD92 AG92 AJ92 AM92 AP92">
    <cfRule type="cellIs" dxfId="1554" priority="266" operator="between">
      <formula>65</formula>
      <formula>66.9</formula>
    </cfRule>
    <cfRule type="cellIs" dxfId="1553" priority="267" operator="between">
      <formula>73.1</formula>
      <formula>75</formula>
    </cfRule>
    <cfRule type="expression" dxfId="1552" priority="268">
      <formula>L92&lt;65</formula>
    </cfRule>
    <cfRule type="expression" dxfId="1551" priority="269">
      <formula>L92&gt;75</formula>
    </cfRule>
  </conditionalFormatting>
  <conditionalFormatting sqref="O83">
    <cfRule type="cellIs" dxfId="1550" priority="259" operator="between">
      <formula>2.21</formula>
      <formula>2.4</formula>
    </cfRule>
    <cfRule type="expression" dxfId="1549" priority="260">
      <formula>O83&lt;1.8</formula>
    </cfRule>
    <cfRule type="expression" dxfId="1548" priority="261">
      <formula>O83&gt;2.4</formula>
    </cfRule>
  </conditionalFormatting>
  <conditionalFormatting sqref="O82">
    <cfRule type="cellIs" dxfId="1547" priority="255" operator="between">
      <formula>8</formula>
      <formula>9.99</formula>
    </cfRule>
    <cfRule type="cellIs" dxfId="1546" priority="256" operator="between">
      <formula>14.1</formula>
      <formula>16</formula>
    </cfRule>
    <cfRule type="expression" dxfId="1545" priority="257">
      <formula>O82&lt;8</formula>
    </cfRule>
    <cfRule type="expression" dxfId="1544" priority="258">
      <formula>O82&gt;16</formula>
    </cfRule>
  </conditionalFormatting>
  <conditionalFormatting sqref="U83">
    <cfRule type="cellIs" dxfId="1543" priority="252" operator="between">
      <formula>2.21</formula>
      <formula>2.4</formula>
    </cfRule>
    <cfRule type="expression" dxfId="1542" priority="253">
      <formula>U83&lt;1.8</formula>
    </cfRule>
    <cfRule type="expression" dxfId="1541" priority="254">
      <formula>U83&gt;2.4</formula>
    </cfRule>
  </conditionalFormatting>
  <conditionalFormatting sqref="U82">
    <cfRule type="cellIs" dxfId="1540" priority="248" operator="between">
      <formula>8</formula>
      <formula>9.99</formula>
    </cfRule>
    <cfRule type="cellIs" dxfId="1539" priority="249" operator="between">
      <formula>14.1</formula>
      <formula>16</formula>
    </cfRule>
    <cfRule type="expression" dxfId="1538" priority="250">
      <formula>U82&lt;8</formula>
    </cfRule>
    <cfRule type="expression" dxfId="1537" priority="251">
      <formula>U82&gt;16</formula>
    </cfRule>
  </conditionalFormatting>
  <conditionalFormatting sqref="AA83">
    <cfRule type="cellIs" dxfId="1536" priority="245" operator="between">
      <formula>2.21</formula>
      <formula>2.4</formula>
    </cfRule>
    <cfRule type="expression" dxfId="1535" priority="246">
      <formula>AA83&lt;1.8</formula>
    </cfRule>
    <cfRule type="expression" dxfId="1534" priority="247">
      <formula>AA83&gt;2.4</formula>
    </cfRule>
  </conditionalFormatting>
  <conditionalFormatting sqref="AA82">
    <cfRule type="cellIs" dxfId="1533" priority="241" operator="between">
      <formula>8</formula>
      <formula>9.99</formula>
    </cfRule>
    <cfRule type="cellIs" dxfId="1532" priority="242" operator="between">
      <formula>14.1</formula>
      <formula>16</formula>
    </cfRule>
    <cfRule type="expression" dxfId="1531" priority="243">
      <formula>AA82&lt;8</formula>
    </cfRule>
    <cfRule type="expression" dxfId="1530" priority="244">
      <formula>AA82&gt;16</formula>
    </cfRule>
  </conditionalFormatting>
  <conditionalFormatting sqref="AG83">
    <cfRule type="cellIs" dxfId="1529" priority="238" operator="between">
      <formula>2.21</formula>
      <formula>2.4</formula>
    </cfRule>
    <cfRule type="expression" dxfId="1528" priority="239">
      <formula>AG83&lt;1.8</formula>
    </cfRule>
    <cfRule type="expression" dxfId="1527" priority="240">
      <formula>AG83&gt;2.4</formula>
    </cfRule>
  </conditionalFormatting>
  <conditionalFormatting sqref="AG82">
    <cfRule type="cellIs" dxfId="1526" priority="234" operator="between">
      <formula>8</formula>
      <formula>9.99</formula>
    </cfRule>
    <cfRule type="cellIs" dxfId="1525" priority="235" operator="between">
      <formula>14.1</formula>
      <formula>16</formula>
    </cfRule>
    <cfRule type="expression" dxfId="1524" priority="236">
      <formula>AG82&lt;8</formula>
    </cfRule>
    <cfRule type="expression" dxfId="1523" priority="237">
      <formula>AG82&gt;16</formula>
    </cfRule>
  </conditionalFormatting>
  <conditionalFormatting sqref="AM83">
    <cfRule type="cellIs" dxfId="1522" priority="231" operator="between">
      <formula>2.21</formula>
      <formula>2.4</formula>
    </cfRule>
    <cfRule type="expression" dxfId="1521" priority="232">
      <formula>AM83&lt;1.8</formula>
    </cfRule>
    <cfRule type="expression" dxfId="1520" priority="233">
      <formula>AM83&gt;2.4</formula>
    </cfRule>
  </conditionalFormatting>
  <conditionalFormatting sqref="AM82">
    <cfRule type="cellIs" dxfId="1519" priority="227" operator="between">
      <formula>8</formula>
      <formula>9.99</formula>
    </cfRule>
    <cfRule type="cellIs" dxfId="1518" priority="228" operator="between">
      <formula>14.1</formula>
      <formula>16</formula>
    </cfRule>
    <cfRule type="expression" dxfId="1517" priority="229">
      <formula>AM82&lt;8</formula>
    </cfRule>
    <cfRule type="expression" dxfId="1516" priority="230">
      <formula>AM82&gt;16</formula>
    </cfRule>
  </conditionalFormatting>
  <conditionalFormatting sqref="O68">
    <cfRule type="cellIs" dxfId="1515" priority="223" operator="between">
      <formula>40</formula>
      <formula>44.99</formula>
    </cfRule>
    <cfRule type="cellIs" dxfId="1514" priority="224" operator="between">
      <formula>55.1</formula>
      <formula>60</formula>
    </cfRule>
    <cfRule type="expression" dxfId="1513" priority="225">
      <formula>O68&lt;40</formula>
    </cfRule>
    <cfRule type="expression" dxfId="1512" priority="226">
      <formula>O68&gt;60</formula>
    </cfRule>
  </conditionalFormatting>
  <conditionalFormatting sqref="O70">
    <cfRule type="cellIs" dxfId="1511" priority="219" operator="between">
      <formula>50</formula>
      <formula>54.99</formula>
    </cfRule>
    <cfRule type="cellIs" dxfId="1510" priority="220" operator="between">
      <formula>65.01</formula>
      <formula>70</formula>
    </cfRule>
    <cfRule type="expression" dxfId="1509" priority="221">
      <formula>O70&lt;50</formula>
    </cfRule>
    <cfRule type="expression" dxfId="1508" priority="222">
      <formula>O70&gt;70</formula>
    </cfRule>
  </conditionalFormatting>
  <conditionalFormatting sqref="O72">
    <cfRule type="expression" dxfId="1507" priority="218" stopIfTrue="1">
      <formula>O72&lt;135</formula>
    </cfRule>
  </conditionalFormatting>
  <conditionalFormatting sqref="O72">
    <cfRule type="expression" dxfId="1506" priority="217" stopIfTrue="1">
      <formula>O72&gt;145</formula>
    </cfRule>
  </conditionalFormatting>
  <conditionalFormatting sqref="O73">
    <cfRule type="cellIs" dxfId="1505" priority="213" operator="between">
      <formula>6</formula>
      <formula>6.499</formula>
    </cfRule>
    <cfRule type="cellIs" dxfId="1504" priority="214" operator="between">
      <formula>7.51</formula>
      <formula>8</formula>
    </cfRule>
    <cfRule type="expression" dxfId="1503" priority="215">
      <formula>O73&lt;6</formula>
    </cfRule>
    <cfRule type="expression" dxfId="1502" priority="216">
      <formula>O73&gt;8</formula>
    </cfRule>
  </conditionalFormatting>
  <conditionalFormatting sqref="O74">
    <cfRule type="cellIs" dxfId="1501" priority="209" operator="between">
      <formula>5</formula>
      <formula>5.499</formula>
    </cfRule>
    <cfRule type="cellIs" dxfId="1500" priority="210" operator="between">
      <formula>6.51</formula>
      <formula>8</formula>
    </cfRule>
    <cfRule type="expression" dxfId="1499" priority="211">
      <formula>O74&lt;5</formula>
    </cfRule>
    <cfRule type="expression" dxfId="1498" priority="212">
      <formula>O74&gt;8</formula>
    </cfRule>
  </conditionalFormatting>
  <conditionalFormatting sqref="O75">
    <cfRule type="expression" dxfId="1497" priority="207">
      <formula>O75&lt;2</formula>
    </cfRule>
    <cfRule type="expression" dxfId="1496" priority="208">
      <formula>O75&gt;2.4</formula>
    </cfRule>
  </conditionalFormatting>
  <conditionalFormatting sqref="O76:O77">
    <cfRule type="expression" dxfId="1495" priority="205">
      <formula>O76&lt;40%</formula>
    </cfRule>
    <cfRule type="expression" dxfId="1494" priority="206">
      <formula>O76&gt;50%</formula>
    </cfRule>
  </conditionalFormatting>
  <conditionalFormatting sqref="O79">
    <cfRule type="cellIs" dxfId="1493" priority="201" operator="between">
      <formula>0.5%</formula>
      <formula>0.599%</formula>
    </cfRule>
    <cfRule type="cellIs" dxfId="1492" priority="202" operator="between">
      <formula>1.41%</formula>
      <formula>1.5%</formula>
    </cfRule>
    <cfRule type="expression" dxfId="1491" priority="203">
      <formula>O79&lt;0.5%</formula>
    </cfRule>
    <cfRule type="expression" dxfId="1490" priority="204">
      <formula>O79&gt;1.5%</formula>
    </cfRule>
  </conditionalFormatting>
  <conditionalFormatting sqref="O78">
    <cfRule type="cellIs" dxfId="1489" priority="197" operator="between">
      <formula>20%</formula>
      <formula>24.99%</formula>
    </cfRule>
    <cfRule type="cellIs" dxfId="1488" priority="198" operator="between">
      <formula>35.01%</formula>
      <formula>40%</formula>
    </cfRule>
    <cfRule type="expression" dxfId="1487" priority="199">
      <formula>O78&lt;20%</formula>
    </cfRule>
    <cfRule type="expression" dxfId="1486" priority="200">
      <formula>O78&gt;40%</formula>
    </cfRule>
  </conditionalFormatting>
  <conditionalFormatting sqref="O69">
    <cfRule type="cellIs" dxfId="1485" priority="193" operator="between">
      <formula>40</formula>
      <formula>44.99</formula>
    </cfRule>
    <cfRule type="cellIs" dxfId="1484" priority="194" operator="between">
      <formula>55.1</formula>
      <formula>60</formula>
    </cfRule>
    <cfRule type="expression" dxfId="1483" priority="195">
      <formula>O69&lt;40</formula>
    </cfRule>
    <cfRule type="expression" dxfId="1482" priority="196">
      <formula>O69&gt;60</formula>
    </cfRule>
  </conditionalFormatting>
  <conditionalFormatting sqref="O71">
    <cfRule type="cellIs" dxfId="1481" priority="189" operator="between">
      <formula>50</formula>
      <formula>54.99</formula>
    </cfRule>
    <cfRule type="cellIs" dxfId="1480" priority="190" operator="between">
      <formula>65.01</formula>
      <formula>70</formula>
    </cfRule>
    <cfRule type="expression" dxfId="1479" priority="191">
      <formula>O71&lt;50</formula>
    </cfRule>
    <cfRule type="expression" dxfId="1478" priority="192">
      <formula>O71&gt;70</formula>
    </cfRule>
  </conditionalFormatting>
  <conditionalFormatting sqref="U68">
    <cfRule type="cellIs" dxfId="1477" priority="185" operator="between">
      <formula>40</formula>
      <formula>44.99</formula>
    </cfRule>
    <cfRule type="cellIs" dxfId="1476" priority="186" operator="between">
      <formula>55.1</formula>
      <formula>60</formula>
    </cfRule>
    <cfRule type="expression" dxfId="1475" priority="187">
      <formula>U68&lt;40</formula>
    </cfRule>
    <cfRule type="expression" dxfId="1474" priority="188">
      <formula>U68&gt;60</formula>
    </cfRule>
  </conditionalFormatting>
  <conditionalFormatting sqref="U70">
    <cfRule type="cellIs" dxfId="1473" priority="181" operator="between">
      <formula>50</formula>
      <formula>54.99</formula>
    </cfRule>
    <cfRule type="cellIs" dxfId="1472" priority="182" operator="between">
      <formula>65.01</formula>
      <formula>70</formula>
    </cfRule>
    <cfRule type="expression" dxfId="1471" priority="183">
      <formula>U70&lt;50</formula>
    </cfRule>
    <cfRule type="expression" dxfId="1470" priority="184">
      <formula>U70&gt;70</formula>
    </cfRule>
  </conditionalFormatting>
  <conditionalFormatting sqref="U72">
    <cfRule type="expression" dxfId="1469" priority="180" stopIfTrue="1">
      <formula>U72&lt;135</formula>
    </cfRule>
  </conditionalFormatting>
  <conditionalFormatting sqref="U72">
    <cfRule type="expression" dxfId="1468" priority="179" stopIfTrue="1">
      <formula>U72&gt;145</formula>
    </cfRule>
  </conditionalFormatting>
  <conditionalFormatting sqref="U73">
    <cfRule type="cellIs" dxfId="1467" priority="175" operator="between">
      <formula>6</formula>
      <formula>6.499</formula>
    </cfRule>
    <cfRule type="cellIs" dxfId="1466" priority="176" operator="between">
      <formula>7.51</formula>
      <formula>8</formula>
    </cfRule>
    <cfRule type="expression" dxfId="1465" priority="177">
      <formula>U73&lt;6</formula>
    </cfRule>
    <cfRule type="expression" dxfId="1464" priority="178">
      <formula>U73&gt;8</formula>
    </cfRule>
  </conditionalFormatting>
  <conditionalFormatting sqref="U74">
    <cfRule type="cellIs" dxfId="1463" priority="171" operator="between">
      <formula>5</formula>
      <formula>5.499</formula>
    </cfRule>
    <cfRule type="cellIs" dxfId="1462" priority="172" operator="between">
      <formula>6.51</formula>
      <formula>8</formula>
    </cfRule>
    <cfRule type="expression" dxfId="1461" priority="173">
      <formula>U74&lt;5</formula>
    </cfRule>
    <cfRule type="expression" dxfId="1460" priority="174">
      <formula>U74&gt;8</formula>
    </cfRule>
  </conditionalFormatting>
  <conditionalFormatting sqref="U75">
    <cfRule type="expression" dxfId="1459" priority="169">
      <formula>U75&lt;2</formula>
    </cfRule>
    <cfRule type="expression" dxfId="1458" priority="170">
      <formula>U75&gt;2.4</formula>
    </cfRule>
  </conditionalFormatting>
  <conditionalFormatting sqref="U76:U77">
    <cfRule type="expression" dxfId="1457" priority="167">
      <formula>U76&lt;40%</formula>
    </cfRule>
    <cfRule type="expression" dxfId="1456" priority="168">
      <formula>U76&gt;50%</formula>
    </cfRule>
  </conditionalFormatting>
  <conditionalFormatting sqref="U79">
    <cfRule type="cellIs" dxfId="1455" priority="163" operator="between">
      <formula>0.5%</formula>
      <formula>0.599%</formula>
    </cfRule>
    <cfRule type="cellIs" dxfId="1454" priority="164" operator="between">
      <formula>1.41%</formula>
      <formula>1.5%</formula>
    </cfRule>
    <cfRule type="expression" dxfId="1453" priority="165">
      <formula>U79&lt;0.5%</formula>
    </cfRule>
    <cfRule type="expression" dxfId="1452" priority="166">
      <formula>U79&gt;1.5%</formula>
    </cfRule>
  </conditionalFormatting>
  <conditionalFormatting sqref="U78">
    <cfRule type="cellIs" dxfId="1451" priority="159" operator="between">
      <formula>20%</formula>
      <formula>24.99%</formula>
    </cfRule>
    <cfRule type="cellIs" dxfId="1450" priority="160" operator="between">
      <formula>35.01%</formula>
      <formula>40%</formula>
    </cfRule>
    <cfRule type="expression" dxfId="1449" priority="161">
      <formula>U78&lt;20%</formula>
    </cfRule>
    <cfRule type="expression" dxfId="1448" priority="162">
      <formula>U78&gt;40%</formula>
    </cfRule>
  </conditionalFormatting>
  <conditionalFormatting sqref="U69">
    <cfRule type="cellIs" dxfId="1447" priority="155" operator="between">
      <formula>40</formula>
      <formula>44.99</formula>
    </cfRule>
    <cfRule type="cellIs" dxfId="1446" priority="156" operator="between">
      <formula>55.1</formula>
      <formula>60</formula>
    </cfRule>
    <cfRule type="expression" dxfId="1445" priority="157">
      <formula>U69&lt;40</formula>
    </cfRule>
    <cfRule type="expression" dxfId="1444" priority="158">
      <formula>U69&gt;60</formula>
    </cfRule>
  </conditionalFormatting>
  <conditionalFormatting sqref="U71">
    <cfRule type="cellIs" dxfId="1443" priority="151" operator="between">
      <formula>50</formula>
      <formula>54.99</formula>
    </cfRule>
    <cfRule type="cellIs" dxfId="1442" priority="152" operator="between">
      <formula>65.01</formula>
      <formula>70</formula>
    </cfRule>
    <cfRule type="expression" dxfId="1441" priority="153">
      <formula>U71&lt;50</formula>
    </cfRule>
    <cfRule type="expression" dxfId="1440" priority="154">
      <formula>U71&gt;70</formula>
    </cfRule>
  </conditionalFormatting>
  <conditionalFormatting sqref="AA68">
    <cfRule type="cellIs" dxfId="1439" priority="147" operator="between">
      <formula>40</formula>
      <formula>44.99</formula>
    </cfRule>
    <cfRule type="cellIs" dxfId="1438" priority="148" operator="between">
      <formula>55.1</formula>
      <formula>60</formula>
    </cfRule>
    <cfRule type="expression" dxfId="1437" priority="149">
      <formula>AA68&lt;40</formula>
    </cfRule>
    <cfRule type="expression" dxfId="1436" priority="150">
      <formula>AA68&gt;60</formula>
    </cfRule>
  </conditionalFormatting>
  <conditionalFormatting sqref="AA70">
    <cfRule type="cellIs" dxfId="1435" priority="143" operator="between">
      <formula>50</formula>
      <formula>54.99</formula>
    </cfRule>
    <cfRule type="cellIs" dxfId="1434" priority="144" operator="between">
      <formula>65.01</formula>
      <formula>70</formula>
    </cfRule>
    <cfRule type="expression" dxfId="1433" priority="145">
      <formula>AA70&lt;50</formula>
    </cfRule>
    <cfRule type="expression" dxfId="1432" priority="146">
      <formula>AA70&gt;70</formula>
    </cfRule>
  </conditionalFormatting>
  <conditionalFormatting sqref="AA72">
    <cfRule type="expression" dxfId="1431" priority="142" stopIfTrue="1">
      <formula>AA72&lt;135</formula>
    </cfRule>
  </conditionalFormatting>
  <conditionalFormatting sqref="AA72">
    <cfRule type="expression" dxfId="1430" priority="141" stopIfTrue="1">
      <formula>AA72&gt;145</formula>
    </cfRule>
  </conditionalFormatting>
  <conditionalFormatting sqref="AA73">
    <cfRule type="cellIs" dxfId="1429" priority="137" operator="between">
      <formula>6</formula>
      <formula>6.499</formula>
    </cfRule>
    <cfRule type="cellIs" dxfId="1428" priority="138" operator="between">
      <formula>7.51</formula>
      <formula>8</formula>
    </cfRule>
    <cfRule type="expression" dxfId="1427" priority="139">
      <formula>AA73&lt;6</formula>
    </cfRule>
    <cfRule type="expression" dxfId="1426" priority="140">
      <formula>AA73&gt;8</formula>
    </cfRule>
  </conditionalFormatting>
  <conditionalFormatting sqref="AA74">
    <cfRule type="cellIs" dxfId="1425" priority="133" operator="between">
      <formula>5</formula>
      <formula>5.499</formula>
    </cfRule>
    <cfRule type="cellIs" dxfId="1424" priority="134" operator="between">
      <formula>6.51</formula>
      <formula>8</formula>
    </cfRule>
    <cfRule type="expression" dxfId="1423" priority="135">
      <formula>AA74&lt;5</formula>
    </cfRule>
    <cfRule type="expression" dxfId="1422" priority="136">
      <formula>AA74&gt;8</formula>
    </cfRule>
  </conditionalFormatting>
  <conditionalFormatting sqref="AA75">
    <cfRule type="expression" dxfId="1421" priority="131">
      <formula>AA75&lt;2</formula>
    </cfRule>
    <cfRule type="expression" dxfId="1420" priority="132">
      <formula>AA75&gt;2.4</formula>
    </cfRule>
  </conditionalFormatting>
  <conditionalFormatting sqref="AA76:AA77">
    <cfRule type="expression" dxfId="1419" priority="129">
      <formula>AA76&lt;40%</formula>
    </cfRule>
    <cfRule type="expression" dxfId="1418" priority="130">
      <formula>AA76&gt;50%</formula>
    </cfRule>
  </conditionalFormatting>
  <conditionalFormatting sqref="AA79">
    <cfRule type="cellIs" dxfId="1417" priority="125" operator="between">
      <formula>0.5%</formula>
      <formula>0.599%</formula>
    </cfRule>
    <cfRule type="cellIs" dxfId="1416" priority="126" operator="between">
      <formula>1.41%</formula>
      <formula>1.5%</formula>
    </cfRule>
    <cfRule type="expression" dxfId="1415" priority="127">
      <formula>AA79&lt;0.5%</formula>
    </cfRule>
    <cfRule type="expression" dxfId="1414" priority="128">
      <formula>AA79&gt;1.5%</formula>
    </cfRule>
  </conditionalFormatting>
  <conditionalFormatting sqref="AA78">
    <cfRule type="cellIs" dxfId="1413" priority="121" operator="between">
      <formula>20%</formula>
      <formula>24.99%</formula>
    </cfRule>
    <cfRule type="cellIs" dxfId="1412" priority="122" operator="between">
      <formula>35.01%</formula>
      <formula>40%</formula>
    </cfRule>
    <cfRule type="expression" dxfId="1411" priority="123">
      <formula>AA78&lt;20%</formula>
    </cfRule>
    <cfRule type="expression" dxfId="1410" priority="124">
      <formula>AA78&gt;40%</formula>
    </cfRule>
  </conditionalFormatting>
  <conditionalFormatting sqref="AA69">
    <cfRule type="cellIs" dxfId="1409" priority="117" operator="between">
      <formula>40</formula>
      <formula>44.99</formula>
    </cfRule>
    <cfRule type="cellIs" dxfId="1408" priority="118" operator="between">
      <formula>55.1</formula>
      <formula>60</formula>
    </cfRule>
    <cfRule type="expression" dxfId="1407" priority="119">
      <formula>AA69&lt;40</formula>
    </cfRule>
    <cfRule type="expression" dxfId="1406" priority="120">
      <formula>AA69&gt;60</formula>
    </cfRule>
  </conditionalFormatting>
  <conditionalFormatting sqref="AA71">
    <cfRule type="cellIs" dxfId="1405" priority="113" operator="between">
      <formula>50</formula>
      <formula>54.99</formula>
    </cfRule>
    <cfRule type="cellIs" dxfId="1404" priority="114" operator="between">
      <formula>65.01</formula>
      <formula>70</formula>
    </cfRule>
    <cfRule type="expression" dxfId="1403" priority="115">
      <formula>AA71&lt;50</formula>
    </cfRule>
    <cfRule type="expression" dxfId="1402" priority="116">
      <formula>AA71&gt;70</formula>
    </cfRule>
  </conditionalFormatting>
  <conditionalFormatting sqref="AG68">
    <cfRule type="cellIs" dxfId="1401" priority="109" operator="between">
      <formula>40</formula>
      <formula>44.99</formula>
    </cfRule>
    <cfRule type="cellIs" dxfId="1400" priority="110" operator="between">
      <formula>55.1</formula>
      <formula>60</formula>
    </cfRule>
    <cfRule type="expression" dxfId="1399" priority="111">
      <formula>AG68&lt;40</formula>
    </cfRule>
    <cfRule type="expression" dxfId="1398" priority="112">
      <formula>AG68&gt;60</formula>
    </cfRule>
  </conditionalFormatting>
  <conditionalFormatting sqref="AG70">
    <cfRule type="cellIs" dxfId="1397" priority="105" operator="between">
      <formula>50</formula>
      <formula>54.99</formula>
    </cfRule>
    <cfRule type="cellIs" dxfId="1396" priority="106" operator="between">
      <formula>65.01</formula>
      <formula>70</formula>
    </cfRule>
    <cfRule type="expression" dxfId="1395" priority="107">
      <formula>AG70&lt;50</formula>
    </cfRule>
    <cfRule type="expression" dxfId="1394" priority="108">
      <formula>AG70&gt;70</formula>
    </cfRule>
  </conditionalFormatting>
  <conditionalFormatting sqref="AG72">
    <cfRule type="expression" dxfId="1393" priority="104" stopIfTrue="1">
      <formula>AG72&lt;135</formula>
    </cfRule>
  </conditionalFormatting>
  <conditionalFormatting sqref="AG72">
    <cfRule type="expression" dxfId="1392" priority="103" stopIfTrue="1">
      <formula>AG72&gt;145</formula>
    </cfRule>
  </conditionalFormatting>
  <conditionalFormatting sqref="AG73">
    <cfRule type="cellIs" dxfId="1391" priority="99" operator="between">
      <formula>6</formula>
      <formula>6.499</formula>
    </cfRule>
    <cfRule type="cellIs" dxfId="1390" priority="100" operator="between">
      <formula>7.51</formula>
      <formula>8</formula>
    </cfRule>
    <cfRule type="expression" dxfId="1389" priority="101">
      <formula>AG73&lt;6</formula>
    </cfRule>
    <cfRule type="expression" dxfId="1388" priority="102">
      <formula>AG73&gt;8</formula>
    </cfRule>
  </conditionalFormatting>
  <conditionalFormatting sqref="AG74">
    <cfRule type="cellIs" dxfId="1387" priority="95" operator="between">
      <formula>5</formula>
      <formula>5.499</formula>
    </cfRule>
    <cfRule type="cellIs" dxfId="1386" priority="96" operator="between">
      <formula>6.51</formula>
      <formula>8</formula>
    </cfRule>
    <cfRule type="expression" dxfId="1385" priority="97">
      <formula>AG74&lt;5</formula>
    </cfRule>
    <cfRule type="expression" dxfId="1384" priority="98">
      <formula>AG74&gt;8</formula>
    </cfRule>
  </conditionalFormatting>
  <conditionalFormatting sqref="AG75">
    <cfRule type="expression" dxfId="1383" priority="93">
      <formula>AG75&lt;2</formula>
    </cfRule>
    <cfRule type="expression" dxfId="1382" priority="94">
      <formula>AG75&gt;2.4</formula>
    </cfRule>
  </conditionalFormatting>
  <conditionalFormatting sqref="AG76:AG77">
    <cfRule type="expression" dxfId="1381" priority="91">
      <formula>AG76&lt;40%</formula>
    </cfRule>
    <cfRule type="expression" dxfId="1380" priority="92">
      <formula>AG76&gt;50%</formula>
    </cfRule>
  </conditionalFormatting>
  <conditionalFormatting sqref="AG79">
    <cfRule type="cellIs" dxfId="1379" priority="87" operator="between">
      <formula>0.5%</formula>
      <formula>0.599%</formula>
    </cfRule>
    <cfRule type="cellIs" dxfId="1378" priority="88" operator="between">
      <formula>1.41%</formula>
      <formula>1.5%</formula>
    </cfRule>
    <cfRule type="expression" dxfId="1377" priority="89">
      <formula>AG79&lt;0.5%</formula>
    </cfRule>
    <cfRule type="expression" dxfId="1376" priority="90">
      <formula>AG79&gt;1.5%</formula>
    </cfRule>
  </conditionalFormatting>
  <conditionalFormatting sqref="AG78">
    <cfRule type="cellIs" dxfId="1375" priority="83" operator="between">
      <formula>20%</formula>
      <formula>24.99%</formula>
    </cfRule>
    <cfRule type="cellIs" dxfId="1374" priority="84" operator="between">
      <formula>35.01%</formula>
      <formula>40%</formula>
    </cfRule>
    <cfRule type="expression" dxfId="1373" priority="85">
      <formula>AG78&lt;20%</formula>
    </cfRule>
    <cfRule type="expression" dxfId="1372" priority="86">
      <formula>AG78&gt;40%</formula>
    </cfRule>
  </conditionalFormatting>
  <conditionalFormatting sqref="AG69">
    <cfRule type="cellIs" dxfId="1371" priority="79" operator="between">
      <formula>40</formula>
      <formula>44.99</formula>
    </cfRule>
    <cfRule type="cellIs" dxfId="1370" priority="80" operator="between">
      <formula>55.1</formula>
      <formula>60</formula>
    </cfRule>
    <cfRule type="expression" dxfId="1369" priority="81">
      <formula>AG69&lt;40</formula>
    </cfRule>
    <cfRule type="expression" dxfId="1368" priority="82">
      <formula>AG69&gt;60</formula>
    </cfRule>
  </conditionalFormatting>
  <conditionalFormatting sqref="AG71">
    <cfRule type="cellIs" dxfId="1367" priority="75" operator="between">
      <formula>50</formula>
      <formula>54.99</formula>
    </cfRule>
    <cfRule type="cellIs" dxfId="1366" priority="76" operator="between">
      <formula>65.01</formula>
      <formula>70</formula>
    </cfRule>
    <cfRule type="expression" dxfId="1365" priority="77">
      <formula>AG71&lt;50</formula>
    </cfRule>
    <cfRule type="expression" dxfId="1364" priority="78">
      <formula>AG71&gt;70</formula>
    </cfRule>
  </conditionalFormatting>
  <conditionalFormatting sqref="AM68">
    <cfRule type="cellIs" dxfId="1363" priority="71" operator="between">
      <formula>40</formula>
      <formula>44.99</formula>
    </cfRule>
    <cfRule type="cellIs" dxfId="1362" priority="72" operator="between">
      <formula>55.1</formula>
      <formula>60</formula>
    </cfRule>
    <cfRule type="expression" dxfId="1361" priority="73">
      <formula>AM68&lt;40</formula>
    </cfRule>
    <cfRule type="expression" dxfId="1360" priority="74">
      <formula>AM68&gt;60</formula>
    </cfRule>
  </conditionalFormatting>
  <conditionalFormatting sqref="AM70">
    <cfRule type="cellIs" dxfId="1359" priority="67" operator="between">
      <formula>50</formula>
      <formula>54.99</formula>
    </cfRule>
    <cfRule type="cellIs" dxfId="1358" priority="68" operator="between">
      <formula>65.01</formula>
      <formula>70</formula>
    </cfRule>
    <cfRule type="expression" dxfId="1357" priority="69">
      <formula>AM70&lt;50</formula>
    </cfRule>
    <cfRule type="expression" dxfId="1356" priority="70">
      <formula>AM70&gt;70</formula>
    </cfRule>
  </conditionalFormatting>
  <conditionalFormatting sqref="AM72">
    <cfRule type="expression" dxfId="1355" priority="66" stopIfTrue="1">
      <formula>AM72&lt;135</formula>
    </cfRule>
  </conditionalFormatting>
  <conditionalFormatting sqref="AM72">
    <cfRule type="expression" dxfId="1354" priority="65" stopIfTrue="1">
      <formula>AM72&gt;145</formula>
    </cfRule>
  </conditionalFormatting>
  <conditionalFormatting sqref="AM73">
    <cfRule type="cellIs" dxfId="1353" priority="61" operator="between">
      <formula>6</formula>
      <formula>6.499</formula>
    </cfRule>
    <cfRule type="cellIs" dxfId="1352" priority="62" operator="between">
      <formula>7.51</formula>
      <formula>8</formula>
    </cfRule>
    <cfRule type="expression" dxfId="1351" priority="63">
      <formula>AM73&lt;6</formula>
    </cfRule>
    <cfRule type="expression" dxfId="1350" priority="64">
      <formula>AM73&gt;8</formula>
    </cfRule>
  </conditionalFormatting>
  <conditionalFormatting sqref="AM74">
    <cfRule type="cellIs" dxfId="1349" priority="57" operator="between">
      <formula>5</formula>
      <formula>5.499</formula>
    </cfRule>
    <cfRule type="cellIs" dxfId="1348" priority="58" operator="between">
      <formula>6.51</formula>
      <formula>8</formula>
    </cfRule>
    <cfRule type="expression" dxfId="1347" priority="59">
      <formula>AM74&lt;5</formula>
    </cfRule>
    <cfRule type="expression" dxfId="1346" priority="60">
      <formula>AM74&gt;8</formula>
    </cfRule>
  </conditionalFormatting>
  <conditionalFormatting sqref="AM75">
    <cfRule type="expression" dxfId="1345" priority="55">
      <formula>AM75&lt;2</formula>
    </cfRule>
    <cfRule type="expression" dxfId="1344" priority="56">
      <formula>AM75&gt;2.4</formula>
    </cfRule>
  </conditionalFormatting>
  <conditionalFormatting sqref="AM76:AM77">
    <cfRule type="expression" dxfId="1343" priority="53">
      <formula>AM76&lt;40%</formula>
    </cfRule>
    <cfRule type="expression" dxfId="1342" priority="54">
      <formula>AM76&gt;50%</formula>
    </cfRule>
  </conditionalFormatting>
  <conditionalFormatting sqref="AM79">
    <cfRule type="cellIs" dxfId="1341" priority="49" operator="between">
      <formula>0.5%</formula>
      <formula>0.599%</formula>
    </cfRule>
    <cfRule type="cellIs" dxfId="1340" priority="50" operator="between">
      <formula>1.41%</formula>
      <formula>1.5%</formula>
    </cfRule>
    <cfRule type="expression" dxfId="1339" priority="51">
      <formula>AM79&lt;0.5%</formula>
    </cfRule>
    <cfRule type="expression" dxfId="1338" priority="52">
      <formula>AM79&gt;1.5%</formula>
    </cfRule>
  </conditionalFormatting>
  <conditionalFormatting sqref="AM78">
    <cfRule type="cellIs" dxfId="1337" priority="45" operator="between">
      <formula>20%</formula>
      <formula>24.99%</formula>
    </cfRule>
    <cfRule type="cellIs" dxfId="1336" priority="46" operator="between">
      <formula>35.01%</formula>
      <formula>40%</formula>
    </cfRule>
    <cfRule type="expression" dxfId="1335" priority="47">
      <formula>AM78&lt;20%</formula>
    </cfRule>
    <cfRule type="expression" dxfId="1334" priority="48">
      <formula>AM78&gt;40%</formula>
    </cfRule>
  </conditionalFormatting>
  <conditionalFormatting sqref="AM69">
    <cfRule type="cellIs" dxfId="1333" priority="41" operator="between">
      <formula>40</formula>
      <formula>44.99</formula>
    </cfRule>
    <cfRule type="cellIs" dxfId="1332" priority="42" operator="between">
      <formula>55.1</formula>
      <formula>60</formula>
    </cfRule>
    <cfRule type="expression" dxfId="1331" priority="43">
      <formula>AM69&lt;40</formula>
    </cfRule>
    <cfRule type="expression" dxfId="1330" priority="44">
      <formula>AM69&gt;60</formula>
    </cfRule>
  </conditionalFormatting>
  <conditionalFormatting sqref="AM71">
    <cfRule type="cellIs" dxfId="1329" priority="37" operator="between">
      <formula>50</formula>
      <formula>54.99</formula>
    </cfRule>
    <cfRule type="cellIs" dxfId="1328" priority="38" operator="between">
      <formula>65.01</formula>
      <formula>70</formula>
    </cfRule>
    <cfRule type="expression" dxfId="1327" priority="39">
      <formula>AM71&lt;50</formula>
    </cfRule>
    <cfRule type="expression" dxfId="1326" priority="40">
      <formula>AM71&gt;70</formula>
    </cfRule>
  </conditionalFormatting>
  <conditionalFormatting sqref="I94">
    <cfRule type="cellIs" dxfId="1325" priority="33" operator="between">
      <formula>60</formula>
      <formula>61.9</formula>
    </cfRule>
    <cfRule type="cellIs" dxfId="1324" priority="34" operator="between">
      <formula>68.1</formula>
      <formula>70</formula>
    </cfRule>
    <cfRule type="expression" dxfId="1323" priority="35">
      <formula>I94&lt;60</formula>
    </cfRule>
    <cfRule type="expression" dxfId="1322" priority="36">
      <formula>I94&gt;70</formula>
    </cfRule>
  </conditionalFormatting>
  <conditionalFormatting sqref="L93 O93 R93 U93 X93 AA93 AD93 AG93 AJ93 AM93 AP93">
    <cfRule type="cellIs" dxfId="1321" priority="29" operator="between">
      <formula>60</formula>
      <formula>61.9</formula>
    </cfRule>
    <cfRule type="cellIs" dxfId="1320" priority="30" operator="between">
      <formula>68.1</formula>
      <formula>70</formula>
    </cfRule>
    <cfRule type="expression" dxfId="1319" priority="31">
      <formula>L93&lt;60</formula>
    </cfRule>
    <cfRule type="expression" dxfId="1318" priority="32">
      <formula>L93&gt;70</formula>
    </cfRule>
  </conditionalFormatting>
  <conditionalFormatting sqref="L94 O94 R94 U94 X94 AA94 AD94 AG94 AJ94 AM94 AP94">
    <cfRule type="cellIs" dxfId="1317" priority="25" operator="between">
      <formula>60</formula>
      <formula>61.9</formula>
    </cfRule>
    <cfRule type="cellIs" dxfId="1316" priority="26" operator="between">
      <formula>68.1</formula>
      <formula>70</formula>
    </cfRule>
    <cfRule type="expression" dxfId="1315" priority="27">
      <formula>L94&lt;60</formula>
    </cfRule>
    <cfRule type="expression" dxfId="1314" priority="28">
      <formula>L94&gt;70</formula>
    </cfRule>
  </conditionalFormatting>
  <conditionalFormatting sqref="I47">
    <cfRule type="expression" dxfId="1313" priority="23">
      <formula>I47&lt;5%</formula>
    </cfRule>
    <cfRule type="expression" dxfId="1312" priority="24">
      <formula>I47&gt;15%</formula>
    </cfRule>
  </conditionalFormatting>
  <conditionalFormatting sqref="I47">
    <cfRule type="cellIs" dxfId="1311" priority="21" operator="between">
      <formula>5%</formula>
      <formula>6.99%</formula>
    </cfRule>
    <cfRule type="cellIs" dxfId="1310" priority="22" operator="between">
      <formula>13.1%</formula>
      <formula>15%</formula>
    </cfRule>
  </conditionalFormatting>
  <conditionalFormatting sqref="O47">
    <cfRule type="expression" dxfId="1309" priority="19">
      <formula>O47&lt;5%</formula>
    </cfRule>
    <cfRule type="expression" dxfId="1308" priority="20">
      <formula>O47&gt;15%</formula>
    </cfRule>
  </conditionalFormatting>
  <conditionalFormatting sqref="O47">
    <cfRule type="cellIs" dxfId="1307" priority="17" operator="between">
      <formula>5%</formula>
      <formula>6.99%</formula>
    </cfRule>
    <cfRule type="cellIs" dxfId="1306" priority="18" operator="between">
      <formula>13.1%</formula>
      <formula>15%</formula>
    </cfRule>
  </conditionalFormatting>
  <conditionalFormatting sqref="AM47">
    <cfRule type="expression" dxfId="1305" priority="15">
      <formula>AM47&lt;5%</formula>
    </cfRule>
    <cfRule type="expression" dxfId="1304" priority="16">
      <formula>AM47&gt;15%</formula>
    </cfRule>
  </conditionalFormatting>
  <conditionalFormatting sqref="AM47">
    <cfRule type="cellIs" dxfId="1303" priority="13" operator="between">
      <formula>5%</formula>
      <formula>6.99%</formula>
    </cfRule>
    <cfRule type="cellIs" dxfId="1302" priority="14" operator="between">
      <formula>13.1%</formula>
      <formula>15%</formula>
    </cfRule>
  </conditionalFormatting>
  <conditionalFormatting sqref="AG47">
    <cfRule type="expression" dxfId="1301" priority="11">
      <formula>AG47&lt;5%</formula>
    </cfRule>
    <cfRule type="expression" dxfId="1300" priority="12">
      <formula>AG47&gt;15%</formula>
    </cfRule>
  </conditionalFormatting>
  <conditionalFormatting sqref="AG47">
    <cfRule type="cellIs" dxfId="1299" priority="9" operator="between">
      <formula>5%</formula>
      <formula>6.99%</formula>
    </cfRule>
    <cfRule type="cellIs" dxfId="1298" priority="10" operator="between">
      <formula>13.1%</formula>
      <formula>15%</formula>
    </cfRule>
  </conditionalFormatting>
  <conditionalFormatting sqref="AA47">
    <cfRule type="expression" dxfId="1297" priority="7">
      <formula>AA47&lt;5%</formula>
    </cfRule>
    <cfRule type="expression" dxfId="1296" priority="8">
      <formula>AA47&gt;15%</formula>
    </cfRule>
  </conditionalFormatting>
  <conditionalFormatting sqref="AA47">
    <cfRule type="cellIs" dxfId="1295" priority="5" operator="between">
      <formula>5%</formula>
      <formula>6.99%</formula>
    </cfRule>
    <cfRule type="cellIs" dxfId="1294" priority="6" operator="between">
      <formula>13.1%</formula>
      <formula>15%</formula>
    </cfRule>
  </conditionalFormatting>
  <conditionalFormatting sqref="U47">
    <cfRule type="expression" dxfId="1293" priority="3">
      <formula>U47&lt;5%</formula>
    </cfRule>
    <cfRule type="expression" dxfId="1292" priority="4">
      <formula>U47&gt;15%</formula>
    </cfRule>
  </conditionalFormatting>
  <conditionalFormatting sqref="U47">
    <cfRule type="cellIs" dxfId="1291" priority="1" operator="between">
      <formula>5%</formula>
      <formula>6.99%</formula>
    </cfRule>
    <cfRule type="cellIs" dxfId="1290" priority="2" operator="between">
      <formula>13.1%</formula>
      <formula>15%</formula>
    </cfRule>
  </conditionalFormatting>
  <hyperlinks>
    <hyperlink ref="AT14" r:id="rId1"/>
    <hyperlink ref="AT16" r:id="rId2"/>
    <hyperlink ref="AT17" r:id="rId3"/>
    <hyperlink ref="AT45" r:id="rId4"/>
    <hyperlink ref="AT47" r:id="rId5"/>
    <hyperlink ref="AT48" r:id="rId6"/>
    <hyperlink ref="AT79" r:id="rId7"/>
    <hyperlink ref="AT76:AT78" r:id="rId8" display="D:\2. Data hoa nghiem\1. PP HÓA NGHIỆM CÁC BỒN-XLBM\HCL đặc, loãng-XT.pdf"/>
    <hyperlink ref="AT12" r:id="rId9"/>
    <hyperlink ref="AT6:AT9" r:id="rId10" display="D:\2. Data hoa nghiem\1. PP HÓA NGHIỆM CÁC BỒN-XLBM\JASCO-XB,ĐG-XL-1E.pdf"/>
    <hyperlink ref="AT11" r:id="rId11"/>
    <hyperlink ref="AT42" r:id="rId12"/>
    <hyperlink ref="AT73" r:id="rId13"/>
    <hyperlink ref="AT84" r:id="rId14"/>
    <hyperlink ref="AT86" r:id="rId15"/>
    <hyperlink ref="AT10" r:id="rId16"/>
    <hyperlink ref="AT41" r:id="rId17"/>
    <hyperlink ref="AT72" r:id="rId18"/>
    <hyperlink ref="AT37:AT40" r:id="rId19" display="..\..\..\2. Data hoa nghiem\1. PP HÓA NGHIỆM CÁC BỒN-XLBM\XB,ĐG-1F,XT.pdf"/>
    <hyperlink ref="AT68:AT71" r:id="rId20" display="..\..\..\2. Data hoa nghiem\1. PP HÓA NGHIỆM CÁC BỒN-XLBM\XB,ĐG-1F,XT.pdf"/>
    <hyperlink ref="AT74" r:id="rId21"/>
    <hyperlink ref="AT43" r:id="rId22"/>
  </hyperlinks>
  <printOptions horizontalCentered="1"/>
  <pageMargins left="0.26" right="0.16" top="0.3" bottom="0.45" header="0.17" footer="0.27559055118110237"/>
  <pageSetup paperSize="9" scale="42" orientation="portrait" verticalDpi="300" r:id="rId23"/>
  <headerFooter alignWithMargins="0"/>
  <drawing r:id="rId24"/>
</worksheet>
</file>

<file path=xl/worksheets/sheet27.xml><?xml version="1.0" encoding="utf-8"?>
<worksheet xmlns="http://schemas.openxmlformats.org/spreadsheetml/2006/main" xmlns:r="http://schemas.openxmlformats.org/officeDocument/2006/relationships">
  <sheetPr codeName="Sheet14">
    <tabColor rgb="FFFFC000"/>
  </sheetPr>
  <dimension ref="A1:K221"/>
  <sheetViews>
    <sheetView workbookViewId="0"/>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26" t="str">
        <f>'1. XL-1E kh'!G3</f>
        <v>2023/03/21</v>
      </c>
    </row>
    <row r="2" spans="1:9" ht="26.25" customHeight="1"/>
    <row r="3" spans="1:9" ht="36" customHeight="1">
      <c r="A3" s="175"/>
      <c r="B3" s="277" t="s">
        <v>234</v>
      </c>
      <c r="C3" s="176"/>
      <c r="D3" s="160" t="s">
        <v>171</v>
      </c>
      <c r="E3" s="161"/>
      <c r="F3" s="161"/>
      <c r="G3" s="161"/>
      <c r="H3" s="161"/>
      <c r="I3" s="162"/>
    </row>
    <row r="4" spans="1:9" ht="21.75" customHeight="1" thickBot="1">
      <c r="A4" s="196"/>
      <c r="B4" s="176"/>
      <c r="C4" s="197"/>
      <c r="D4" s="171">
        <v>0.25</v>
      </c>
      <c r="E4" s="171">
        <v>0.41666666666666669</v>
      </c>
      <c r="F4" s="171">
        <v>0.58333333333333337</v>
      </c>
      <c r="G4" s="171">
        <v>0.75</v>
      </c>
      <c r="H4" s="171">
        <v>0.91666666666666663</v>
      </c>
      <c r="I4" s="172">
        <v>8.3333333333333329E-2</v>
      </c>
    </row>
    <row r="5" spans="1:9" ht="27" customHeight="1">
      <c r="A5" s="2405">
        <v>1</v>
      </c>
      <c r="B5" s="2407" t="s">
        <v>147</v>
      </c>
      <c r="C5" s="195" t="s">
        <v>108</v>
      </c>
      <c r="D5" s="199">
        <f>'1. XL-1E kh'!I6</f>
        <v>0</v>
      </c>
      <c r="E5" s="200">
        <f>'1. XL-1E kh'!Q6</f>
        <v>0</v>
      </c>
      <c r="F5" s="200">
        <f>'1. XL-1E kh'!Y6</f>
        <v>0</v>
      </c>
      <c r="G5" s="200">
        <f>'1. XL-1E kh'!I44</f>
        <v>0</v>
      </c>
      <c r="H5" s="200">
        <f>'1. XL-1E kh'!Q44</f>
        <v>0</v>
      </c>
      <c r="I5" s="201">
        <f>'1. XL-1E kh'!Y44</f>
        <v>0</v>
      </c>
    </row>
    <row r="6" spans="1:9" ht="21.75" hidden="1" customHeight="1">
      <c r="A6" s="2406"/>
      <c r="B6" s="2408"/>
      <c r="C6" s="198" t="s">
        <v>144</v>
      </c>
      <c r="D6" s="202">
        <f>'1. XL-1E kh'!I8</f>
        <v>0</v>
      </c>
      <c r="E6" s="153">
        <f>'1. XL-1E kh'!Q8</f>
        <v>0</v>
      </c>
      <c r="F6" s="153">
        <f>'1. XL-1E kh'!Y8</f>
        <v>0</v>
      </c>
      <c r="G6" s="153">
        <f>'1. XL-1E kh'!I46</f>
        <v>0</v>
      </c>
      <c r="H6" s="153">
        <f>'1. XL-1E kh'!Q46</f>
        <v>0</v>
      </c>
      <c r="I6" s="203">
        <f>'1. XL-1E kh'!Y46</f>
        <v>0</v>
      </c>
    </row>
    <row r="7" spans="1:9" ht="21.75" hidden="1" customHeight="1">
      <c r="A7" s="2321">
        <v>2</v>
      </c>
      <c r="B7" s="2409" t="s">
        <v>161</v>
      </c>
      <c r="C7" s="178" t="s">
        <v>108</v>
      </c>
      <c r="D7" s="204">
        <f>'1. XL-1E kh'!I9</f>
        <v>0</v>
      </c>
      <c r="E7" s="152">
        <f>'1. XL-1E kh'!Q9</f>
        <v>0</v>
      </c>
      <c r="F7" s="152">
        <f>'1. XL-1E kh'!Y9</f>
        <v>0</v>
      </c>
      <c r="G7" s="152">
        <f>'1. XL-1E kh'!I47</f>
        <v>0</v>
      </c>
      <c r="H7" s="152">
        <f>'1. XL-1E kh'!Q47</f>
        <v>0</v>
      </c>
      <c r="I7" s="205">
        <f>'1. XL-1E kh'!Y47</f>
        <v>0</v>
      </c>
    </row>
    <row r="8" spans="1:9" ht="21.75" hidden="1" customHeight="1">
      <c r="A8" s="2318"/>
      <c r="B8" s="2399"/>
      <c r="C8" s="155" t="s">
        <v>144</v>
      </c>
      <c r="D8" s="204">
        <f>'1. XL-1E kh'!I11</f>
        <v>0</v>
      </c>
      <c r="E8" s="152">
        <f>'1. XL-1E kh'!Q11</f>
        <v>0</v>
      </c>
      <c r="F8" s="152">
        <f>'1. XL-1E kh'!Y11</f>
        <v>0</v>
      </c>
      <c r="G8" s="152">
        <f>'1. XL-1E kh'!I49</f>
        <v>0</v>
      </c>
      <c r="H8" s="152">
        <f>'1. XL-1E kh'!Q49</f>
        <v>0</v>
      </c>
      <c r="I8" s="205">
        <f>'1. XL-1E kh'!Y49</f>
        <v>0</v>
      </c>
    </row>
    <row r="9" spans="1:9" ht="21.75" hidden="1" customHeight="1">
      <c r="A9" s="2317">
        <v>3</v>
      </c>
      <c r="B9" s="2398" t="s">
        <v>159</v>
      </c>
      <c r="C9" s="154" t="s">
        <v>108</v>
      </c>
      <c r="D9" s="204">
        <f>'1. XL-1E kh'!I12</f>
        <v>0</v>
      </c>
      <c r="E9" s="152">
        <f>'1. XL-1E kh'!Q12</f>
        <v>0</v>
      </c>
      <c r="F9" s="152">
        <f>'1. XL-1E kh'!Y12</f>
        <v>0</v>
      </c>
      <c r="G9" s="152">
        <f>'1. XL-1E kh'!I50</f>
        <v>0</v>
      </c>
      <c r="H9" s="152">
        <f>'1. XL-1E kh'!Q50</f>
        <v>0</v>
      </c>
      <c r="I9" s="205">
        <f>'1. XL-1E kh'!Y50</f>
        <v>0</v>
      </c>
    </row>
    <row r="10" spans="1:9" ht="21.75" hidden="1" customHeight="1">
      <c r="A10" s="2318"/>
      <c r="B10" s="2399"/>
      <c r="C10" s="155" t="s">
        <v>144</v>
      </c>
      <c r="D10" s="204">
        <f>'1. XL-1E kh'!I13</f>
        <v>0</v>
      </c>
      <c r="E10" s="152">
        <f>'1. XL-1E kh'!Q13</f>
        <v>0</v>
      </c>
      <c r="F10" s="152">
        <f>'1. XL-1E kh'!Y13</f>
        <v>0</v>
      </c>
      <c r="G10" s="152">
        <f>'1. XL-1E kh'!I51</f>
        <v>0</v>
      </c>
      <c r="H10" s="152">
        <f>'1. XL-1E kh'!Q51</f>
        <v>0</v>
      </c>
      <c r="I10" s="205">
        <f>'1. XL-1E kh'!Y51</f>
        <v>0</v>
      </c>
    </row>
    <row r="11" spans="1:9" ht="21.75" hidden="1" customHeight="1">
      <c r="A11" s="2317">
        <v>4</v>
      </c>
      <c r="B11" s="2398" t="s">
        <v>160</v>
      </c>
      <c r="C11" s="154" t="s">
        <v>108</v>
      </c>
      <c r="D11" s="204">
        <f>'1. XL-1E kh'!I14</f>
        <v>0</v>
      </c>
      <c r="E11" s="152">
        <f>'1. XL-1E kh'!Q14</f>
        <v>0</v>
      </c>
      <c r="F11" s="152">
        <f>'1. XL-1E kh'!Y14</f>
        <v>0</v>
      </c>
      <c r="G11" s="152">
        <f>'1. XL-1E kh'!I52</f>
        <v>0</v>
      </c>
      <c r="H11" s="152">
        <f>'1. XL-1E kh'!Q52</f>
        <v>0</v>
      </c>
      <c r="I11" s="205">
        <f>'1. XL-1E kh'!Y52</f>
        <v>0</v>
      </c>
    </row>
    <row r="12" spans="1:9" ht="21.75" hidden="1" customHeight="1">
      <c r="A12" s="2318"/>
      <c r="B12" s="2399"/>
      <c r="C12" s="155" t="s">
        <v>144</v>
      </c>
      <c r="D12" s="204">
        <f>'1. XL-1E kh'!I15</f>
        <v>0</v>
      </c>
      <c r="E12" s="152">
        <f>'1. XL-1E kh'!Q15</f>
        <v>0</v>
      </c>
      <c r="F12" s="152">
        <f>'1. XL-1E kh'!Y15</f>
        <v>0</v>
      </c>
      <c r="G12" s="152">
        <f>'1. XL-1E kh'!I53</f>
        <v>0</v>
      </c>
      <c r="H12" s="152">
        <f>'1. XL-1E kh'!Q53</f>
        <v>0</v>
      </c>
      <c r="I12" s="205">
        <f>'1. XL-1E kh'!Y53</f>
        <v>0</v>
      </c>
    </row>
    <row r="13" spans="1:9" ht="21.75" hidden="1" customHeight="1">
      <c r="A13" s="2317">
        <v>5</v>
      </c>
      <c r="B13" s="2208" t="s">
        <v>103</v>
      </c>
      <c r="C13" s="127" t="s">
        <v>102</v>
      </c>
      <c r="D13" s="204">
        <f>'1. XL-1E kh'!I16</f>
        <v>0</v>
      </c>
      <c r="E13" s="152">
        <f>'1. XL-1E kh'!Q16</f>
        <v>0</v>
      </c>
      <c r="F13" s="152">
        <f>'1. XL-1E kh'!Y16</f>
        <v>0</v>
      </c>
      <c r="G13" s="152">
        <f>'1. XL-1E kh'!I54</f>
        <v>0</v>
      </c>
      <c r="H13" s="152">
        <f>'1. XL-1E kh'!Q54</f>
        <v>0</v>
      </c>
      <c r="I13" s="205">
        <f>'1. XL-1E kh'!Y54</f>
        <v>0</v>
      </c>
    </row>
    <row r="14" spans="1:9" ht="21.75" hidden="1" customHeight="1">
      <c r="A14" s="2318"/>
      <c r="B14" s="2209"/>
      <c r="C14" s="127" t="s">
        <v>60</v>
      </c>
      <c r="D14" s="204">
        <f>'1. XL-1E kh'!I17</f>
        <v>0</v>
      </c>
      <c r="E14" s="152">
        <f>'1. XL-1E kh'!Q17</f>
        <v>0</v>
      </c>
      <c r="F14" s="152">
        <f>'1. XL-1E kh'!Y17</f>
        <v>0</v>
      </c>
      <c r="G14" s="152">
        <f>'1. XL-1E kh'!I55</f>
        <v>0</v>
      </c>
      <c r="H14" s="152">
        <f>'1. XL-1E kh'!Q55</f>
        <v>0</v>
      </c>
      <c r="I14" s="205">
        <f>'1. XL-1E kh'!Y55</f>
        <v>0</v>
      </c>
    </row>
    <row r="15" spans="1:9" ht="21.75" hidden="1" customHeight="1">
      <c r="A15" s="2317">
        <v>6</v>
      </c>
      <c r="B15" s="2400" t="s">
        <v>104</v>
      </c>
      <c r="C15" s="2164"/>
      <c r="D15" s="204">
        <f>'1. XL-1E kh'!I18</f>
        <v>0</v>
      </c>
      <c r="E15" s="152">
        <f>'1. XL-1E kh'!Q18</f>
        <v>0</v>
      </c>
      <c r="F15" s="152">
        <f>'1. XL-1E kh'!Y18</f>
        <v>0</v>
      </c>
      <c r="G15" s="152">
        <f>'1. XL-1E kh'!I56</f>
        <v>0</v>
      </c>
      <c r="H15" s="152">
        <f>'1. XL-1E kh'!Q56</f>
        <v>0</v>
      </c>
      <c r="I15" s="205">
        <f>'1. XL-1E kh'!Y56</f>
        <v>0</v>
      </c>
    </row>
    <row r="16" spans="1:9" ht="21.75" hidden="1" customHeight="1">
      <c r="A16" s="2318"/>
      <c r="B16" s="2401"/>
      <c r="C16" s="2329"/>
      <c r="D16" s="204">
        <f>'1. XL-1E kh'!I19</f>
        <v>0</v>
      </c>
      <c r="E16" s="152">
        <f>'1. XL-1E kh'!Q19</f>
        <v>0</v>
      </c>
      <c r="F16" s="152">
        <f>'1. XL-1E kh'!Y19</f>
        <v>0</v>
      </c>
      <c r="G16" s="152">
        <f>'1. XL-1E kh'!I57</f>
        <v>0</v>
      </c>
      <c r="H16" s="152">
        <f>'1. XL-1E kh'!Q57</f>
        <v>0</v>
      </c>
      <c r="I16" s="205">
        <f>'1. XL-1E kh'!Y57</f>
        <v>0</v>
      </c>
    </row>
    <row r="17" spans="1:9" ht="21.75" hidden="1" customHeight="1">
      <c r="A17" s="121">
        <v>7</v>
      </c>
      <c r="B17" s="2162" t="s">
        <v>61</v>
      </c>
      <c r="C17" s="2397"/>
      <c r="D17" s="204">
        <f>'1. XL-1E kh'!I20</f>
        <v>0</v>
      </c>
      <c r="E17" s="152">
        <f>'1. XL-1E kh'!Q20</f>
        <v>0</v>
      </c>
      <c r="F17" s="152">
        <f>'1. XL-1E kh'!Y20</f>
        <v>0</v>
      </c>
      <c r="G17" s="152">
        <f>'1. XL-1E kh'!I58</f>
        <v>0</v>
      </c>
      <c r="H17" s="152">
        <f>'1. XL-1E kh'!Q58</f>
        <v>0</v>
      </c>
      <c r="I17" s="205">
        <f>'1. XL-1E kh'!Y58</f>
        <v>0</v>
      </c>
    </row>
    <row r="18" spans="1:9" ht="21.75" hidden="1" customHeight="1">
      <c r="A18" s="121">
        <v>8</v>
      </c>
      <c r="B18" s="2162" t="s">
        <v>62</v>
      </c>
      <c r="C18" s="2397"/>
      <c r="D18" s="204">
        <f>'1. XL-1E kh'!I21</f>
        <v>0</v>
      </c>
      <c r="E18" s="152">
        <f>'1. XL-1E kh'!Q21</f>
        <v>0</v>
      </c>
      <c r="F18" s="152">
        <f>'1. XL-1E kh'!Y21</f>
        <v>0</v>
      </c>
      <c r="G18" s="152">
        <f>'1. XL-1E kh'!I59</f>
        <v>0</v>
      </c>
      <c r="H18" s="152">
        <f>'1. XL-1E kh'!Q59</f>
        <v>0</v>
      </c>
      <c r="I18" s="205">
        <f>'1. XL-1E kh'!Y59</f>
        <v>0</v>
      </c>
    </row>
    <row r="19" spans="1:9" ht="21.75" hidden="1" customHeight="1">
      <c r="A19" s="121">
        <v>9</v>
      </c>
      <c r="B19" s="2162" t="s">
        <v>63</v>
      </c>
      <c r="C19" s="2397"/>
      <c r="D19" s="204">
        <f>'1. XL-1E kh'!I22</f>
        <v>0</v>
      </c>
      <c r="E19" s="152">
        <f>'1. XL-1E kh'!Q22</f>
        <v>0</v>
      </c>
      <c r="F19" s="152">
        <f>'1. XL-1E kh'!Y22</f>
        <v>0</v>
      </c>
      <c r="G19" s="152">
        <f>'1. XL-1E kh'!I60</f>
        <v>0</v>
      </c>
      <c r="H19" s="152">
        <f>'1. XL-1E kh'!Q60</f>
        <v>0</v>
      </c>
      <c r="I19" s="205">
        <f>'1. XL-1E kh'!Y60</f>
        <v>0</v>
      </c>
    </row>
    <row r="20" spans="1:9" ht="21.75" hidden="1" customHeight="1">
      <c r="A20" s="121">
        <v>10</v>
      </c>
      <c r="B20" s="2162" t="s">
        <v>105</v>
      </c>
      <c r="C20" s="2397"/>
      <c r="D20" s="204">
        <f>'1. XL-1E kh'!I23</f>
        <v>0</v>
      </c>
      <c r="E20" s="152">
        <f>'1. XL-1E kh'!Q23</f>
        <v>0</v>
      </c>
      <c r="F20" s="152">
        <f>'1. XL-1E kh'!Y23</f>
        <v>0</v>
      </c>
      <c r="G20" s="152">
        <f>'1. XL-1E kh'!I61</f>
        <v>0</v>
      </c>
      <c r="H20" s="152">
        <f>'1. XL-1E kh'!Q61</f>
        <v>0</v>
      </c>
      <c r="I20" s="205">
        <f>'1. XL-1E kh'!Y61</f>
        <v>0</v>
      </c>
    </row>
    <row r="21" spans="1:9" ht="21.75" hidden="1" customHeight="1">
      <c r="A21" s="2402" t="s">
        <v>76</v>
      </c>
      <c r="B21" s="2402"/>
      <c r="C21" s="2403"/>
      <c r="D21" s="206" t="s">
        <v>173</v>
      </c>
      <c r="E21" s="161"/>
      <c r="F21" s="161"/>
      <c r="G21" s="161"/>
      <c r="H21" s="161"/>
      <c r="I21" s="207"/>
    </row>
    <row r="22" spans="1:9" ht="21.75" hidden="1" customHeight="1">
      <c r="A22" s="157" t="s">
        <v>7</v>
      </c>
      <c r="B22" s="2403" t="s">
        <v>64</v>
      </c>
      <c r="C22" s="2404"/>
      <c r="D22" s="208">
        <v>0.25</v>
      </c>
      <c r="E22" s="164">
        <v>0.41666666666666669</v>
      </c>
      <c r="F22" s="164">
        <v>0.58333333333333337</v>
      </c>
      <c r="G22" s="164">
        <v>0.75</v>
      </c>
      <c r="H22" s="164">
        <v>0.91666666666666663</v>
      </c>
      <c r="I22" s="209">
        <v>8.3333333333333329E-2</v>
      </c>
    </row>
    <row r="23" spans="1:9" ht="21.75" hidden="1" customHeight="1">
      <c r="A23" s="121">
        <v>1</v>
      </c>
      <c r="B23" s="2193" t="s">
        <v>68</v>
      </c>
      <c r="C23" s="2194"/>
      <c r="D23" s="204">
        <f>'1. XL-1E kh'!I26</f>
        <v>0</v>
      </c>
      <c r="E23" s="152">
        <f>'1. XL-1E kh'!Q26</f>
        <v>0</v>
      </c>
      <c r="F23" s="152">
        <f>'1. XL-1E kh'!Y26</f>
        <v>0</v>
      </c>
      <c r="G23" s="152">
        <f>'1. XL-1E kh'!I64</f>
        <v>0</v>
      </c>
      <c r="H23" s="152">
        <f>'1. XL-1E kh'!Q64</f>
        <v>0</v>
      </c>
      <c r="I23" s="205">
        <f>'1. XL-1E kh'!Y64</f>
        <v>0</v>
      </c>
    </row>
    <row r="24" spans="1:9" ht="21.75" hidden="1" customHeight="1">
      <c r="A24" s="121">
        <v>2</v>
      </c>
      <c r="B24" s="2193" t="s">
        <v>69</v>
      </c>
      <c r="C24" s="2194" t="s">
        <v>69</v>
      </c>
      <c r="D24" s="204">
        <f>'1. XL-1E kh'!I27</f>
        <v>0</v>
      </c>
      <c r="E24" s="152">
        <f>'1. XL-1E kh'!Q27</f>
        <v>0</v>
      </c>
      <c r="F24" s="152">
        <f>'1. XL-1E kh'!Y27</f>
        <v>0</v>
      </c>
      <c r="G24" s="152">
        <f>'1. XL-1E kh'!I65</f>
        <v>0</v>
      </c>
      <c r="H24" s="152">
        <f>'1. XL-1E kh'!Q65</f>
        <v>0</v>
      </c>
      <c r="I24" s="205">
        <f>'1. XL-1E kh'!Y65</f>
        <v>0</v>
      </c>
    </row>
    <row r="25" spans="1:9" ht="21.75" hidden="1" customHeight="1">
      <c r="A25" s="121">
        <v>3</v>
      </c>
      <c r="B25" s="2193" t="s">
        <v>71</v>
      </c>
      <c r="C25" s="2194" t="s">
        <v>71</v>
      </c>
      <c r="D25" s="204">
        <f>'1. XL-1E kh'!I28</f>
        <v>0</v>
      </c>
      <c r="E25" s="152">
        <f>'1. XL-1E kh'!Q28</f>
        <v>0</v>
      </c>
      <c r="F25" s="152">
        <f>'1. XL-1E kh'!Y28</f>
        <v>0</v>
      </c>
      <c r="G25" s="152">
        <f>'1. XL-1E kh'!I66</f>
        <v>0</v>
      </c>
      <c r="H25" s="152">
        <f>'1. XL-1E kh'!Q66</f>
        <v>0</v>
      </c>
      <c r="I25" s="205">
        <f>'1. XL-1E kh'!Y66</f>
        <v>0</v>
      </c>
    </row>
    <row r="26" spans="1:9" ht="21.75" hidden="1" customHeight="1">
      <c r="A26" s="121">
        <v>4</v>
      </c>
      <c r="B26" s="2193" t="s">
        <v>70</v>
      </c>
      <c r="C26" s="2194" t="s">
        <v>70</v>
      </c>
      <c r="D26" s="204">
        <f>'1. XL-1E kh'!I29</f>
        <v>0</v>
      </c>
      <c r="E26" s="152">
        <f>'1. XL-1E kh'!Q29</f>
        <v>0</v>
      </c>
      <c r="F26" s="152">
        <f>'1. XL-1E kh'!Y29</f>
        <v>0</v>
      </c>
      <c r="G26" s="152">
        <f>'1. XL-1E kh'!I67</f>
        <v>0</v>
      </c>
      <c r="H26" s="152">
        <f>'1. XL-1E kh'!Q67</f>
        <v>0</v>
      </c>
      <c r="I26" s="205">
        <f>'1. XL-1E kh'!Y67</f>
        <v>0</v>
      </c>
    </row>
    <row r="27" spans="1:9" ht="21.75" hidden="1" customHeight="1">
      <c r="A27" s="121">
        <v>5</v>
      </c>
      <c r="B27" s="2193" t="s">
        <v>72</v>
      </c>
      <c r="C27" s="2194" t="s">
        <v>72</v>
      </c>
      <c r="D27" s="204">
        <f>'1. XL-1E kh'!I30</f>
        <v>0</v>
      </c>
      <c r="E27" s="152">
        <f>'1. XL-1E kh'!Q30</f>
        <v>0</v>
      </c>
      <c r="F27" s="152">
        <f>'1. XL-1E kh'!Y30</f>
        <v>0</v>
      </c>
      <c r="G27" s="152">
        <f>'1. XL-1E kh'!I68</f>
        <v>0</v>
      </c>
      <c r="H27" s="152">
        <f>'1. XL-1E kh'!Q68</f>
        <v>0</v>
      </c>
      <c r="I27" s="205">
        <f>'1. XL-1E kh'!Y68</f>
        <v>0</v>
      </c>
    </row>
    <row r="28" spans="1:9" ht="21.75" hidden="1" customHeight="1">
      <c r="A28" s="121">
        <v>6</v>
      </c>
      <c r="B28" s="2193" t="s">
        <v>91</v>
      </c>
      <c r="C28" s="2194" t="s">
        <v>91</v>
      </c>
      <c r="D28" s="204">
        <f>'1. XL-1E kh'!I31</f>
        <v>0</v>
      </c>
      <c r="E28" s="152">
        <f>'1. XL-1E kh'!Q31</f>
        <v>0</v>
      </c>
      <c r="F28" s="152">
        <f>'1. XL-1E kh'!Y31</f>
        <v>0</v>
      </c>
      <c r="G28" s="152">
        <f>'1. XL-1E kh'!I69</f>
        <v>0</v>
      </c>
      <c r="H28" s="152">
        <f>'1. XL-1E kh'!Q69</f>
        <v>0</v>
      </c>
      <c r="I28" s="205">
        <f>'1. XL-1E kh'!Y69</f>
        <v>0</v>
      </c>
    </row>
    <row r="29" spans="1:9" ht="21.75" hidden="1" customHeight="1">
      <c r="A29" s="121">
        <v>7</v>
      </c>
      <c r="B29" s="2193" t="s">
        <v>73</v>
      </c>
      <c r="C29" s="2194" t="s">
        <v>73</v>
      </c>
      <c r="D29" s="204">
        <f>'1. XL-1E kh'!I32</f>
        <v>0</v>
      </c>
      <c r="E29" s="152">
        <f>'1. XL-1E kh'!Q32</f>
        <v>0</v>
      </c>
      <c r="F29" s="152">
        <f>'1. XL-1E kh'!Y32</f>
        <v>0</v>
      </c>
      <c r="G29" s="152">
        <f>'1. XL-1E kh'!I70</f>
        <v>0</v>
      </c>
      <c r="H29" s="152">
        <f>'1. XL-1E kh'!Q70</f>
        <v>0</v>
      </c>
      <c r="I29" s="205">
        <f>'1. XL-1E kh'!Y70</f>
        <v>0</v>
      </c>
    </row>
    <row r="30" spans="1:9" ht="21.75" hidden="1" customHeight="1">
      <c r="A30" s="121">
        <v>8</v>
      </c>
      <c r="B30" s="2193" t="s">
        <v>74</v>
      </c>
      <c r="C30" s="2194" t="s">
        <v>74</v>
      </c>
      <c r="D30" s="204">
        <f>'1. XL-1E kh'!K33</f>
        <v>0</v>
      </c>
      <c r="E30" s="152">
        <f>'1. XL-1E kh'!S33</f>
        <v>0</v>
      </c>
      <c r="F30" s="152">
        <f>'1. XL-1E kh'!AA33</f>
        <v>0</v>
      </c>
      <c r="G30" s="152">
        <f>'1. XL-1E kh'!K71</f>
        <v>0</v>
      </c>
      <c r="H30" s="152">
        <f>'1. XL-1E kh'!S71</f>
        <v>0</v>
      </c>
      <c r="I30" s="205">
        <f>'1. XL-1E kh'!AA71</f>
        <v>0</v>
      </c>
    </row>
    <row r="31" spans="1:9" ht="21.75" hidden="1" customHeight="1">
      <c r="A31" s="2402" t="s">
        <v>78</v>
      </c>
      <c r="B31" s="2402"/>
      <c r="C31" s="2403"/>
      <c r="D31" s="206" t="s">
        <v>174</v>
      </c>
      <c r="E31" s="161"/>
      <c r="F31" s="161"/>
      <c r="G31" s="161"/>
      <c r="H31" s="161"/>
      <c r="I31" s="207"/>
    </row>
    <row r="32" spans="1:9" ht="21.75" hidden="1" customHeight="1">
      <c r="A32" s="157" t="s">
        <v>7</v>
      </c>
      <c r="B32" s="2403" t="s">
        <v>100</v>
      </c>
      <c r="C32" s="2404"/>
      <c r="D32" s="210">
        <v>0.25</v>
      </c>
      <c r="E32" s="156">
        <v>0.41666666666666669</v>
      </c>
      <c r="F32" s="156">
        <v>0.58333333333333337</v>
      </c>
      <c r="G32" s="156">
        <v>0.75</v>
      </c>
      <c r="H32" s="156">
        <v>0.91666666666666663</v>
      </c>
      <c r="I32" s="211">
        <v>8.3333333333333329E-2</v>
      </c>
    </row>
    <row r="33" spans="1:9" ht="21.75" hidden="1" customHeight="1">
      <c r="A33" s="121">
        <v>1</v>
      </c>
      <c r="B33" s="2162" t="s">
        <v>106</v>
      </c>
      <c r="C33" s="2163"/>
      <c r="D33" s="204">
        <f>'1. XL-1E kh'!I36</f>
        <v>0</v>
      </c>
      <c r="E33" s="152">
        <f>'1. XL-1E kh'!Q36</f>
        <v>0</v>
      </c>
      <c r="F33" s="152">
        <f>'1. XL-1E kh'!Y36</f>
        <v>0</v>
      </c>
      <c r="G33" s="152">
        <f>'1. XL-1E kh'!I74</f>
        <v>0</v>
      </c>
      <c r="H33" s="152">
        <f>'1. XL-1E kh'!Q74</f>
        <v>0</v>
      </c>
      <c r="I33" s="205">
        <f>'1. XL-1E kh'!Y74</f>
        <v>0</v>
      </c>
    </row>
    <row r="34" spans="1:9" ht="21.75" hidden="1" customHeight="1">
      <c r="A34" s="121">
        <v>2</v>
      </c>
      <c r="B34" s="2162" t="s">
        <v>107</v>
      </c>
      <c r="C34" s="2163"/>
      <c r="D34" s="204">
        <f>'1. XL-1E kh'!I37</f>
        <v>0</v>
      </c>
      <c r="E34" s="152">
        <f>'1. XL-1E kh'!Q37</f>
        <v>0</v>
      </c>
      <c r="F34" s="152">
        <f>'1. XL-1E kh'!Y37</f>
        <v>0</v>
      </c>
      <c r="G34" s="152">
        <f>'1. XL-1E kh'!I75</f>
        <v>0</v>
      </c>
      <c r="H34" s="152">
        <f>'1. XL-1E kh'!Q75</f>
        <v>0</v>
      </c>
      <c r="I34" s="205">
        <f>'1. XL-1E kh'!Y75</f>
        <v>0</v>
      </c>
    </row>
    <row r="35" spans="1:9" ht="21.75" hidden="1" customHeight="1">
      <c r="A35" s="158"/>
      <c r="B35" s="158"/>
      <c r="C35" s="158"/>
      <c r="D35" s="206" t="s">
        <v>172</v>
      </c>
      <c r="E35" s="161"/>
      <c r="F35" s="161"/>
      <c r="G35" s="161"/>
      <c r="H35" s="161"/>
      <c r="I35" s="207"/>
    </row>
    <row r="36" spans="1:9" ht="21.75" hidden="1" customHeight="1">
      <c r="A36" s="158"/>
      <c r="B36" s="158"/>
      <c r="C36" s="158"/>
      <c r="D36" s="210">
        <v>0.25</v>
      </c>
      <c r="E36" s="156">
        <v>0.41666666666666669</v>
      </c>
      <c r="F36" s="156">
        <v>0.58333333333333337</v>
      </c>
      <c r="G36" s="156">
        <v>0.75</v>
      </c>
      <c r="H36" s="156">
        <v>0.91666666666666663</v>
      </c>
      <c r="I36" s="211">
        <v>8.3333333333333329E-2</v>
      </c>
    </row>
    <row r="37" spans="1:9" ht="21.75" hidden="1" customHeight="1">
      <c r="A37" s="2317">
        <v>1</v>
      </c>
      <c r="B37" s="2398" t="s">
        <v>147</v>
      </c>
      <c r="C37" s="154" t="s">
        <v>108</v>
      </c>
      <c r="D37" s="212">
        <f>'1. XL-1E kh'!K6</f>
        <v>80.790000000000006</v>
      </c>
      <c r="E37" s="159">
        <f>'1. XL-1E kh'!S6</f>
        <v>80.790000000000006</v>
      </c>
      <c r="F37" s="159">
        <f>'1. XL-1E kh'!AA6</f>
        <v>80.790000000000006</v>
      </c>
      <c r="G37" s="159">
        <f>'1. XL-1E kh'!K44</f>
        <v>80.790000000000006</v>
      </c>
      <c r="H37" s="159">
        <f>'1. XL-1E kh'!S44</f>
        <v>80.790000000000006</v>
      </c>
      <c r="I37" s="213">
        <f>'1. XL-1E kh'!AA44</f>
        <v>80.790000000000006</v>
      </c>
    </row>
    <row r="38" spans="1:9" ht="21.75" hidden="1" customHeight="1">
      <c r="A38" s="2318"/>
      <c r="B38" s="2399"/>
      <c r="C38" s="155" t="s">
        <v>144</v>
      </c>
      <c r="D38" s="212">
        <f>'1. XL-1E kh'!K8</f>
        <v>27.145440000000004</v>
      </c>
      <c r="E38" s="159">
        <f>'1. XL-1E kh'!S8</f>
        <v>27.145440000000004</v>
      </c>
      <c r="F38" s="159">
        <f>'1. XL-1E kh'!AA8</f>
        <v>27.145440000000004</v>
      </c>
      <c r="G38" s="159">
        <f>'1. XL-1E kh'!K46</f>
        <v>27.145440000000004</v>
      </c>
      <c r="H38" s="159">
        <f>'1. XL-1E kh'!S46</f>
        <v>27.145440000000004</v>
      </c>
      <c r="I38" s="213">
        <f>'1. XL-1E kh'!AA46</f>
        <v>27.145440000000004</v>
      </c>
    </row>
    <row r="39" spans="1:9" ht="21.75" hidden="1" customHeight="1">
      <c r="A39" s="2317">
        <v>2</v>
      </c>
      <c r="B39" s="2398" t="s">
        <v>161</v>
      </c>
      <c r="C39" s="154" t="s">
        <v>108</v>
      </c>
      <c r="D39" s="212">
        <f>'1. XL-1E kh'!K9</f>
        <v>99.15</v>
      </c>
      <c r="E39" s="159">
        <f>'1. XL-1E kh'!S9</f>
        <v>99.15</v>
      </c>
      <c r="F39" s="159">
        <f>'1. XL-1E kh'!AA9</f>
        <v>99.15</v>
      </c>
      <c r="G39" s="159">
        <f>'1. XL-1E kh'!K47</f>
        <v>99.15</v>
      </c>
      <c r="H39" s="159">
        <f>'1. XL-1E kh'!S47</f>
        <v>99.15</v>
      </c>
      <c r="I39" s="213">
        <f>'1. XL-1E kh'!AA47</f>
        <v>99.15</v>
      </c>
    </row>
    <row r="40" spans="1:9" ht="21.75" hidden="1" customHeight="1">
      <c r="A40" s="2318"/>
      <c r="B40" s="2399"/>
      <c r="C40" s="155" t="s">
        <v>144</v>
      </c>
      <c r="D40" s="212">
        <f>'1. XL-1E kh'!K11</f>
        <v>33.314399999999999</v>
      </c>
      <c r="E40" s="159">
        <f>'1. XL-1E kh'!S11</f>
        <v>33.314399999999999</v>
      </c>
      <c r="F40" s="159">
        <f>'1. XL-1E kh'!AA11</f>
        <v>33.314399999999999</v>
      </c>
      <c r="G40" s="159">
        <f>'1. XL-1E kh'!K49</f>
        <v>33.314399999999999</v>
      </c>
      <c r="H40" s="159">
        <f>'1. XL-1E kh'!S49</f>
        <v>33.314399999999999</v>
      </c>
      <c r="I40" s="213">
        <f>'1. XL-1E kh'!AA49</f>
        <v>33.314399999999999</v>
      </c>
    </row>
    <row r="41" spans="1:9" ht="21.75" hidden="1" customHeight="1">
      <c r="A41" s="2317">
        <v>3</v>
      </c>
      <c r="B41" s="2398" t="s">
        <v>159</v>
      </c>
      <c r="C41" s="154" t="s">
        <v>108</v>
      </c>
      <c r="D41" s="212">
        <f>'1. XL-1E kh'!K12</f>
        <v>80.92</v>
      </c>
      <c r="E41" s="159">
        <f>'1. XL-1E kh'!S12</f>
        <v>80.92</v>
      </c>
      <c r="F41" s="159">
        <f>'1. XL-1E kh'!AA12</f>
        <v>80.92</v>
      </c>
      <c r="G41" s="159">
        <f>'1. XL-1E kh'!K50</f>
        <v>80.92</v>
      </c>
      <c r="H41" s="159">
        <f>'1. XL-1E kh'!S50</f>
        <v>80.92</v>
      </c>
      <c r="I41" s="213">
        <f>'1. XL-1E kh'!AA50</f>
        <v>80.92</v>
      </c>
    </row>
    <row r="42" spans="1:9" ht="21.75" hidden="1" customHeight="1">
      <c r="A42" s="2318"/>
      <c r="B42" s="2399"/>
      <c r="C42" s="155" t="s">
        <v>144</v>
      </c>
      <c r="D42" s="212">
        <f>'1. XL-1E kh'!K13</f>
        <v>24.276</v>
      </c>
      <c r="E42" s="159">
        <f>'1. XL-1E kh'!S13</f>
        <v>24.276</v>
      </c>
      <c r="F42" s="159">
        <f>'1. XL-1E kh'!AA13</f>
        <v>24.276</v>
      </c>
      <c r="G42" s="159">
        <f>'1. XL-1E kh'!K51</f>
        <v>24.276</v>
      </c>
      <c r="H42" s="159">
        <f>'1. XL-1E kh'!S51</f>
        <v>24.276</v>
      </c>
      <c r="I42" s="213">
        <f>'1. XL-1E kh'!AA51</f>
        <v>24.276</v>
      </c>
    </row>
    <row r="43" spans="1:9" ht="21.75" hidden="1" customHeight="1">
      <c r="A43" s="2317">
        <v>4</v>
      </c>
      <c r="B43" s="2398" t="s">
        <v>160</v>
      </c>
      <c r="C43" s="154" t="s">
        <v>108</v>
      </c>
      <c r="D43" s="212">
        <f>'1. XL-1E kh'!K14</f>
        <v>102.13</v>
      </c>
      <c r="E43" s="159">
        <f>'1. XL-1E kh'!S14</f>
        <v>102.13</v>
      </c>
      <c r="F43" s="159">
        <f>'1. XL-1E kh'!AA14</f>
        <v>102.13</v>
      </c>
      <c r="G43" s="159">
        <f>'1. XL-1E kh'!K52</f>
        <v>102.13</v>
      </c>
      <c r="H43" s="159">
        <f>'1. XL-1E kh'!S52</f>
        <v>102.13</v>
      </c>
      <c r="I43" s="213">
        <f>'1. XL-1E kh'!AA52</f>
        <v>102.13</v>
      </c>
    </row>
    <row r="44" spans="1:9" ht="21.75" hidden="1" customHeight="1">
      <c r="A44" s="2318"/>
      <c r="B44" s="2399"/>
      <c r="C44" s="155" t="s">
        <v>144</v>
      </c>
      <c r="D44" s="212">
        <f>'1. XL-1E kh'!K15</f>
        <v>30.638999999999996</v>
      </c>
      <c r="E44" s="159">
        <f>'1. XL-1E kh'!S15</f>
        <v>30.638999999999996</v>
      </c>
      <c r="F44" s="159">
        <f>'1. XL-1E kh'!AA15</f>
        <v>30.638999999999996</v>
      </c>
      <c r="G44" s="159">
        <f>'1. XL-1E kh'!K53</f>
        <v>30.638999999999996</v>
      </c>
      <c r="H44" s="159">
        <f>'1. XL-1E kh'!S53</f>
        <v>30.638999999999996</v>
      </c>
      <c r="I44" s="213">
        <f>'1. XL-1E kh'!AA53</f>
        <v>30.638999999999996</v>
      </c>
    </row>
    <row r="45" spans="1:9" ht="21.75" hidden="1" customHeight="1">
      <c r="A45" s="2317">
        <v>5</v>
      </c>
      <c r="B45" s="2208" t="s">
        <v>103</v>
      </c>
      <c r="C45" s="127" t="s">
        <v>102</v>
      </c>
      <c r="D45" s="212">
        <f>'1. XL-1E kh'!K16</f>
        <v>2793.14</v>
      </c>
      <c r="E45" s="159">
        <f>'1. XL-1E kh'!S16</f>
        <v>2793.14</v>
      </c>
      <c r="F45" s="159">
        <f>'1. XL-1E kh'!AA16</f>
        <v>2793.14</v>
      </c>
      <c r="G45" s="159">
        <f>'1. XL-1E kh'!K54</f>
        <v>2793.14</v>
      </c>
      <c r="H45" s="159">
        <f>'1. XL-1E kh'!S54</f>
        <v>2793.14</v>
      </c>
      <c r="I45" s="213">
        <f>'1. XL-1E kh'!AA54</f>
        <v>2793.14</v>
      </c>
    </row>
    <row r="46" spans="1:9" ht="21.75" hidden="1" customHeight="1">
      <c r="A46" s="2318"/>
      <c r="B46" s="2209"/>
      <c r="C46" s="127" t="s">
        <v>60</v>
      </c>
      <c r="D46" s="212">
        <f>'1. XL-1E kh'!K17</f>
        <v>179.559</v>
      </c>
      <c r="E46" s="159">
        <f>'1. XL-1E kh'!S17</f>
        <v>179.559</v>
      </c>
      <c r="F46" s="159">
        <f>'1. XL-1E kh'!AA17</f>
        <v>179.559</v>
      </c>
      <c r="G46" s="159">
        <f>'1. XL-1E kh'!K55</f>
        <v>179.559</v>
      </c>
      <c r="H46" s="159">
        <f>'1. XL-1E kh'!S55</f>
        <v>179.559</v>
      </c>
      <c r="I46" s="213">
        <f>'1. XL-1E kh'!AA55</f>
        <v>179.559</v>
      </c>
    </row>
    <row r="47" spans="1:9" ht="21.75" hidden="1" customHeight="1">
      <c r="A47" s="2317">
        <v>6</v>
      </c>
      <c r="B47" s="2400" t="s">
        <v>104</v>
      </c>
      <c r="C47" s="2164"/>
      <c r="D47" s="212">
        <f>'1. XL-1E kh'!K18</f>
        <v>80.5</v>
      </c>
      <c r="E47" s="159">
        <f>'1. XL-1E kh'!S18</f>
        <v>80.5</v>
      </c>
      <c r="F47" s="159">
        <f>'1. XL-1E kh'!AA18</f>
        <v>80.5</v>
      </c>
      <c r="G47" s="159">
        <f>'1. XL-1E kh'!K56</f>
        <v>80.5</v>
      </c>
      <c r="H47" s="159">
        <f>'1. XL-1E kh'!S56</f>
        <v>80.5</v>
      </c>
      <c r="I47" s="213">
        <f>'1. XL-1E kh'!AA56</f>
        <v>80.5</v>
      </c>
    </row>
    <row r="48" spans="1:9" ht="21.75" hidden="1" customHeight="1">
      <c r="A48" s="2318"/>
      <c r="B48" s="2401"/>
      <c r="C48" s="2329"/>
      <c r="D48" s="212">
        <f>'1. XL-1E kh'!K19</f>
        <v>0</v>
      </c>
      <c r="E48" s="159">
        <f>'1. XL-1E kh'!S19</f>
        <v>0</v>
      </c>
      <c r="F48" s="159">
        <f>'1. XL-1E kh'!AA19</f>
        <v>0</v>
      </c>
      <c r="G48" s="159">
        <f>'1. XL-1E kh'!K57</f>
        <v>0</v>
      </c>
      <c r="H48" s="159">
        <f>'1. XL-1E kh'!S57</f>
        <v>0</v>
      </c>
      <c r="I48" s="213">
        <f>'1. XL-1E kh'!AA57</f>
        <v>0</v>
      </c>
    </row>
    <row r="49" spans="1:9" ht="21.75" hidden="1" customHeight="1">
      <c r="A49" s="121">
        <v>7</v>
      </c>
      <c r="B49" s="2162" t="s">
        <v>61</v>
      </c>
      <c r="C49" s="2397"/>
      <c r="D49" s="212">
        <f>'1. XL-1E kh'!K20</f>
        <v>954.9</v>
      </c>
      <c r="E49" s="159">
        <f>'1. XL-1E kh'!S20</f>
        <v>954.9</v>
      </c>
      <c r="F49" s="159">
        <f>'1. XL-1E kh'!AA20</f>
        <v>954.9</v>
      </c>
      <c r="G49" s="159">
        <f>'1. XL-1E kh'!K58</f>
        <v>954.9</v>
      </c>
      <c r="H49" s="159">
        <f>'1. XL-1E kh'!S58</f>
        <v>954.9</v>
      </c>
      <c r="I49" s="213">
        <f>'1. XL-1E kh'!AA58</f>
        <v>954.9</v>
      </c>
    </row>
    <row r="50" spans="1:9" ht="21.75" hidden="1" customHeight="1">
      <c r="A50" s="121">
        <v>8</v>
      </c>
      <c r="B50" s="2162" t="s">
        <v>62</v>
      </c>
      <c r="C50" s="2397"/>
      <c r="D50" s="212">
        <f>'1. XL-1E kh'!K21</f>
        <v>134.64000000000001</v>
      </c>
      <c r="E50" s="159">
        <f>'1. XL-1E kh'!S21</f>
        <v>134.64000000000001</v>
      </c>
      <c r="F50" s="159">
        <f>'1. XL-1E kh'!AA21</f>
        <v>134.64000000000001</v>
      </c>
      <c r="G50" s="159">
        <f>'1. XL-1E kh'!K59</f>
        <v>134.64000000000001</v>
      </c>
      <c r="H50" s="159">
        <f>'1. XL-1E kh'!S59</f>
        <v>134.64000000000001</v>
      </c>
      <c r="I50" s="213">
        <f>'1. XL-1E kh'!AA59</f>
        <v>134.64000000000001</v>
      </c>
    </row>
    <row r="51" spans="1:9" ht="21.75" hidden="1" customHeight="1">
      <c r="A51" s="121">
        <v>9</v>
      </c>
      <c r="B51" s="2162" t="s">
        <v>63</v>
      </c>
      <c r="C51" s="2397"/>
      <c r="D51" s="212">
        <f>'1. XL-1E kh'!K22</f>
        <v>57.5</v>
      </c>
      <c r="E51" s="159">
        <f>'1. XL-1E kh'!S22</f>
        <v>57.5</v>
      </c>
      <c r="F51" s="159">
        <f>'1. XL-1E kh'!AA22</f>
        <v>57.5</v>
      </c>
      <c r="G51" s="159">
        <f>'1. XL-1E kh'!K60</f>
        <v>57.5</v>
      </c>
      <c r="H51" s="159">
        <f>'1. XL-1E kh'!S60</f>
        <v>57.5</v>
      </c>
      <c r="I51" s="213">
        <f>'1. XL-1E kh'!AA60</f>
        <v>57.5</v>
      </c>
    </row>
    <row r="52" spans="1:9" ht="21.75" hidden="1" customHeight="1">
      <c r="A52" s="121">
        <v>10</v>
      </c>
      <c r="B52" s="2162" t="s">
        <v>105</v>
      </c>
      <c r="C52" s="2397"/>
      <c r="D52" s="214">
        <f>'1. XL-1E kh'!K23</f>
        <v>8.1538461538461533</v>
      </c>
      <c r="E52" s="163">
        <f>'1. XL-1E kh'!S23</f>
        <v>8.1538461538461533</v>
      </c>
      <c r="F52" s="163">
        <f>'1. XL-1E kh'!AA23</f>
        <v>8.1538461538461533</v>
      </c>
      <c r="G52" s="163">
        <f>'1. XL-1E kh'!K61</f>
        <v>8.1538461538461533</v>
      </c>
      <c r="H52" s="163">
        <f>'1. XL-1E kh'!S61</f>
        <v>8.1538461538461533</v>
      </c>
      <c r="I52" s="215">
        <f>'1. XL-1E kh'!AA61</f>
        <v>8.1538461538461533</v>
      </c>
    </row>
    <row r="53" spans="1:9" ht="21.75" hidden="1" customHeight="1">
      <c r="D53" s="204"/>
      <c r="E53" s="152"/>
      <c r="F53" s="152"/>
      <c r="G53" s="152"/>
      <c r="H53" s="152"/>
      <c r="I53" s="205"/>
    </row>
    <row r="54" spans="1:9" ht="21.75" hidden="1" customHeight="1">
      <c r="A54" s="192"/>
      <c r="B54" s="177" t="s">
        <v>233</v>
      </c>
      <c r="C54" s="188"/>
      <c r="D54" s="216"/>
      <c r="E54" s="189"/>
      <c r="F54" s="152"/>
      <c r="G54" s="152"/>
      <c r="H54" s="152"/>
      <c r="I54" s="205"/>
    </row>
    <row r="55" spans="1:9" ht="21.75" hidden="1" customHeight="1">
      <c r="A55" s="182" t="s">
        <v>7</v>
      </c>
      <c r="B55" s="170"/>
      <c r="C55" s="170"/>
      <c r="D55" s="206" t="s">
        <v>171</v>
      </c>
      <c r="E55" s="161"/>
      <c r="F55" s="161"/>
      <c r="G55" s="161"/>
      <c r="H55" s="161"/>
      <c r="I55" s="207"/>
    </row>
    <row r="56" spans="1:9" ht="21.75" hidden="1" customHeight="1">
      <c r="A56" s="183"/>
      <c r="B56" s="179"/>
      <c r="C56" s="179"/>
      <c r="D56" s="210">
        <v>0.25</v>
      </c>
      <c r="E56" s="156">
        <v>0.41666666666666669</v>
      </c>
      <c r="F56" s="156">
        <v>0.58333333333333337</v>
      </c>
      <c r="G56" s="156">
        <v>0.75</v>
      </c>
      <c r="H56" s="156">
        <v>0.91666666666666663</v>
      </c>
      <c r="I56" s="211">
        <v>8.3333333333333329E-2</v>
      </c>
    </row>
    <row r="57" spans="1:9" ht="21.75" hidden="1" customHeight="1">
      <c r="A57" s="193">
        <v>1</v>
      </c>
      <c r="B57" s="139" t="s">
        <v>147</v>
      </c>
      <c r="C57" s="194" t="s">
        <v>108</v>
      </c>
      <c r="D57" s="202">
        <f>'2. XL-1F kh'!I6</f>
        <v>0</v>
      </c>
      <c r="E57" s="153">
        <f>'2. XL-1F kh'!Q6</f>
        <v>0</v>
      </c>
      <c r="F57" s="153">
        <f>'2. XL-1F kh'!Y6</f>
        <v>0</v>
      </c>
      <c r="G57" s="153">
        <f>'2. XL-1F kh'!I42</f>
        <v>0</v>
      </c>
      <c r="H57" s="153">
        <f>'2. XL-1F kh'!Q42</f>
        <v>0</v>
      </c>
      <c r="I57" s="203">
        <f>'2. XL-1F kh'!Y42</f>
        <v>0</v>
      </c>
    </row>
    <row r="58" spans="1:9" ht="21.75" hidden="1" customHeight="1">
      <c r="A58" s="124"/>
      <c r="B58" s="143"/>
      <c r="C58" s="138" t="s">
        <v>109</v>
      </c>
      <c r="D58" s="204" t="e">
        <f>'2. XL-1F kh'!#REF!</f>
        <v>#REF!</v>
      </c>
      <c r="E58" s="152" t="e">
        <f>'2. XL-1F kh'!#REF!</f>
        <v>#REF!</v>
      </c>
      <c r="F58" s="152" t="e">
        <f>'2. XL-1F kh'!#REF!</f>
        <v>#REF!</v>
      </c>
      <c r="G58" s="152" t="e">
        <f>'2. XL-1F kh'!#REF!</f>
        <v>#REF!</v>
      </c>
      <c r="H58" s="152" t="e">
        <f>'2. XL-1F kh'!#REF!</f>
        <v>#REF!</v>
      </c>
      <c r="I58" s="205" t="e">
        <f>'2. XL-1F kh'!#REF!</f>
        <v>#REF!</v>
      </c>
    </row>
    <row r="59" spans="1:9" ht="21.75" hidden="1" customHeight="1">
      <c r="A59" s="125"/>
      <c r="B59" s="144"/>
      <c r="C59" s="129" t="s">
        <v>111</v>
      </c>
      <c r="D59" s="204" t="e">
        <f>'2. XL-1F kh'!#REF!</f>
        <v>#REF!</v>
      </c>
      <c r="E59" s="152" t="e">
        <f>'2. XL-1F kh'!#REF!</f>
        <v>#REF!</v>
      </c>
      <c r="F59" s="152" t="e">
        <f>'2. XL-1F kh'!#REF!</f>
        <v>#REF!</v>
      </c>
      <c r="G59" s="152" t="e">
        <f>'2. XL-1F kh'!#REF!</f>
        <v>#REF!</v>
      </c>
      <c r="H59" s="152" t="e">
        <f>'2. XL-1F kh'!#REF!</f>
        <v>#REF!</v>
      </c>
      <c r="I59" s="205" t="e">
        <f>'2. XL-1F kh'!#REF!</f>
        <v>#REF!</v>
      </c>
    </row>
    <row r="60" spans="1:9" ht="21.75" hidden="1" customHeight="1">
      <c r="A60" s="123">
        <v>2</v>
      </c>
      <c r="B60" s="136" t="s">
        <v>148</v>
      </c>
      <c r="C60" s="142" t="s">
        <v>108</v>
      </c>
      <c r="D60" s="204">
        <f>'2. XL-1F kh'!I8</f>
        <v>0</v>
      </c>
      <c r="E60" s="152">
        <f>'2. XL-1F kh'!Q8</f>
        <v>0</v>
      </c>
      <c r="F60" s="152">
        <f>'2. XL-1F kh'!Y8</f>
        <v>0</v>
      </c>
      <c r="G60" s="152">
        <f>'2. XL-1F kh'!I44</f>
        <v>0</v>
      </c>
      <c r="H60" s="152">
        <f>'2. XL-1F kh'!Q44</f>
        <v>0</v>
      </c>
      <c r="I60" s="205">
        <f>'2. XL-1F kh'!Y44</f>
        <v>0</v>
      </c>
    </row>
    <row r="61" spans="1:9" ht="21.75" hidden="1" customHeight="1">
      <c r="A61" s="124"/>
      <c r="B61" s="143"/>
      <c r="C61" s="129" t="s">
        <v>109</v>
      </c>
      <c r="D61" s="204" t="e">
        <f>'2. XL-1F kh'!#REF!</f>
        <v>#REF!</v>
      </c>
      <c r="E61" s="152" t="e">
        <f>'2. XL-1F kh'!#REF!</f>
        <v>#REF!</v>
      </c>
      <c r="F61" s="152" t="e">
        <f>'2. XL-1F kh'!#REF!</f>
        <v>#REF!</v>
      </c>
      <c r="G61" s="152" t="e">
        <f>'2. XL-1F kh'!#REF!</f>
        <v>#REF!</v>
      </c>
      <c r="H61" s="152" t="e">
        <f>'2. XL-1F kh'!#REF!</f>
        <v>#REF!</v>
      </c>
      <c r="I61" s="205" t="e">
        <f>'2. XL-1F kh'!#REF!</f>
        <v>#REF!</v>
      </c>
    </row>
    <row r="62" spans="1:9" ht="21.75" hidden="1" customHeight="1">
      <c r="A62" s="125"/>
      <c r="B62" s="144"/>
      <c r="C62" s="129" t="s">
        <v>111</v>
      </c>
      <c r="D62" s="204" t="e">
        <f>'2. XL-1F kh'!#REF!</f>
        <v>#REF!</v>
      </c>
      <c r="E62" s="152" t="e">
        <f>'2. XL-1F kh'!#REF!</f>
        <v>#REF!</v>
      </c>
      <c r="F62" s="152" t="e">
        <f>'2. XL-1F kh'!#REF!</f>
        <v>#REF!</v>
      </c>
      <c r="G62" s="152" t="e">
        <f>'2. XL-1F kh'!#REF!</f>
        <v>#REF!</v>
      </c>
      <c r="H62" s="152" t="e">
        <f>'2. XL-1F kh'!#REF!</f>
        <v>#REF!</v>
      </c>
      <c r="I62" s="205" t="e">
        <f>'2. XL-1F kh'!#REF!</f>
        <v>#REF!</v>
      </c>
    </row>
    <row r="63" spans="1:9" ht="21.75" hidden="1" customHeight="1">
      <c r="A63" s="123">
        <v>3</v>
      </c>
      <c r="B63" s="140" t="s">
        <v>149</v>
      </c>
      <c r="C63" s="142" t="s">
        <v>108</v>
      </c>
      <c r="D63" s="204">
        <f>'2. XL-1F kh'!I10</f>
        <v>0</v>
      </c>
      <c r="E63" s="152">
        <f>'2. XL-1F kh'!Q10</f>
        <v>0</v>
      </c>
      <c r="F63" s="152">
        <f>'2. XL-1F kh'!Y10</f>
        <v>0</v>
      </c>
      <c r="G63" s="152">
        <f>'2. XL-1F kh'!I46</f>
        <v>0</v>
      </c>
      <c r="H63" s="152">
        <f>'2. XL-1F kh'!Q46</f>
        <v>0</v>
      </c>
      <c r="I63" s="205">
        <f>'2. XL-1F kh'!Y46</f>
        <v>0</v>
      </c>
    </row>
    <row r="64" spans="1:9" ht="21.75" hidden="1" customHeight="1">
      <c r="A64" s="125"/>
      <c r="B64" s="141"/>
      <c r="C64" s="129" t="s">
        <v>112</v>
      </c>
      <c r="D64" s="204">
        <f>'2. XL-1F kh'!I11</f>
        <v>0</v>
      </c>
      <c r="E64" s="152">
        <f>'2. XL-1F kh'!Q11</f>
        <v>0</v>
      </c>
      <c r="F64" s="152">
        <f>'2. XL-1F kh'!Y11</f>
        <v>0</v>
      </c>
      <c r="G64" s="152">
        <f>'2. XL-1F kh'!I47</f>
        <v>0</v>
      </c>
      <c r="H64" s="152">
        <f>'2. XL-1F kh'!Q47</f>
        <v>0</v>
      </c>
      <c r="I64" s="205">
        <f>'2. XL-1F kh'!Y47</f>
        <v>0</v>
      </c>
    </row>
    <row r="65" spans="1:9" ht="21.75" hidden="1" customHeight="1">
      <c r="A65" s="123">
        <v>4</v>
      </c>
      <c r="B65" s="140" t="s">
        <v>150</v>
      </c>
      <c r="C65" s="142" t="s">
        <v>108</v>
      </c>
      <c r="D65" s="204">
        <f>'2. XL-1F kh'!I12</f>
        <v>0</v>
      </c>
      <c r="E65" s="152">
        <f>'2. XL-1F kh'!Q12</f>
        <v>0</v>
      </c>
      <c r="F65" s="152">
        <f>'2. XL-1F kh'!Y12</f>
        <v>0</v>
      </c>
      <c r="G65" s="152">
        <f>'2. XL-1F kh'!I48</f>
        <v>0</v>
      </c>
      <c r="H65" s="152">
        <f>'2. XL-1F kh'!Q48</f>
        <v>0</v>
      </c>
      <c r="I65" s="205">
        <f>'2. XL-1F kh'!Y48</f>
        <v>0</v>
      </c>
    </row>
    <row r="66" spans="1:9" ht="21.75" hidden="1" customHeight="1">
      <c r="A66" s="125"/>
      <c r="B66" s="141"/>
      <c r="C66" s="129" t="s">
        <v>112</v>
      </c>
      <c r="D66" s="204">
        <f>'2. XL-1F kh'!I13</f>
        <v>0</v>
      </c>
      <c r="E66" s="152">
        <f>'2. XL-1F kh'!Q13</f>
        <v>0</v>
      </c>
      <c r="F66" s="152">
        <f>'2. XL-1F kh'!Y13</f>
        <v>0</v>
      </c>
      <c r="G66" s="152">
        <f>'2. XL-1F kh'!I49</f>
        <v>0</v>
      </c>
      <c r="H66" s="152">
        <f>'2. XL-1F kh'!Q49</f>
        <v>0</v>
      </c>
      <c r="I66" s="205">
        <f>'2. XL-1F kh'!Y49</f>
        <v>0</v>
      </c>
    </row>
    <row r="67" spans="1:9" ht="21.75" hidden="1" customHeight="1">
      <c r="A67" s="126">
        <v>5</v>
      </c>
      <c r="B67" s="129" t="s">
        <v>82</v>
      </c>
      <c r="C67" s="130"/>
      <c r="D67" s="204">
        <f>'2. XL-1F kh'!I14</f>
        <v>0</v>
      </c>
      <c r="E67" s="152">
        <f>'2. XL-1F kh'!Q14</f>
        <v>0</v>
      </c>
      <c r="F67" s="152">
        <f>'2. XL-1F kh'!Y14</f>
        <v>0</v>
      </c>
      <c r="G67" s="152">
        <f>'2. XL-1F kh'!I50</f>
        <v>0</v>
      </c>
      <c r="H67" s="152">
        <f>'2. XL-1F kh'!Q50</f>
        <v>0</v>
      </c>
      <c r="I67" s="205">
        <f>'2. XL-1F kh'!Y50</f>
        <v>0</v>
      </c>
    </row>
    <row r="68" spans="1:9" ht="21.75" hidden="1" customHeight="1">
      <c r="A68" s="126">
        <v>6</v>
      </c>
      <c r="B68" s="129" t="s">
        <v>60</v>
      </c>
      <c r="C68" s="130"/>
      <c r="D68" s="204">
        <f>'2. XL-1F kh'!I15</f>
        <v>0</v>
      </c>
      <c r="E68" s="152">
        <f>'2. XL-1F kh'!Q15</f>
        <v>0</v>
      </c>
      <c r="F68" s="152">
        <f>'2. XL-1F kh'!Y15</f>
        <v>0</v>
      </c>
      <c r="G68" s="152">
        <f>'2. XL-1F kh'!I51</f>
        <v>0</v>
      </c>
      <c r="H68" s="152">
        <f>'2. XL-1F kh'!Q51</f>
        <v>0</v>
      </c>
      <c r="I68" s="205">
        <f>'2. XL-1F kh'!Y51</f>
        <v>0</v>
      </c>
    </row>
    <row r="69" spans="1:9" ht="21.75" hidden="1" customHeight="1">
      <c r="A69" s="134">
        <v>7</v>
      </c>
      <c r="B69" s="136" t="s">
        <v>114</v>
      </c>
      <c r="C69" s="137"/>
      <c r="D69" s="204">
        <f>'2. XL-1F kh'!I16</f>
        <v>-1.0461</v>
      </c>
      <c r="E69" s="152">
        <f>'2. XL-1F kh'!Q16</f>
        <v>-1.0461</v>
      </c>
      <c r="F69" s="152">
        <f>'2. XL-1F kh'!Y16</f>
        <v>-1.0461</v>
      </c>
      <c r="G69" s="152">
        <f>'2. XL-1F kh'!I52</f>
        <v>-1.0461</v>
      </c>
      <c r="H69" s="152">
        <f>'2. XL-1F kh'!Q52</f>
        <v>-1.0461</v>
      </c>
      <c r="I69" s="205">
        <f>'2. XL-1F kh'!Y52</f>
        <v>-1.0461</v>
      </c>
    </row>
    <row r="70" spans="1:9" ht="21.75" hidden="1" customHeight="1">
      <c r="A70" s="135"/>
      <c r="B70" s="138"/>
      <c r="C70" s="139"/>
      <c r="D70" s="204">
        <f>'2. XL-1F kh'!I17</f>
        <v>0</v>
      </c>
      <c r="E70" s="152">
        <f>'2. XL-1F kh'!Q17</f>
        <v>0</v>
      </c>
      <c r="F70" s="152">
        <f>'2. XL-1F kh'!Y17</f>
        <v>0</v>
      </c>
      <c r="G70" s="152">
        <f>'2. XL-1F kh'!I53</f>
        <v>0</v>
      </c>
      <c r="H70" s="152">
        <f>'2. XL-1F kh'!Q53</f>
        <v>0</v>
      </c>
      <c r="I70" s="205">
        <f>'2. XL-1F kh'!Y53</f>
        <v>0</v>
      </c>
    </row>
    <row r="71" spans="1:9" ht="21.75" hidden="1" customHeight="1">
      <c r="A71" s="126">
        <v>8</v>
      </c>
      <c r="B71" s="129" t="s">
        <v>61</v>
      </c>
      <c r="C71" s="130"/>
      <c r="D71" s="204">
        <f>'2. XL-1F kh'!I18</f>
        <v>0</v>
      </c>
      <c r="E71" s="152">
        <f>'2. XL-1F kh'!Q18</f>
        <v>0</v>
      </c>
      <c r="F71" s="152">
        <f>'2. XL-1F kh'!Y18</f>
        <v>0</v>
      </c>
      <c r="G71" s="152">
        <f>'2. XL-1F kh'!I54</f>
        <v>0</v>
      </c>
      <c r="H71" s="152">
        <f>'2. XL-1F kh'!Q54</f>
        <v>0</v>
      </c>
      <c r="I71" s="205">
        <f>'2. XL-1F kh'!Y54</f>
        <v>0</v>
      </c>
    </row>
    <row r="72" spans="1:9" ht="21.75" hidden="1" customHeight="1">
      <c r="A72" s="126">
        <v>9</v>
      </c>
      <c r="B72" s="129" t="s">
        <v>62</v>
      </c>
      <c r="C72" s="130"/>
      <c r="D72" s="204">
        <f>'2. XL-1F kh'!I19</f>
        <v>0</v>
      </c>
      <c r="E72" s="152">
        <f>'2. XL-1F kh'!Q19</f>
        <v>0</v>
      </c>
      <c r="F72" s="152">
        <f>'2. XL-1F kh'!Y19</f>
        <v>0</v>
      </c>
      <c r="G72" s="152">
        <f>'2. XL-1F kh'!I55</f>
        <v>0</v>
      </c>
      <c r="H72" s="152">
        <f>'2. XL-1F kh'!Q55</f>
        <v>0</v>
      </c>
      <c r="I72" s="205">
        <f>'2. XL-1F kh'!Y55</f>
        <v>0</v>
      </c>
    </row>
    <row r="73" spans="1:9" ht="21.75" hidden="1" customHeight="1">
      <c r="A73" s="126">
        <v>11</v>
      </c>
      <c r="B73" s="129" t="s">
        <v>116</v>
      </c>
      <c r="C73" s="130"/>
      <c r="D73" s="204">
        <f>'2. XL-1F kh'!I20</f>
        <v>0</v>
      </c>
      <c r="E73" s="152">
        <f>'2. XL-1F kh'!Q20</f>
        <v>0</v>
      </c>
      <c r="F73" s="152">
        <f>'2. XL-1F kh'!Y20</f>
        <v>0</v>
      </c>
      <c r="G73" s="152">
        <f>'2. XL-1F kh'!I56</f>
        <v>0</v>
      </c>
      <c r="H73" s="152">
        <f>'2. XL-1F kh'!Q56</f>
        <v>0</v>
      </c>
      <c r="I73" s="205">
        <f>'2. XL-1F kh'!Y56</f>
        <v>0</v>
      </c>
    </row>
    <row r="74" spans="1:9" ht="21.75" hidden="1" customHeight="1">
      <c r="A74" s="126">
        <v>12</v>
      </c>
      <c r="B74" s="129" t="s">
        <v>115</v>
      </c>
      <c r="C74" s="130"/>
      <c r="D74" s="204">
        <f>'2. XL-1F kh'!I21</f>
        <v>0</v>
      </c>
      <c r="E74" s="152">
        <f>'2. XL-1F kh'!Q21</f>
        <v>0</v>
      </c>
      <c r="F74" s="152">
        <f>'2. XL-1F kh'!Y21</f>
        <v>0</v>
      </c>
      <c r="G74" s="152">
        <f>'2. XL-1F kh'!I57</f>
        <v>0</v>
      </c>
      <c r="H74" s="152">
        <f>'2. XL-1F kh'!Q57</f>
        <v>0</v>
      </c>
      <c r="I74" s="205">
        <f>'2. XL-1F kh'!Y57</f>
        <v>0</v>
      </c>
    </row>
    <row r="75" spans="1:9" ht="21.75" hidden="1" customHeight="1">
      <c r="A75" s="165"/>
      <c r="B75" s="166" t="s">
        <v>117</v>
      </c>
      <c r="C75" s="173"/>
      <c r="D75" s="206" t="s">
        <v>173</v>
      </c>
      <c r="E75" s="161"/>
      <c r="F75" s="161"/>
      <c r="G75" s="161"/>
      <c r="H75" s="161"/>
      <c r="I75" s="207"/>
    </row>
    <row r="76" spans="1:9" ht="21.75" hidden="1" customHeight="1">
      <c r="A76" s="167" t="s">
        <v>7</v>
      </c>
      <c r="B76" s="168" t="s">
        <v>64</v>
      </c>
      <c r="C76" s="169"/>
      <c r="D76" s="208">
        <v>0.25</v>
      </c>
      <c r="E76" s="164">
        <v>0.41666666666666669</v>
      </c>
      <c r="F76" s="164">
        <v>0.58333333333333337</v>
      </c>
      <c r="G76" s="164">
        <v>0.75</v>
      </c>
      <c r="H76" s="164">
        <v>0.91666666666666663</v>
      </c>
      <c r="I76" s="209">
        <v>8.3333333333333329E-2</v>
      </c>
    </row>
    <row r="77" spans="1:9" ht="21.75" hidden="1" customHeight="1">
      <c r="A77" s="145">
        <v>1</v>
      </c>
      <c r="B77" s="132" t="s">
        <v>68</v>
      </c>
      <c r="C77" s="133"/>
      <c r="D77" s="204">
        <f>'2. XL-1F kh'!I24</f>
        <v>0</v>
      </c>
      <c r="E77" s="152">
        <f>'2. XL-1F kh'!Q24</f>
        <v>0</v>
      </c>
      <c r="F77" s="152">
        <f>'2. XL-1F kh'!Y24</f>
        <v>0</v>
      </c>
      <c r="G77" s="152">
        <f>'2. XL-1F kh'!I60</f>
        <v>0</v>
      </c>
      <c r="H77" s="152">
        <f>'2. XL-1F kh'!Q60</f>
        <v>0</v>
      </c>
      <c r="I77" s="205">
        <f>'2. XL-1F kh'!Y60</f>
        <v>0</v>
      </c>
    </row>
    <row r="78" spans="1:9" ht="21.75" hidden="1" customHeight="1">
      <c r="A78" s="145">
        <v>2</v>
      </c>
      <c r="B78" s="132" t="s">
        <v>69</v>
      </c>
      <c r="C78" s="133" t="s">
        <v>69</v>
      </c>
      <c r="D78" s="204">
        <f>'2. XL-1F kh'!I25</f>
        <v>0</v>
      </c>
      <c r="E78" s="152">
        <f>'2. XL-1F kh'!Q25</f>
        <v>0</v>
      </c>
      <c r="F78" s="152">
        <f>'2. XL-1F kh'!Y25</f>
        <v>0</v>
      </c>
      <c r="G78" s="152">
        <f>'2. XL-1F kh'!I61</f>
        <v>0</v>
      </c>
      <c r="H78" s="152">
        <f>'2. XL-1F kh'!Q61</f>
        <v>0</v>
      </c>
      <c r="I78" s="205">
        <f>'2. XL-1F kh'!Y61</f>
        <v>0</v>
      </c>
    </row>
    <row r="79" spans="1:9" ht="21.75" hidden="1" customHeight="1">
      <c r="A79" s="145">
        <v>3</v>
      </c>
      <c r="B79" s="132" t="s">
        <v>71</v>
      </c>
      <c r="C79" s="133" t="s">
        <v>71</v>
      </c>
      <c r="D79" s="204">
        <f>'2. XL-1F kh'!I26</f>
        <v>0</v>
      </c>
      <c r="E79" s="152">
        <f>'2. XL-1F kh'!Q26</f>
        <v>0</v>
      </c>
      <c r="F79" s="152">
        <f>'2. XL-1F kh'!Y26</f>
        <v>0</v>
      </c>
      <c r="G79" s="152">
        <f>'2. XL-1F kh'!I62</f>
        <v>0</v>
      </c>
      <c r="H79" s="152">
        <f>'2. XL-1F kh'!Q62</f>
        <v>0</v>
      </c>
      <c r="I79" s="205">
        <f>'2. XL-1F kh'!Y62</f>
        <v>0</v>
      </c>
    </row>
    <row r="80" spans="1:9" ht="21.75" hidden="1" customHeight="1">
      <c r="A80" s="145">
        <v>4</v>
      </c>
      <c r="B80" s="132" t="s">
        <v>70</v>
      </c>
      <c r="C80" s="133" t="s">
        <v>70</v>
      </c>
      <c r="D80" s="204">
        <f>'2. XL-1F kh'!I27</f>
        <v>0</v>
      </c>
      <c r="E80" s="152">
        <f>'2. XL-1F kh'!Q27</f>
        <v>0</v>
      </c>
      <c r="F80" s="152">
        <f>'2. XL-1F kh'!Y27</f>
        <v>0</v>
      </c>
      <c r="G80" s="152">
        <f>'2. XL-1F kh'!I63</f>
        <v>0</v>
      </c>
      <c r="H80" s="152">
        <f>'2. XL-1F kh'!Q63</f>
        <v>0</v>
      </c>
      <c r="I80" s="205">
        <f>'2. XL-1F kh'!Y63</f>
        <v>0</v>
      </c>
    </row>
    <row r="81" spans="1:9" ht="21.75" hidden="1" customHeight="1">
      <c r="A81" s="145">
        <v>5</v>
      </c>
      <c r="B81" s="132" t="s">
        <v>72</v>
      </c>
      <c r="C81" s="133" t="s">
        <v>72</v>
      </c>
      <c r="D81" s="204">
        <f>'2. XL-1F kh'!I28</f>
        <v>0</v>
      </c>
      <c r="E81" s="152">
        <f>'2. XL-1F kh'!Q28</f>
        <v>0</v>
      </c>
      <c r="F81" s="152">
        <f>'2. XL-1F kh'!Y28</f>
        <v>0</v>
      </c>
      <c r="G81" s="152">
        <f>'2. XL-1F kh'!I64</f>
        <v>0</v>
      </c>
      <c r="H81" s="152">
        <f>'2. XL-1F kh'!Q64</f>
        <v>0</v>
      </c>
      <c r="I81" s="205">
        <f>'2. XL-1F kh'!Y64</f>
        <v>0</v>
      </c>
    </row>
    <row r="82" spans="1:9" ht="21.75" hidden="1" customHeight="1">
      <c r="A82" s="145">
        <v>6</v>
      </c>
      <c r="B82" s="132" t="s">
        <v>95</v>
      </c>
      <c r="C82" s="133" t="s">
        <v>95</v>
      </c>
      <c r="D82" s="204">
        <f>'2. XL-1F kh'!I29</f>
        <v>0</v>
      </c>
      <c r="E82" s="152">
        <f>'2. XL-1F kh'!Q29</f>
        <v>0</v>
      </c>
      <c r="F82" s="152">
        <f>'2. XL-1F kh'!Y29</f>
        <v>0</v>
      </c>
      <c r="G82" s="152">
        <f>'2. XL-1F kh'!I65</f>
        <v>0</v>
      </c>
      <c r="H82" s="152">
        <f>'2. XL-1F kh'!Q65</f>
        <v>0</v>
      </c>
      <c r="I82" s="205">
        <f>'2. XL-1F kh'!Y65</f>
        <v>0</v>
      </c>
    </row>
    <row r="83" spans="1:9" ht="21.75" hidden="1" customHeight="1">
      <c r="A83" s="145">
        <v>7</v>
      </c>
      <c r="B83" s="132" t="s">
        <v>73</v>
      </c>
      <c r="C83" s="133" t="s">
        <v>73</v>
      </c>
      <c r="D83" s="204">
        <f>'2. XL-1F kh'!I30</f>
        <v>0</v>
      </c>
      <c r="E83" s="152">
        <f>'2. XL-1F kh'!Q30</f>
        <v>0</v>
      </c>
      <c r="F83" s="152">
        <f>'2. XL-1F kh'!Y30</f>
        <v>0</v>
      </c>
      <c r="G83" s="152">
        <f>'2. XL-1F kh'!I66</f>
        <v>0</v>
      </c>
      <c r="H83" s="152">
        <f>'2. XL-1F kh'!Q66</f>
        <v>0</v>
      </c>
      <c r="I83" s="205">
        <f>'2. XL-1F kh'!Y66</f>
        <v>0</v>
      </c>
    </row>
    <row r="84" spans="1:9" ht="21.75" hidden="1" customHeight="1">
      <c r="A84" s="145">
        <v>8</v>
      </c>
      <c r="B84" s="128" t="s">
        <v>74</v>
      </c>
      <c r="C84" s="131" t="s">
        <v>74</v>
      </c>
      <c r="D84" s="204">
        <f>'2. XL-1F kh'!K31</f>
        <v>0</v>
      </c>
      <c r="E84" s="152">
        <f>'2. XL-1F kh'!S31</f>
        <v>0</v>
      </c>
      <c r="F84" s="152">
        <f>'2. XL-1F kh'!AA31</f>
        <v>0</v>
      </c>
      <c r="G84" s="152">
        <f>'2. XL-1F kh'!K67</f>
        <v>0</v>
      </c>
      <c r="H84" s="152">
        <f>'2. XL-1F kh'!S67</f>
        <v>0</v>
      </c>
      <c r="I84" s="205">
        <f>'2. XL-1F kh'!AA67</f>
        <v>0</v>
      </c>
    </row>
    <row r="85" spans="1:9" ht="21.75" hidden="1" customHeight="1">
      <c r="A85" s="165"/>
      <c r="B85" s="166" t="s">
        <v>118</v>
      </c>
      <c r="C85" s="173"/>
      <c r="D85" s="206" t="s">
        <v>174</v>
      </c>
      <c r="E85" s="161"/>
      <c r="F85" s="161"/>
      <c r="G85" s="161"/>
      <c r="H85" s="161"/>
      <c r="I85" s="207"/>
    </row>
    <row r="86" spans="1:9" ht="21.75" hidden="1" customHeight="1">
      <c r="A86" s="167" t="s">
        <v>7</v>
      </c>
      <c r="B86" s="168" t="s">
        <v>100</v>
      </c>
      <c r="C86" s="169"/>
      <c r="D86" s="208">
        <v>0.25</v>
      </c>
      <c r="E86" s="164">
        <v>0.41666666666666669</v>
      </c>
      <c r="F86" s="164">
        <v>0.58333333333333337</v>
      </c>
      <c r="G86" s="164">
        <v>0.75</v>
      </c>
      <c r="H86" s="164">
        <v>0.91666666666666663</v>
      </c>
      <c r="I86" s="209">
        <v>8.3333333333333329E-2</v>
      </c>
    </row>
    <row r="87" spans="1:9" ht="21.75" hidden="1" customHeight="1">
      <c r="A87" s="126">
        <v>1</v>
      </c>
      <c r="B87" s="129" t="s">
        <v>54</v>
      </c>
      <c r="C87" s="130"/>
      <c r="D87" s="204">
        <f>'2. XL-1F kh'!I34</f>
        <v>0</v>
      </c>
      <c r="E87" s="152">
        <f>'2. XL-1F kh'!Q34</f>
        <v>0</v>
      </c>
      <c r="F87" s="152">
        <f>'2. XL-1F kh'!Y34</f>
        <v>0</v>
      </c>
      <c r="G87" s="152">
        <f>'2. XL-1F kh'!I70</f>
        <v>0</v>
      </c>
      <c r="H87" s="152">
        <f>'2. XL-1F kh'!Q70</f>
        <v>0</v>
      </c>
      <c r="I87" s="205">
        <f>'2. XL-1F kh'!Y70</f>
        <v>0</v>
      </c>
    </row>
    <row r="88" spans="1:9" ht="21.75" hidden="1" customHeight="1">
      <c r="A88" s="126">
        <v>2</v>
      </c>
      <c r="B88" s="129" t="s">
        <v>94</v>
      </c>
      <c r="C88" s="130"/>
      <c r="D88" s="204">
        <f>'2. XL-1F kh'!I35</f>
        <v>0</v>
      </c>
      <c r="E88" s="152">
        <f>'2. XL-1F kh'!Q35</f>
        <v>0</v>
      </c>
      <c r="F88" s="152">
        <f>'2. XL-1F kh'!Y35</f>
        <v>0</v>
      </c>
      <c r="G88" s="152">
        <f>'2. XL-1F kh'!I71</f>
        <v>0</v>
      </c>
      <c r="H88" s="152">
        <f>'2. XL-1F kh'!Q71</f>
        <v>0</v>
      </c>
      <c r="I88" s="205">
        <f>'2. XL-1F kh'!Y71</f>
        <v>0</v>
      </c>
    </row>
    <row r="89" spans="1:9" ht="21.75" hidden="1" customHeight="1">
      <c r="A89" s="158"/>
      <c r="B89" s="158"/>
      <c r="C89" s="158"/>
      <c r="D89" s="206" t="s">
        <v>172</v>
      </c>
      <c r="E89" s="161"/>
      <c r="F89" s="161"/>
      <c r="G89" s="161"/>
      <c r="H89" s="161"/>
      <c r="I89" s="207"/>
    </row>
    <row r="90" spans="1:9" ht="21.75" hidden="1" customHeight="1">
      <c r="A90" s="158"/>
      <c r="B90" s="158"/>
      <c r="C90" s="158"/>
      <c r="D90" s="210">
        <v>0.25</v>
      </c>
      <c r="E90" s="156">
        <v>0.41666666666666669</v>
      </c>
      <c r="F90" s="156">
        <v>0.58333333333333337</v>
      </c>
      <c r="G90" s="156">
        <v>0.75</v>
      </c>
      <c r="H90" s="156">
        <v>0.91666666666666663</v>
      </c>
      <c r="I90" s="211">
        <v>8.3333333333333329E-2</v>
      </c>
    </row>
    <row r="91" spans="1:9" ht="21.75" hidden="1" customHeight="1">
      <c r="A91" s="123">
        <v>1</v>
      </c>
      <c r="B91" s="136" t="s">
        <v>147</v>
      </c>
      <c r="C91" s="142" t="s">
        <v>108</v>
      </c>
      <c r="D91" s="212">
        <f>'2. XL-1F kh'!K6</f>
        <v>188.51</v>
      </c>
      <c r="E91" s="159">
        <f>'2. XL-1F kh'!S6</f>
        <v>188.51</v>
      </c>
      <c r="F91" s="159">
        <f>'2. XL-1F kh'!AA6</f>
        <v>188.51</v>
      </c>
      <c r="G91" s="159">
        <f>'2. XL-1F kh'!K42</f>
        <v>188.51</v>
      </c>
      <c r="H91" s="159">
        <f>'2. XL-1F kh'!S42</f>
        <v>188.51</v>
      </c>
      <c r="I91" s="213">
        <f>'2. XL-1F kh'!AA42</f>
        <v>188.51</v>
      </c>
    </row>
    <row r="92" spans="1:9" ht="21.75" hidden="1" customHeight="1">
      <c r="A92" s="124"/>
      <c r="B92" s="143"/>
      <c r="C92" s="129" t="s">
        <v>109</v>
      </c>
      <c r="D92" s="212" t="e">
        <f>'2. XL-1F kh'!#REF!</f>
        <v>#REF!</v>
      </c>
      <c r="E92" s="159" t="e">
        <f>'2. XL-1F kh'!#REF!</f>
        <v>#REF!</v>
      </c>
      <c r="F92" s="159" t="e">
        <f>'2. XL-1F kh'!#REF!</f>
        <v>#REF!</v>
      </c>
      <c r="G92" s="159" t="e">
        <f>'2. XL-1F kh'!#REF!</f>
        <v>#REF!</v>
      </c>
      <c r="H92" s="159" t="e">
        <f>'2. XL-1F kh'!#REF!</f>
        <v>#REF!</v>
      </c>
      <c r="I92" s="213" t="e">
        <f>'2. XL-1F kh'!#REF!</f>
        <v>#REF!</v>
      </c>
    </row>
    <row r="93" spans="1:9" ht="21.75" hidden="1" customHeight="1">
      <c r="A93" s="125"/>
      <c r="B93" s="144"/>
      <c r="C93" s="129" t="s">
        <v>111</v>
      </c>
      <c r="D93" s="212" t="e">
        <f>'2. XL-1F kh'!#REF!</f>
        <v>#REF!</v>
      </c>
      <c r="E93" s="159" t="e">
        <f>'2. XL-1F kh'!#REF!</f>
        <v>#REF!</v>
      </c>
      <c r="F93" s="159" t="e">
        <f>'2. XL-1F kh'!#REF!</f>
        <v>#REF!</v>
      </c>
      <c r="G93" s="159" t="e">
        <f>'2. XL-1F kh'!#REF!</f>
        <v>#REF!</v>
      </c>
      <c r="H93" s="159" t="e">
        <f>'2. XL-1F kh'!#REF!</f>
        <v>#REF!</v>
      </c>
      <c r="I93" s="213" t="e">
        <f>'2. XL-1F kh'!#REF!</f>
        <v>#REF!</v>
      </c>
    </row>
    <row r="94" spans="1:9" ht="21.75" hidden="1" customHeight="1">
      <c r="A94" s="123">
        <v>2</v>
      </c>
      <c r="B94" s="136" t="s">
        <v>148</v>
      </c>
      <c r="C94" s="142" t="s">
        <v>108</v>
      </c>
      <c r="D94" s="212">
        <f>'2. XL-1F kh'!K8</f>
        <v>231.35</v>
      </c>
      <c r="E94" s="159">
        <f>'2. XL-1F kh'!S8</f>
        <v>231.35</v>
      </c>
      <c r="F94" s="159">
        <f>'2. XL-1F kh'!AA8</f>
        <v>231.35</v>
      </c>
      <c r="G94" s="159">
        <f>'2. XL-1F kh'!K44</f>
        <v>231.35</v>
      </c>
      <c r="H94" s="159">
        <f>'2. XL-1F kh'!S44</f>
        <v>231.35</v>
      </c>
      <c r="I94" s="213">
        <f>'2. XL-1F kh'!AA44</f>
        <v>231.35</v>
      </c>
    </row>
    <row r="95" spans="1:9" ht="21.75" hidden="1" customHeight="1">
      <c r="A95" s="124"/>
      <c r="B95" s="143"/>
      <c r="C95" s="129" t="s">
        <v>109</v>
      </c>
      <c r="D95" s="212" t="e">
        <f>'2. XL-1F kh'!#REF!</f>
        <v>#REF!</v>
      </c>
      <c r="E95" s="159" t="e">
        <f>'2. XL-1F kh'!#REF!</f>
        <v>#REF!</v>
      </c>
      <c r="F95" s="159" t="e">
        <f>'2. XL-1F kh'!#REF!</f>
        <v>#REF!</v>
      </c>
      <c r="G95" s="159" t="e">
        <f>'2. XL-1F kh'!#REF!</f>
        <v>#REF!</v>
      </c>
      <c r="H95" s="159" t="e">
        <f>'2. XL-1F kh'!#REF!</f>
        <v>#REF!</v>
      </c>
      <c r="I95" s="213" t="e">
        <f>'2. XL-1F kh'!#REF!</f>
        <v>#REF!</v>
      </c>
    </row>
    <row r="96" spans="1:9" ht="21.75" hidden="1" customHeight="1">
      <c r="A96" s="125"/>
      <c r="B96" s="144"/>
      <c r="C96" s="129" t="s">
        <v>111</v>
      </c>
      <c r="D96" s="212" t="e">
        <f>'2. XL-1F kh'!#REF!</f>
        <v>#REF!</v>
      </c>
      <c r="E96" s="159" t="e">
        <f>'2. XL-1F kh'!#REF!</f>
        <v>#REF!</v>
      </c>
      <c r="F96" s="159" t="e">
        <f>'2. XL-1F kh'!#REF!</f>
        <v>#REF!</v>
      </c>
      <c r="G96" s="159" t="e">
        <f>'2. XL-1F kh'!#REF!</f>
        <v>#REF!</v>
      </c>
      <c r="H96" s="159" t="e">
        <f>'2. XL-1F kh'!#REF!</f>
        <v>#REF!</v>
      </c>
      <c r="I96" s="213" t="e">
        <f>'2. XL-1F kh'!#REF!</f>
        <v>#REF!</v>
      </c>
    </row>
    <row r="97" spans="1:9" ht="21.75" hidden="1" customHeight="1">
      <c r="A97" s="123">
        <v>3</v>
      </c>
      <c r="B97" s="140" t="s">
        <v>149</v>
      </c>
      <c r="C97" s="142" t="s">
        <v>108</v>
      </c>
      <c r="D97" s="212">
        <f>'2. XL-1F kh'!K10</f>
        <v>69.36</v>
      </c>
      <c r="E97" s="159">
        <f>'2. XL-1F kh'!S10</f>
        <v>69.36</v>
      </c>
      <c r="F97" s="159">
        <f>'2. XL-1F kh'!AA10</f>
        <v>69.36</v>
      </c>
      <c r="G97" s="159">
        <f>'2. XL-1F kh'!K46</f>
        <v>69.36</v>
      </c>
      <c r="H97" s="159">
        <f>'2. XL-1F kh'!S46</f>
        <v>69.36</v>
      </c>
      <c r="I97" s="213">
        <f>'2. XL-1F kh'!AA46</f>
        <v>69.36</v>
      </c>
    </row>
    <row r="98" spans="1:9" ht="21.75" hidden="1" customHeight="1">
      <c r="A98" s="125"/>
      <c r="B98" s="141"/>
      <c r="C98" s="129" t="s">
        <v>112</v>
      </c>
      <c r="D98" s="212">
        <f>'2. XL-1F kh'!K11</f>
        <v>19.4208</v>
      </c>
      <c r="E98" s="159">
        <f>'2. XL-1F kh'!S11</f>
        <v>19.4208</v>
      </c>
      <c r="F98" s="159">
        <f>'2. XL-1F kh'!AA11</f>
        <v>19.4208</v>
      </c>
      <c r="G98" s="159">
        <f>'2. XL-1F kh'!K47</f>
        <v>19.4208</v>
      </c>
      <c r="H98" s="159">
        <f>'2. XL-1F kh'!S47</f>
        <v>19.4208</v>
      </c>
      <c r="I98" s="213">
        <f>'2. XL-1F kh'!AA47</f>
        <v>19.4208</v>
      </c>
    </row>
    <row r="99" spans="1:9" ht="21.75" hidden="1" customHeight="1">
      <c r="A99" s="123">
        <v>4</v>
      </c>
      <c r="B99" s="140" t="s">
        <v>150</v>
      </c>
      <c r="C99" s="142" t="s">
        <v>108</v>
      </c>
      <c r="D99" s="212">
        <f>'2. XL-1F kh'!K12</f>
        <v>87.54</v>
      </c>
      <c r="E99" s="159">
        <f>'2. XL-1F kh'!S12</f>
        <v>87.54</v>
      </c>
      <c r="F99" s="159">
        <f>'2. XL-1F kh'!AA12</f>
        <v>87.54</v>
      </c>
      <c r="G99" s="159">
        <f>'2. XL-1F kh'!K48</f>
        <v>87.54</v>
      </c>
      <c r="H99" s="159">
        <f>'2. XL-1F kh'!S48</f>
        <v>87.54</v>
      </c>
      <c r="I99" s="213">
        <f>'2. XL-1F kh'!AA48</f>
        <v>87.54</v>
      </c>
    </row>
    <row r="100" spans="1:9" ht="21.75" hidden="1" customHeight="1">
      <c r="A100" s="125"/>
      <c r="B100" s="141"/>
      <c r="C100" s="129" t="s">
        <v>112</v>
      </c>
      <c r="D100" s="212">
        <f>'2. XL-1F kh'!K13</f>
        <v>24.511200000000002</v>
      </c>
      <c r="E100" s="159">
        <f>'2. XL-1F kh'!S13</f>
        <v>24.511200000000002</v>
      </c>
      <c r="F100" s="159">
        <f>'2. XL-1F kh'!AA13</f>
        <v>24.511200000000002</v>
      </c>
      <c r="G100" s="159">
        <f>'2. XL-1F kh'!K49</f>
        <v>24.511200000000002</v>
      </c>
      <c r="H100" s="159">
        <f>'2. XL-1F kh'!S49</f>
        <v>24.511200000000002</v>
      </c>
      <c r="I100" s="213">
        <f>'2. XL-1F kh'!AA49</f>
        <v>24.511200000000002</v>
      </c>
    </row>
    <row r="101" spans="1:9" ht="21.75" hidden="1" customHeight="1">
      <c r="A101" s="126">
        <v>5</v>
      </c>
      <c r="B101" s="129" t="s">
        <v>82</v>
      </c>
      <c r="C101" s="130"/>
      <c r="D101" s="212">
        <f>'2. XL-1F kh'!K14</f>
        <v>2793.14</v>
      </c>
      <c r="E101" s="159">
        <f>'2. XL-1F kh'!S14</f>
        <v>2793.14</v>
      </c>
      <c r="F101" s="159">
        <f>'2. XL-1F kh'!AA14</f>
        <v>2793.14</v>
      </c>
      <c r="G101" s="159">
        <f>'2. XL-1F kh'!K50</f>
        <v>2793.14</v>
      </c>
      <c r="H101" s="159">
        <f>'2. XL-1F kh'!S50</f>
        <v>2793.14</v>
      </c>
      <c r="I101" s="213">
        <f>'2. XL-1F kh'!AA50</f>
        <v>2793.14</v>
      </c>
    </row>
    <row r="102" spans="1:9" ht="21.75" hidden="1" customHeight="1">
      <c r="A102" s="126">
        <v>6</v>
      </c>
      <c r="B102" s="129" t="s">
        <v>60</v>
      </c>
      <c r="C102" s="130"/>
      <c r="D102" s="212">
        <f>'2. XL-1F kh'!K15</f>
        <v>199.51</v>
      </c>
      <c r="E102" s="159">
        <f>'2. XL-1F kh'!S15</f>
        <v>199.51</v>
      </c>
      <c r="F102" s="159">
        <f>'2. XL-1F kh'!AA15</f>
        <v>199.51</v>
      </c>
      <c r="G102" s="159">
        <f>'2. XL-1F kh'!K51</f>
        <v>199.51</v>
      </c>
      <c r="H102" s="159">
        <f>'2. XL-1F kh'!S51</f>
        <v>199.51</v>
      </c>
      <c r="I102" s="213">
        <f>'2. XL-1F kh'!AA51</f>
        <v>199.51</v>
      </c>
    </row>
    <row r="103" spans="1:9" ht="21.75" hidden="1" customHeight="1">
      <c r="A103" s="134">
        <v>7</v>
      </c>
      <c r="B103" s="136" t="s">
        <v>114</v>
      </c>
      <c r="C103" s="137"/>
      <c r="D103" s="212">
        <f>'2. XL-1F kh'!K16</f>
        <v>52.015074999999996</v>
      </c>
      <c r="E103" s="159">
        <f>'2. XL-1F kh'!S16</f>
        <v>52.015074999999996</v>
      </c>
      <c r="F103" s="159">
        <f>'2. XL-1F kh'!AA16</f>
        <v>52.015074999999996</v>
      </c>
      <c r="G103" s="159">
        <f>'2. XL-1F kh'!K52</f>
        <v>52.015074999999996</v>
      </c>
      <c r="H103" s="159">
        <f>'2. XL-1F kh'!S52</f>
        <v>52.015074999999996</v>
      </c>
      <c r="I103" s="213">
        <f>'2. XL-1F kh'!AA52</f>
        <v>52.015074999999996</v>
      </c>
    </row>
    <row r="104" spans="1:9" ht="21.75" hidden="1" customHeight="1">
      <c r="A104" s="135"/>
      <c r="B104" s="138"/>
      <c r="C104" s="139"/>
      <c r="D104" s="212">
        <f>'2. XL-1F kh'!K17</f>
        <v>0</v>
      </c>
      <c r="E104" s="159">
        <f>'2. XL-1F kh'!S17</f>
        <v>0</v>
      </c>
      <c r="F104" s="159">
        <f>'2. XL-1F kh'!AA17</f>
        <v>0</v>
      </c>
      <c r="G104" s="159">
        <f>'2. XL-1F kh'!K53</f>
        <v>0</v>
      </c>
      <c r="H104" s="159">
        <f>'2. XL-1F kh'!S53</f>
        <v>0</v>
      </c>
      <c r="I104" s="213">
        <f>'2. XL-1F kh'!AA53</f>
        <v>0</v>
      </c>
    </row>
    <row r="105" spans="1:9" ht="21.75" hidden="1" customHeight="1">
      <c r="A105" s="126">
        <v>8</v>
      </c>
      <c r="B105" s="129" t="s">
        <v>61</v>
      </c>
      <c r="C105" s="130"/>
      <c r="D105" s="212">
        <f>'2. XL-1F kh'!K18</f>
        <v>954.9</v>
      </c>
      <c r="E105" s="159">
        <f>'2. XL-1F kh'!S18</f>
        <v>954.9</v>
      </c>
      <c r="F105" s="159">
        <f>'2. XL-1F kh'!AA18</f>
        <v>954.9</v>
      </c>
      <c r="G105" s="159">
        <f>'2. XL-1F kh'!K54</f>
        <v>954.9</v>
      </c>
      <c r="H105" s="159">
        <f>'2. XL-1F kh'!S54</f>
        <v>954.9</v>
      </c>
      <c r="I105" s="213">
        <f>'2. XL-1F kh'!AA54</f>
        <v>954.9</v>
      </c>
    </row>
    <row r="106" spans="1:9" ht="21.75" hidden="1" customHeight="1">
      <c r="A106" s="126">
        <v>9</v>
      </c>
      <c r="B106" s="129" t="s">
        <v>62</v>
      </c>
      <c r="C106" s="130"/>
      <c r="D106" s="212">
        <f>'2. XL-1F kh'!K19</f>
        <v>134.64000000000001</v>
      </c>
      <c r="E106" s="159">
        <f>'2. XL-1F kh'!S19</f>
        <v>134.64000000000001</v>
      </c>
      <c r="F106" s="159">
        <f>'2. XL-1F kh'!AA19</f>
        <v>134.64000000000001</v>
      </c>
      <c r="G106" s="159">
        <f>'2. XL-1F kh'!K55</f>
        <v>134.64000000000001</v>
      </c>
      <c r="H106" s="159">
        <f>'2. XL-1F kh'!S55</f>
        <v>134.64000000000001</v>
      </c>
      <c r="I106" s="213">
        <f>'2. XL-1F kh'!AA55</f>
        <v>134.64000000000001</v>
      </c>
    </row>
    <row r="107" spans="1:9" ht="21.75" hidden="1" customHeight="1">
      <c r="A107" s="126">
        <v>11</v>
      </c>
      <c r="B107" s="129" t="s">
        <v>116</v>
      </c>
      <c r="C107" s="130"/>
      <c r="D107" s="212">
        <f>'2. XL-1F kh'!K20</f>
        <v>57.5</v>
      </c>
      <c r="E107" s="159">
        <f>'2. XL-1F kh'!S20</f>
        <v>57.5</v>
      </c>
      <c r="F107" s="159">
        <f>'2. XL-1F kh'!AA20</f>
        <v>57.5</v>
      </c>
      <c r="G107" s="159">
        <f>'2. XL-1F kh'!K56</f>
        <v>57.5</v>
      </c>
      <c r="H107" s="159">
        <f>'2. XL-1F kh'!S56</f>
        <v>57.5</v>
      </c>
      <c r="I107" s="213">
        <f>'2. XL-1F kh'!AA56</f>
        <v>57.5</v>
      </c>
    </row>
    <row r="108" spans="1:9" ht="21.75" hidden="1" customHeight="1">
      <c r="A108" s="126">
        <v>12</v>
      </c>
      <c r="B108" s="129" t="s">
        <v>115</v>
      </c>
      <c r="C108" s="130"/>
      <c r="D108" s="214">
        <f>'2. XL-1F kh'!K21</f>
        <v>8.1538461538461533</v>
      </c>
      <c r="E108" s="163">
        <f>'2. XL-1F kh'!S21</f>
        <v>8.1538461538461533</v>
      </c>
      <c r="F108" s="163">
        <f>'2. XL-1F kh'!AA21</f>
        <v>8.1538461538461533</v>
      </c>
      <c r="G108" s="163">
        <f>'2. XL-1F kh'!K57</f>
        <v>8.1538461538461533</v>
      </c>
      <c r="H108" s="163">
        <f>'2. XL-1F kh'!S57</f>
        <v>8.1538461538461533</v>
      </c>
      <c r="I108" s="215">
        <f>'2. XL-1F kh'!AA57</f>
        <v>8.1538461538461533</v>
      </c>
    </row>
    <row r="109" spans="1:9" ht="21.75" hidden="1" customHeight="1">
      <c r="D109" s="204"/>
      <c r="E109" s="152"/>
      <c r="F109" s="152"/>
      <c r="G109" s="152"/>
      <c r="H109" s="152"/>
      <c r="I109" s="205"/>
    </row>
    <row r="110" spans="1:9" ht="39" hidden="1" customHeight="1">
      <c r="A110" s="187"/>
      <c r="B110" s="185" t="s">
        <v>228</v>
      </c>
      <c r="C110" s="188"/>
      <c r="D110" s="216"/>
      <c r="E110" s="189"/>
      <c r="F110" s="152"/>
      <c r="G110" s="152"/>
      <c r="H110" s="152"/>
      <c r="I110" s="205"/>
    </row>
    <row r="111" spans="1:9" ht="21.75" hidden="1" customHeight="1">
      <c r="A111" s="182" t="s">
        <v>7</v>
      </c>
      <c r="B111" s="170"/>
      <c r="C111" s="170"/>
      <c r="D111" s="206" t="s">
        <v>171</v>
      </c>
      <c r="E111" s="161"/>
      <c r="F111" s="161"/>
      <c r="G111" s="161"/>
      <c r="H111" s="161"/>
      <c r="I111" s="207"/>
    </row>
    <row r="112" spans="1:9" ht="21.75" hidden="1" customHeight="1">
      <c r="A112" s="183"/>
      <c r="B112" s="179"/>
      <c r="C112" s="179"/>
      <c r="D112" s="210">
        <v>0.25</v>
      </c>
      <c r="E112" s="156">
        <v>0.41666666666666669</v>
      </c>
      <c r="F112" s="156">
        <v>0.58333333333333337</v>
      </c>
      <c r="G112" s="156">
        <v>0.75</v>
      </c>
      <c r="H112" s="156">
        <v>0.91666666666666663</v>
      </c>
      <c r="I112" s="211">
        <v>8.3333333333333329E-2</v>
      </c>
    </row>
    <row r="113" spans="1:9" ht="21.75" hidden="1" customHeight="1">
      <c r="A113" s="2391">
        <v>1</v>
      </c>
      <c r="B113" s="2393" t="s">
        <v>147</v>
      </c>
      <c r="C113" s="190" t="s">
        <v>108</v>
      </c>
      <c r="D113" s="204" t="e">
        <f>#REF!</f>
        <v>#REF!</v>
      </c>
      <c r="E113" s="152" t="e">
        <f>#REF!</f>
        <v>#REF!</v>
      </c>
      <c r="F113" s="152" t="e">
        <f>#REF!</f>
        <v>#REF!</v>
      </c>
      <c r="G113" s="152" t="e">
        <f>#REF!</f>
        <v>#REF!</v>
      </c>
      <c r="H113" s="152" t="e">
        <f>#REF!</f>
        <v>#REF!</v>
      </c>
      <c r="I113" s="205" t="e">
        <f>#REF!</f>
        <v>#REF!</v>
      </c>
    </row>
    <row r="114" spans="1:9" ht="21.75" hidden="1" customHeight="1">
      <c r="A114" s="2391"/>
      <c r="B114" s="2394"/>
      <c r="C114" s="191" t="s">
        <v>109</v>
      </c>
      <c r="D114" s="204" t="e">
        <f>#REF!</f>
        <v>#REF!</v>
      </c>
      <c r="E114" s="152" t="e">
        <f>#REF!</f>
        <v>#REF!</v>
      </c>
      <c r="F114" s="152" t="e">
        <f>#REF!</f>
        <v>#REF!</v>
      </c>
      <c r="G114" s="152" t="e">
        <f>#REF!</f>
        <v>#REF!</v>
      </c>
      <c r="H114" s="152" t="e">
        <f>#REF!</f>
        <v>#REF!</v>
      </c>
      <c r="I114" s="205" t="e">
        <f>#REF!</f>
        <v>#REF!</v>
      </c>
    </row>
    <row r="115" spans="1:9" ht="21.75" hidden="1" customHeight="1">
      <c r="A115" s="2392"/>
      <c r="B115" s="2395"/>
      <c r="C115" s="139" t="s">
        <v>111</v>
      </c>
      <c r="D115" s="202" t="e">
        <f>#REF!</f>
        <v>#REF!</v>
      </c>
      <c r="E115" s="153" t="e">
        <f>#REF!</f>
        <v>#REF!</v>
      </c>
      <c r="F115" s="153" t="e">
        <f>#REF!</f>
        <v>#REF!</v>
      </c>
      <c r="G115" s="153" t="e">
        <f>#REF!</f>
        <v>#REF!</v>
      </c>
      <c r="H115" s="153" t="e">
        <f>#REF!</f>
        <v>#REF!</v>
      </c>
      <c r="I115" s="203" t="e">
        <f>#REF!</f>
        <v>#REF!</v>
      </c>
    </row>
    <row r="116" spans="1:9" ht="21.75" hidden="1" customHeight="1">
      <c r="A116" s="2338">
        <v>2</v>
      </c>
      <c r="B116" s="2396" t="s">
        <v>148</v>
      </c>
      <c r="C116" s="144" t="s">
        <v>108</v>
      </c>
      <c r="D116" s="204" t="e">
        <f>#REF!</f>
        <v>#REF!</v>
      </c>
      <c r="E116" s="152" t="e">
        <f>#REF!</f>
        <v>#REF!</v>
      </c>
      <c r="F116" s="152" t="e">
        <f>#REF!</f>
        <v>#REF!</v>
      </c>
      <c r="G116" s="152" t="e">
        <f>#REF!</f>
        <v>#REF!</v>
      </c>
      <c r="H116" s="152" t="e">
        <f>#REF!</f>
        <v>#REF!</v>
      </c>
      <c r="I116" s="205" t="e">
        <f>#REF!</f>
        <v>#REF!</v>
      </c>
    </row>
    <row r="117" spans="1:9" ht="21.75" hidden="1" customHeight="1">
      <c r="A117" s="2338"/>
      <c r="B117" s="2323"/>
      <c r="C117" s="129" t="s">
        <v>109</v>
      </c>
      <c r="D117" s="204" t="e">
        <f>#REF!</f>
        <v>#REF!</v>
      </c>
      <c r="E117" s="152" t="e">
        <f>#REF!</f>
        <v>#REF!</v>
      </c>
      <c r="F117" s="152" t="e">
        <f>#REF!</f>
        <v>#REF!</v>
      </c>
      <c r="G117" s="152" t="e">
        <f>#REF!</f>
        <v>#REF!</v>
      </c>
      <c r="H117" s="152" t="e">
        <f>#REF!</f>
        <v>#REF!</v>
      </c>
      <c r="I117" s="205" t="e">
        <f>#REF!</f>
        <v>#REF!</v>
      </c>
    </row>
    <row r="118" spans="1:9" ht="21.75" hidden="1" customHeight="1">
      <c r="A118" s="2320"/>
      <c r="B118" s="2325"/>
      <c r="C118" s="129" t="s">
        <v>111</v>
      </c>
      <c r="D118" s="204" t="e">
        <f>#REF!</f>
        <v>#REF!</v>
      </c>
      <c r="E118" s="152" t="e">
        <f>#REF!</f>
        <v>#REF!</v>
      </c>
      <c r="F118" s="152" t="e">
        <f>#REF!</f>
        <v>#REF!</v>
      </c>
      <c r="G118" s="152" t="e">
        <f>#REF!</f>
        <v>#REF!</v>
      </c>
      <c r="H118" s="152" t="e">
        <f>#REF!</f>
        <v>#REF!</v>
      </c>
      <c r="I118" s="205" t="e">
        <f>#REF!</f>
        <v>#REF!</v>
      </c>
    </row>
    <row r="119" spans="1:9" ht="21.75" hidden="1" customHeight="1">
      <c r="A119" s="2319">
        <v>3</v>
      </c>
      <c r="B119" s="2289" t="s">
        <v>149</v>
      </c>
      <c r="C119" s="142" t="s">
        <v>108</v>
      </c>
      <c r="D119" s="204" t="e">
        <f>#REF!</f>
        <v>#REF!</v>
      </c>
      <c r="E119" s="152" t="e">
        <f>#REF!</f>
        <v>#REF!</v>
      </c>
      <c r="F119" s="152" t="e">
        <f>#REF!</f>
        <v>#REF!</v>
      </c>
      <c r="G119" s="152" t="e">
        <f>#REF!</f>
        <v>#REF!</v>
      </c>
      <c r="H119" s="152" t="e">
        <f>#REF!</f>
        <v>#REF!</v>
      </c>
      <c r="I119" s="205" t="e">
        <f>#REF!</f>
        <v>#REF!</v>
      </c>
    </row>
    <row r="120" spans="1:9" ht="21.75" hidden="1" customHeight="1">
      <c r="A120" s="2320"/>
      <c r="B120" s="2290"/>
      <c r="C120" s="129" t="s">
        <v>112</v>
      </c>
      <c r="D120" s="204" t="e">
        <f>#REF!</f>
        <v>#REF!</v>
      </c>
      <c r="E120" s="152" t="e">
        <f>#REF!</f>
        <v>#REF!</v>
      </c>
      <c r="F120" s="152" t="e">
        <f>#REF!</f>
        <v>#REF!</v>
      </c>
      <c r="G120" s="152" t="e">
        <f>#REF!</f>
        <v>#REF!</v>
      </c>
      <c r="H120" s="152" t="e">
        <f>#REF!</f>
        <v>#REF!</v>
      </c>
      <c r="I120" s="205" t="e">
        <f>#REF!</f>
        <v>#REF!</v>
      </c>
    </row>
    <row r="121" spans="1:9" ht="21.75" hidden="1" customHeight="1">
      <c r="A121" s="2319">
        <v>4</v>
      </c>
      <c r="B121" s="2289" t="s">
        <v>150</v>
      </c>
      <c r="C121" s="142" t="s">
        <v>108</v>
      </c>
      <c r="D121" s="204" t="e">
        <f>#REF!</f>
        <v>#REF!</v>
      </c>
      <c r="E121" s="152" t="e">
        <f>#REF!</f>
        <v>#REF!</v>
      </c>
      <c r="F121" s="152" t="e">
        <f>#REF!</f>
        <v>#REF!</v>
      </c>
      <c r="G121" s="152" t="e">
        <f>#REF!</f>
        <v>#REF!</v>
      </c>
      <c r="H121" s="152" t="e">
        <f>#REF!</f>
        <v>#REF!</v>
      </c>
      <c r="I121" s="205" t="e">
        <f>#REF!</f>
        <v>#REF!</v>
      </c>
    </row>
    <row r="122" spans="1:9" ht="21.75" hidden="1" customHeight="1">
      <c r="A122" s="2320"/>
      <c r="B122" s="2290"/>
      <c r="C122" s="129" t="s">
        <v>112</v>
      </c>
      <c r="D122" s="204" t="e">
        <f>#REF!</f>
        <v>#REF!</v>
      </c>
      <c r="E122" s="152" t="e">
        <f>#REF!</f>
        <v>#REF!</v>
      </c>
      <c r="F122" s="152" t="e">
        <f>#REF!</f>
        <v>#REF!</v>
      </c>
      <c r="G122" s="152" t="e">
        <f>#REF!</f>
        <v>#REF!</v>
      </c>
      <c r="H122" s="152" t="e">
        <f>#REF!</f>
        <v>#REF!</v>
      </c>
      <c r="I122" s="205" t="e">
        <f>#REF!</f>
        <v>#REF!</v>
      </c>
    </row>
    <row r="123" spans="1:9" ht="21.75" hidden="1" customHeight="1">
      <c r="A123" s="126">
        <v>5</v>
      </c>
      <c r="B123" s="2291" t="s">
        <v>82</v>
      </c>
      <c r="C123" s="2312"/>
      <c r="D123" s="204" t="e">
        <f>#REF!</f>
        <v>#REF!</v>
      </c>
      <c r="E123" s="152" t="e">
        <f>#REF!</f>
        <v>#REF!</v>
      </c>
      <c r="F123" s="152" t="e">
        <f>#REF!</f>
        <v>#REF!</v>
      </c>
      <c r="G123" s="152" t="e">
        <f>#REF!</f>
        <v>#REF!</v>
      </c>
      <c r="H123" s="152" t="e">
        <f>#REF!</f>
        <v>#REF!</v>
      </c>
      <c r="I123" s="205" t="e">
        <f>#REF!</f>
        <v>#REF!</v>
      </c>
    </row>
    <row r="124" spans="1:9" ht="21.75" hidden="1" customHeight="1">
      <c r="A124" s="126">
        <v>6</v>
      </c>
      <c r="B124" s="2291" t="s">
        <v>60</v>
      </c>
      <c r="C124" s="2312"/>
      <c r="D124" s="204" t="e">
        <f>#REF!</f>
        <v>#REF!</v>
      </c>
      <c r="E124" s="152" t="e">
        <f>#REF!</f>
        <v>#REF!</v>
      </c>
      <c r="F124" s="152" t="e">
        <f>#REF!</f>
        <v>#REF!</v>
      </c>
      <c r="G124" s="152" t="e">
        <f>#REF!</f>
        <v>#REF!</v>
      </c>
      <c r="H124" s="152" t="e">
        <f>#REF!</f>
        <v>#REF!</v>
      </c>
      <c r="I124" s="205" t="e">
        <f>#REF!</f>
        <v>#REF!</v>
      </c>
    </row>
    <row r="125" spans="1:9" ht="21.75" hidden="1" customHeight="1">
      <c r="A125" s="2389">
        <v>7</v>
      </c>
      <c r="B125" s="2272" t="s">
        <v>165</v>
      </c>
      <c r="C125" s="2273"/>
      <c r="D125" s="204" t="e">
        <f>#REF!</f>
        <v>#REF!</v>
      </c>
      <c r="E125" s="152" t="e">
        <f>#REF!</f>
        <v>#REF!</v>
      </c>
      <c r="F125" s="152" t="e">
        <f>#REF!</f>
        <v>#REF!</v>
      </c>
      <c r="G125" s="152" t="e">
        <f>#REF!</f>
        <v>#REF!</v>
      </c>
      <c r="H125" s="152" t="e">
        <f>#REF!</f>
        <v>#REF!</v>
      </c>
      <c r="I125" s="205" t="e">
        <f>#REF!</f>
        <v>#REF!</v>
      </c>
    </row>
    <row r="126" spans="1:9" ht="21.75" hidden="1" customHeight="1">
      <c r="A126" s="2390"/>
      <c r="B126" s="2275"/>
      <c r="C126" s="2276"/>
      <c r="D126" s="204" t="e">
        <f>#REF!</f>
        <v>#REF!</v>
      </c>
      <c r="E126" s="152" t="e">
        <f>#REF!</f>
        <v>#REF!</v>
      </c>
      <c r="F126" s="152" t="e">
        <f>#REF!</f>
        <v>#REF!</v>
      </c>
      <c r="G126" s="152" t="e">
        <f>#REF!</f>
        <v>#REF!</v>
      </c>
      <c r="H126" s="152" t="e">
        <f>#REF!</f>
        <v>#REF!</v>
      </c>
      <c r="I126" s="205" t="e">
        <f>#REF!</f>
        <v>#REF!</v>
      </c>
    </row>
    <row r="127" spans="1:9" ht="21.75" hidden="1" customHeight="1">
      <c r="A127" s="126">
        <v>8</v>
      </c>
      <c r="B127" s="2291" t="s">
        <v>61</v>
      </c>
      <c r="C127" s="2312"/>
      <c r="D127" s="204" t="e">
        <f>#REF!</f>
        <v>#REF!</v>
      </c>
      <c r="E127" s="152" t="e">
        <f>#REF!</f>
        <v>#REF!</v>
      </c>
      <c r="F127" s="152" t="e">
        <f>#REF!</f>
        <v>#REF!</v>
      </c>
      <c r="G127" s="152" t="e">
        <f>#REF!</f>
        <v>#REF!</v>
      </c>
      <c r="H127" s="152" t="e">
        <f>#REF!</f>
        <v>#REF!</v>
      </c>
      <c r="I127" s="205" t="e">
        <f>#REF!</f>
        <v>#REF!</v>
      </c>
    </row>
    <row r="128" spans="1:9" ht="21.75" hidden="1" customHeight="1">
      <c r="A128" s="126">
        <v>9</v>
      </c>
      <c r="B128" s="2291" t="s">
        <v>62</v>
      </c>
      <c r="C128" s="2312"/>
      <c r="D128" s="204" t="e">
        <f>#REF!</f>
        <v>#REF!</v>
      </c>
      <c r="E128" s="152" t="e">
        <f>#REF!</f>
        <v>#REF!</v>
      </c>
      <c r="F128" s="152" t="e">
        <f>#REF!</f>
        <v>#REF!</v>
      </c>
      <c r="G128" s="152" t="e">
        <f>#REF!</f>
        <v>#REF!</v>
      </c>
      <c r="H128" s="152" t="e">
        <f>#REF!</f>
        <v>#REF!</v>
      </c>
      <c r="I128" s="205" t="e">
        <f>#REF!</f>
        <v>#REF!</v>
      </c>
    </row>
    <row r="129" spans="1:9" ht="21.75" hidden="1" customHeight="1">
      <c r="A129" s="126">
        <v>10</v>
      </c>
      <c r="B129" s="2291" t="s">
        <v>115</v>
      </c>
      <c r="C129" s="2312"/>
      <c r="D129" s="204" t="e">
        <f>#REF!</f>
        <v>#REF!</v>
      </c>
      <c r="E129" s="152" t="e">
        <f>#REF!</f>
        <v>#REF!</v>
      </c>
      <c r="F129" s="152" t="e">
        <f>#REF!</f>
        <v>#REF!</v>
      </c>
      <c r="G129" s="152" t="e">
        <f>#REF!</f>
        <v>#REF!</v>
      </c>
      <c r="H129" s="152" t="e">
        <f>#REF!</f>
        <v>#REF!</v>
      </c>
      <c r="I129" s="205" t="e">
        <f>#REF!</f>
        <v>#REF!</v>
      </c>
    </row>
    <row r="130" spans="1:9" ht="21.75" hidden="1" customHeight="1">
      <c r="A130" s="165"/>
      <c r="B130" s="166" t="s">
        <v>117</v>
      </c>
      <c r="C130" s="173"/>
      <c r="D130" s="206" t="s">
        <v>173</v>
      </c>
      <c r="E130" s="161"/>
      <c r="F130" s="161"/>
      <c r="G130" s="161"/>
      <c r="H130" s="161"/>
      <c r="I130" s="207"/>
    </row>
    <row r="131" spans="1:9" ht="21.75" hidden="1" customHeight="1">
      <c r="A131" s="167" t="s">
        <v>7</v>
      </c>
      <c r="B131" s="168" t="s">
        <v>64</v>
      </c>
      <c r="C131" s="169"/>
      <c r="D131" s="208">
        <v>0.25</v>
      </c>
      <c r="E131" s="164">
        <v>0.41666666666666669</v>
      </c>
      <c r="F131" s="164">
        <v>0.58333333333333337</v>
      </c>
      <c r="G131" s="164">
        <v>0.75</v>
      </c>
      <c r="H131" s="164">
        <v>0.91666666666666663</v>
      </c>
      <c r="I131" s="209">
        <v>8.3333333333333329E-2</v>
      </c>
    </row>
    <row r="132" spans="1:9" ht="21.75" hidden="1" customHeight="1">
      <c r="A132" s="145">
        <v>1</v>
      </c>
      <c r="B132" s="2146" t="s">
        <v>68</v>
      </c>
      <c r="C132" s="2180"/>
      <c r="D132" s="204" t="e">
        <f>#REF!</f>
        <v>#REF!</v>
      </c>
      <c r="E132" s="152" t="e">
        <f>#REF!</f>
        <v>#REF!</v>
      </c>
      <c r="F132" s="152" t="e">
        <f>#REF!</f>
        <v>#REF!</v>
      </c>
      <c r="G132" s="152" t="e">
        <f>#REF!</f>
        <v>#REF!</v>
      </c>
      <c r="H132" s="152" t="e">
        <f>#REF!</f>
        <v>#REF!</v>
      </c>
      <c r="I132" s="205" t="e">
        <f>#REF!</f>
        <v>#REF!</v>
      </c>
    </row>
    <row r="133" spans="1:9" ht="21.75" hidden="1" customHeight="1">
      <c r="A133" s="145">
        <v>2</v>
      </c>
      <c r="B133" s="2146" t="s">
        <v>69</v>
      </c>
      <c r="C133" s="2180" t="s">
        <v>69</v>
      </c>
      <c r="D133" s="204" t="e">
        <f>#REF!</f>
        <v>#REF!</v>
      </c>
      <c r="E133" s="152" t="e">
        <f>#REF!</f>
        <v>#REF!</v>
      </c>
      <c r="F133" s="152" t="e">
        <f>#REF!</f>
        <v>#REF!</v>
      </c>
      <c r="G133" s="152" t="e">
        <f>#REF!</f>
        <v>#REF!</v>
      </c>
      <c r="H133" s="152" t="e">
        <f>#REF!</f>
        <v>#REF!</v>
      </c>
      <c r="I133" s="205" t="e">
        <f>#REF!</f>
        <v>#REF!</v>
      </c>
    </row>
    <row r="134" spans="1:9" ht="21.75" hidden="1" customHeight="1">
      <c r="A134" s="145">
        <v>3</v>
      </c>
      <c r="B134" s="2146" t="s">
        <v>71</v>
      </c>
      <c r="C134" s="2180" t="s">
        <v>71</v>
      </c>
      <c r="D134" s="204" t="e">
        <f>#REF!</f>
        <v>#REF!</v>
      </c>
      <c r="E134" s="152" t="e">
        <f>#REF!</f>
        <v>#REF!</v>
      </c>
      <c r="F134" s="152" t="e">
        <f>#REF!</f>
        <v>#REF!</v>
      </c>
      <c r="G134" s="152" t="e">
        <f>#REF!</f>
        <v>#REF!</v>
      </c>
      <c r="H134" s="152" t="e">
        <f>#REF!</f>
        <v>#REF!</v>
      </c>
      <c r="I134" s="205" t="e">
        <f>#REF!</f>
        <v>#REF!</v>
      </c>
    </row>
    <row r="135" spans="1:9" ht="21.75" hidden="1" customHeight="1">
      <c r="A135" s="145">
        <v>4</v>
      </c>
      <c r="B135" s="2146" t="s">
        <v>70</v>
      </c>
      <c r="C135" s="2180" t="s">
        <v>70</v>
      </c>
      <c r="D135" s="204" t="e">
        <f>#REF!</f>
        <v>#REF!</v>
      </c>
      <c r="E135" s="152" t="e">
        <f>#REF!</f>
        <v>#REF!</v>
      </c>
      <c r="F135" s="152" t="e">
        <f>#REF!</f>
        <v>#REF!</v>
      </c>
      <c r="G135" s="152" t="e">
        <f>#REF!</f>
        <v>#REF!</v>
      </c>
      <c r="H135" s="152" t="e">
        <f>#REF!</f>
        <v>#REF!</v>
      </c>
      <c r="I135" s="205" t="e">
        <f>#REF!</f>
        <v>#REF!</v>
      </c>
    </row>
    <row r="136" spans="1:9" ht="21.75" hidden="1" customHeight="1">
      <c r="A136" s="145">
        <v>5</v>
      </c>
      <c r="B136" s="2146" t="s">
        <v>72</v>
      </c>
      <c r="C136" s="2180" t="s">
        <v>72</v>
      </c>
      <c r="D136" s="204" t="e">
        <f>#REF!</f>
        <v>#REF!</v>
      </c>
      <c r="E136" s="152" t="e">
        <f>#REF!</f>
        <v>#REF!</v>
      </c>
      <c r="F136" s="152" t="e">
        <f>#REF!</f>
        <v>#REF!</v>
      </c>
      <c r="G136" s="152" t="e">
        <f>#REF!</f>
        <v>#REF!</v>
      </c>
      <c r="H136" s="152" t="e">
        <f>#REF!</f>
        <v>#REF!</v>
      </c>
      <c r="I136" s="205" t="e">
        <f>#REF!</f>
        <v>#REF!</v>
      </c>
    </row>
    <row r="137" spans="1:9" ht="21.75" hidden="1" customHeight="1">
      <c r="A137" s="145">
        <v>6</v>
      </c>
      <c r="B137" s="2146" t="s">
        <v>95</v>
      </c>
      <c r="C137" s="2180" t="s">
        <v>95</v>
      </c>
      <c r="D137" s="204" t="e">
        <f>#REF!</f>
        <v>#REF!</v>
      </c>
      <c r="E137" s="152" t="e">
        <f>#REF!</f>
        <v>#REF!</v>
      </c>
      <c r="F137" s="152" t="e">
        <f>#REF!</f>
        <v>#REF!</v>
      </c>
      <c r="G137" s="152" t="e">
        <f>#REF!</f>
        <v>#REF!</v>
      </c>
      <c r="H137" s="152" t="e">
        <f>#REF!</f>
        <v>#REF!</v>
      </c>
      <c r="I137" s="205" t="e">
        <f>#REF!</f>
        <v>#REF!</v>
      </c>
    </row>
    <row r="138" spans="1:9" ht="21.75" hidden="1" customHeight="1">
      <c r="A138" s="145">
        <v>7</v>
      </c>
      <c r="B138" s="2146" t="s">
        <v>73</v>
      </c>
      <c r="C138" s="2180" t="s">
        <v>73</v>
      </c>
      <c r="D138" s="204" t="e">
        <f>#REF!</f>
        <v>#REF!</v>
      </c>
      <c r="E138" s="152" t="e">
        <f>#REF!</f>
        <v>#REF!</v>
      </c>
      <c r="F138" s="152" t="e">
        <f>#REF!</f>
        <v>#REF!</v>
      </c>
      <c r="G138" s="152" t="e">
        <f>#REF!</f>
        <v>#REF!</v>
      </c>
      <c r="H138" s="152" t="e">
        <f>#REF!</f>
        <v>#REF!</v>
      </c>
      <c r="I138" s="205" t="e">
        <f>#REF!</f>
        <v>#REF!</v>
      </c>
    </row>
    <row r="139" spans="1:9" ht="21.75" hidden="1" customHeight="1">
      <c r="A139" s="145">
        <v>8</v>
      </c>
      <c r="B139" s="2146" t="s">
        <v>74</v>
      </c>
      <c r="C139" s="2180" t="s">
        <v>74</v>
      </c>
      <c r="D139" s="204" t="e">
        <f>#REF!</f>
        <v>#REF!</v>
      </c>
      <c r="E139" s="152" t="e">
        <f>#REF!</f>
        <v>#REF!</v>
      </c>
      <c r="F139" s="152" t="e">
        <f>#REF!</f>
        <v>#REF!</v>
      </c>
      <c r="G139" s="152" t="e">
        <f>#REF!</f>
        <v>#REF!</v>
      </c>
      <c r="H139" s="152" t="e">
        <f>#REF!</f>
        <v>#REF!</v>
      </c>
      <c r="I139" s="205" t="e">
        <f>#REF!</f>
        <v>#REF!</v>
      </c>
    </row>
    <row r="140" spans="1:9" ht="21.75" hidden="1" customHeight="1">
      <c r="A140" s="165"/>
      <c r="B140" s="166" t="s">
        <v>118</v>
      </c>
      <c r="C140" s="173"/>
      <c r="D140" s="206" t="s">
        <v>174</v>
      </c>
      <c r="E140" s="161"/>
      <c r="F140" s="161"/>
      <c r="G140" s="161"/>
      <c r="H140" s="161"/>
      <c r="I140" s="207"/>
    </row>
    <row r="141" spans="1:9" ht="21.75" hidden="1" customHeight="1">
      <c r="A141" s="167" t="s">
        <v>7</v>
      </c>
      <c r="B141" s="168" t="s">
        <v>100</v>
      </c>
      <c r="C141" s="169"/>
      <c r="D141" s="208">
        <v>0.25</v>
      </c>
      <c r="E141" s="164">
        <v>0.41666666666666669</v>
      </c>
      <c r="F141" s="164">
        <v>0.58333333333333337</v>
      </c>
      <c r="G141" s="164">
        <v>0.75</v>
      </c>
      <c r="H141" s="164">
        <v>0.91666666666666663</v>
      </c>
      <c r="I141" s="209">
        <v>8.3333333333333329E-2</v>
      </c>
    </row>
    <row r="142" spans="1:9" ht="21.75" hidden="1" customHeight="1">
      <c r="A142" s="126">
        <v>1</v>
      </c>
      <c r="B142" s="2291" t="s">
        <v>54</v>
      </c>
      <c r="C142" s="2312"/>
      <c r="D142" s="204" t="e">
        <f>#REF!</f>
        <v>#REF!</v>
      </c>
      <c r="E142" s="152" t="e">
        <f>#REF!</f>
        <v>#REF!</v>
      </c>
      <c r="F142" s="152" t="e">
        <f>#REF!</f>
        <v>#REF!</v>
      </c>
      <c r="G142" s="152" t="e">
        <f>#REF!</f>
        <v>#REF!</v>
      </c>
      <c r="H142" s="152" t="e">
        <f>#REF!</f>
        <v>#REF!</v>
      </c>
      <c r="I142" s="205" t="e">
        <f>#REF!</f>
        <v>#REF!</v>
      </c>
    </row>
    <row r="143" spans="1:9" ht="21.75" hidden="1" customHeight="1">
      <c r="A143" s="126">
        <v>2</v>
      </c>
      <c r="B143" s="2291" t="s">
        <v>94</v>
      </c>
      <c r="C143" s="2312"/>
      <c r="D143" s="204" t="e">
        <f>#REF!</f>
        <v>#REF!</v>
      </c>
      <c r="E143" s="152" t="e">
        <f>#REF!</f>
        <v>#REF!</v>
      </c>
      <c r="F143" s="152" t="e">
        <f>#REF!</f>
        <v>#REF!</v>
      </c>
      <c r="G143" s="152" t="e">
        <f>#REF!</f>
        <v>#REF!</v>
      </c>
      <c r="H143" s="152" t="e">
        <f>#REF!</f>
        <v>#REF!</v>
      </c>
      <c r="I143" s="205" t="e">
        <f>#REF!</f>
        <v>#REF!</v>
      </c>
    </row>
    <row r="144" spans="1:9" ht="21.75" hidden="1" customHeight="1">
      <c r="A144" s="158"/>
      <c r="B144" s="158"/>
      <c r="C144" s="158"/>
      <c r="D144" s="206" t="s">
        <v>172</v>
      </c>
      <c r="E144" s="161"/>
      <c r="F144" s="161"/>
      <c r="G144" s="161"/>
      <c r="H144" s="161"/>
      <c r="I144" s="207"/>
    </row>
    <row r="145" spans="1:9" ht="21.75" hidden="1" customHeight="1">
      <c r="A145" s="158"/>
      <c r="B145" s="158"/>
      <c r="C145" s="158"/>
      <c r="D145" s="210">
        <v>0.25</v>
      </c>
      <c r="E145" s="156">
        <v>0.41666666666666669</v>
      </c>
      <c r="F145" s="156">
        <v>0.58333333333333337</v>
      </c>
      <c r="G145" s="156">
        <v>0.75</v>
      </c>
      <c r="H145" s="156">
        <v>0.91666666666666663</v>
      </c>
      <c r="I145" s="211">
        <v>8.3333333333333329E-2</v>
      </c>
    </row>
    <row r="146" spans="1:9" ht="21.75" hidden="1" customHeight="1">
      <c r="A146" s="2319">
        <v>1</v>
      </c>
      <c r="B146" s="2272" t="s">
        <v>147</v>
      </c>
      <c r="C146" s="142" t="s">
        <v>108</v>
      </c>
      <c r="D146" s="217" t="e">
        <f>#REF!</f>
        <v>#REF!</v>
      </c>
      <c r="E146" s="174" t="e">
        <f>#REF!</f>
        <v>#REF!</v>
      </c>
      <c r="F146" s="174" t="e">
        <f>#REF!</f>
        <v>#REF!</v>
      </c>
      <c r="G146" s="174" t="e">
        <f>#REF!</f>
        <v>#REF!</v>
      </c>
      <c r="H146" s="174" t="e">
        <f>#REF!</f>
        <v>#REF!</v>
      </c>
      <c r="I146" s="218" t="e">
        <f>#REF!</f>
        <v>#REF!</v>
      </c>
    </row>
    <row r="147" spans="1:9" ht="21.75" hidden="1" customHeight="1">
      <c r="A147" s="2338"/>
      <c r="B147" s="2323"/>
      <c r="C147" s="129" t="s">
        <v>109</v>
      </c>
      <c r="D147" s="212" t="e">
        <f>#REF!</f>
        <v>#REF!</v>
      </c>
      <c r="E147" s="159" t="e">
        <f>#REF!</f>
        <v>#REF!</v>
      </c>
      <c r="F147" s="159" t="e">
        <f>#REF!</f>
        <v>#REF!</v>
      </c>
      <c r="G147" s="159" t="e">
        <f>#REF!</f>
        <v>#REF!</v>
      </c>
      <c r="H147" s="159" t="e">
        <f>#REF!</f>
        <v>#REF!</v>
      </c>
      <c r="I147" s="213" t="e">
        <f>#REF!</f>
        <v>#REF!</v>
      </c>
    </row>
    <row r="148" spans="1:9" ht="21.75" hidden="1" customHeight="1">
      <c r="A148" s="2320"/>
      <c r="B148" s="2325"/>
      <c r="C148" s="129" t="s">
        <v>111</v>
      </c>
      <c r="D148" s="212" t="e">
        <f>#REF!</f>
        <v>#REF!</v>
      </c>
      <c r="E148" s="159" t="e">
        <f>#REF!</f>
        <v>#REF!</v>
      </c>
      <c r="F148" s="159" t="e">
        <f>#REF!</f>
        <v>#REF!</v>
      </c>
      <c r="G148" s="159" t="e">
        <f>#REF!</f>
        <v>#REF!</v>
      </c>
      <c r="H148" s="159" t="e">
        <f>#REF!</f>
        <v>#REF!</v>
      </c>
      <c r="I148" s="213" t="e">
        <f>#REF!</f>
        <v>#REF!</v>
      </c>
    </row>
    <row r="149" spans="1:9" ht="21.75" hidden="1" customHeight="1">
      <c r="A149" s="2319">
        <v>2</v>
      </c>
      <c r="B149" s="2272" t="s">
        <v>148</v>
      </c>
      <c r="C149" s="142" t="s">
        <v>108</v>
      </c>
      <c r="D149" s="212" t="e">
        <f>#REF!</f>
        <v>#REF!</v>
      </c>
      <c r="E149" s="159" t="e">
        <f>#REF!</f>
        <v>#REF!</v>
      </c>
      <c r="F149" s="159" t="e">
        <f>#REF!</f>
        <v>#REF!</v>
      </c>
      <c r="G149" s="159" t="e">
        <f>#REF!</f>
        <v>#REF!</v>
      </c>
      <c r="H149" s="159" t="e">
        <f>#REF!</f>
        <v>#REF!</v>
      </c>
      <c r="I149" s="213" t="e">
        <f>#REF!</f>
        <v>#REF!</v>
      </c>
    </row>
    <row r="150" spans="1:9" ht="21.75" hidden="1" customHeight="1">
      <c r="A150" s="2338"/>
      <c r="B150" s="2323"/>
      <c r="C150" s="129" t="s">
        <v>109</v>
      </c>
      <c r="D150" s="212" t="e">
        <f>#REF!</f>
        <v>#REF!</v>
      </c>
      <c r="E150" s="159" t="e">
        <f>#REF!</f>
        <v>#REF!</v>
      </c>
      <c r="F150" s="159" t="e">
        <f>#REF!</f>
        <v>#REF!</v>
      </c>
      <c r="G150" s="159" t="e">
        <f>#REF!</f>
        <v>#REF!</v>
      </c>
      <c r="H150" s="159" t="e">
        <f>#REF!</f>
        <v>#REF!</v>
      </c>
      <c r="I150" s="213" t="e">
        <f>#REF!</f>
        <v>#REF!</v>
      </c>
    </row>
    <row r="151" spans="1:9" ht="21.75" hidden="1" customHeight="1">
      <c r="A151" s="2320"/>
      <c r="B151" s="2325"/>
      <c r="C151" s="129" t="s">
        <v>111</v>
      </c>
      <c r="D151" s="212" t="e">
        <f>#REF!</f>
        <v>#REF!</v>
      </c>
      <c r="E151" s="159" t="e">
        <f>#REF!</f>
        <v>#REF!</v>
      </c>
      <c r="F151" s="159" t="e">
        <f>#REF!</f>
        <v>#REF!</v>
      </c>
      <c r="G151" s="159" t="e">
        <f>#REF!</f>
        <v>#REF!</v>
      </c>
      <c r="H151" s="159" t="e">
        <f>#REF!</f>
        <v>#REF!</v>
      </c>
      <c r="I151" s="213" t="e">
        <f>#REF!</f>
        <v>#REF!</v>
      </c>
    </row>
    <row r="152" spans="1:9" ht="21.75" hidden="1" customHeight="1">
      <c r="A152" s="2319">
        <v>3</v>
      </c>
      <c r="B152" s="2289" t="s">
        <v>149</v>
      </c>
      <c r="C152" s="142" t="s">
        <v>108</v>
      </c>
      <c r="D152" s="212" t="e">
        <f>#REF!</f>
        <v>#REF!</v>
      </c>
      <c r="E152" s="159" t="e">
        <f>#REF!</f>
        <v>#REF!</v>
      </c>
      <c r="F152" s="159" t="e">
        <f>#REF!</f>
        <v>#REF!</v>
      </c>
      <c r="G152" s="159" t="e">
        <f>#REF!</f>
        <v>#REF!</v>
      </c>
      <c r="H152" s="159" t="e">
        <f>#REF!</f>
        <v>#REF!</v>
      </c>
      <c r="I152" s="213" t="e">
        <f>#REF!</f>
        <v>#REF!</v>
      </c>
    </row>
    <row r="153" spans="1:9" ht="21.75" hidden="1" customHeight="1">
      <c r="A153" s="2320"/>
      <c r="B153" s="2290"/>
      <c r="C153" s="129" t="s">
        <v>112</v>
      </c>
      <c r="D153" s="212" t="e">
        <f>#REF!</f>
        <v>#REF!</v>
      </c>
      <c r="E153" s="159" t="e">
        <f>#REF!</f>
        <v>#REF!</v>
      </c>
      <c r="F153" s="159" t="e">
        <f>#REF!</f>
        <v>#REF!</v>
      </c>
      <c r="G153" s="159" t="e">
        <f>#REF!</f>
        <v>#REF!</v>
      </c>
      <c r="H153" s="159" t="e">
        <f>#REF!</f>
        <v>#REF!</v>
      </c>
      <c r="I153" s="213" t="e">
        <f>#REF!</f>
        <v>#REF!</v>
      </c>
    </row>
    <row r="154" spans="1:9" ht="21.75" hidden="1" customHeight="1">
      <c r="A154" s="2319">
        <v>4</v>
      </c>
      <c r="B154" s="2289" t="s">
        <v>150</v>
      </c>
      <c r="C154" s="142" t="s">
        <v>108</v>
      </c>
      <c r="D154" s="212" t="e">
        <f>#REF!</f>
        <v>#REF!</v>
      </c>
      <c r="E154" s="159" t="e">
        <f>#REF!</f>
        <v>#REF!</v>
      </c>
      <c r="F154" s="159" t="e">
        <f>#REF!</f>
        <v>#REF!</v>
      </c>
      <c r="G154" s="159" t="e">
        <f>#REF!</f>
        <v>#REF!</v>
      </c>
      <c r="H154" s="159" t="e">
        <f>#REF!</f>
        <v>#REF!</v>
      </c>
      <c r="I154" s="213" t="e">
        <f>#REF!</f>
        <v>#REF!</v>
      </c>
    </row>
    <row r="155" spans="1:9" ht="21.75" hidden="1" customHeight="1">
      <c r="A155" s="2320"/>
      <c r="B155" s="2290"/>
      <c r="C155" s="129" t="s">
        <v>112</v>
      </c>
      <c r="D155" s="212" t="e">
        <f>#REF!</f>
        <v>#REF!</v>
      </c>
      <c r="E155" s="159" t="e">
        <f>#REF!</f>
        <v>#REF!</v>
      </c>
      <c r="F155" s="159" t="e">
        <f>#REF!</f>
        <v>#REF!</v>
      </c>
      <c r="G155" s="159" t="e">
        <f>#REF!</f>
        <v>#REF!</v>
      </c>
      <c r="H155" s="159" t="e">
        <f>#REF!</f>
        <v>#REF!</v>
      </c>
      <c r="I155" s="213" t="e">
        <f>#REF!</f>
        <v>#REF!</v>
      </c>
    </row>
    <row r="156" spans="1:9" ht="21.75" hidden="1" customHeight="1">
      <c r="A156" s="126">
        <v>5</v>
      </c>
      <c r="B156" s="2291" t="s">
        <v>82</v>
      </c>
      <c r="C156" s="2312"/>
      <c r="D156" s="212" t="e">
        <f>#REF!</f>
        <v>#REF!</v>
      </c>
      <c r="E156" s="159" t="e">
        <f>#REF!</f>
        <v>#REF!</v>
      </c>
      <c r="F156" s="159" t="e">
        <f>#REF!</f>
        <v>#REF!</v>
      </c>
      <c r="G156" s="159" t="e">
        <f>#REF!</f>
        <v>#REF!</v>
      </c>
      <c r="H156" s="159" t="e">
        <f>#REF!</f>
        <v>#REF!</v>
      </c>
      <c r="I156" s="213" t="e">
        <f>#REF!</f>
        <v>#REF!</v>
      </c>
    </row>
    <row r="157" spans="1:9" ht="21.75" hidden="1" customHeight="1">
      <c r="A157" s="126">
        <v>6</v>
      </c>
      <c r="B157" s="2291" t="s">
        <v>60</v>
      </c>
      <c r="C157" s="2312"/>
      <c r="D157" s="212" t="e">
        <f>#REF!</f>
        <v>#REF!</v>
      </c>
      <c r="E157" s="159" t="e">
        <f>#REF!</f>
        <v>#REF!</v>
      </c>
      <c r="F157" s="159" t="e">
        <f>#REF!</f>
        <v>#REF!</v>
      </c>
      <c r="G157" s="159" t="e">
        <f>#REF!</f>
        <v>#REF!</v>
      </c>
      <c r="H157" s="159" t="e">
        <f>#REF!</f>
        <v>#REF!</v>
      </c>
      <c r="I157" s="213" t="e">
        <f>#REF!</f>
        <v>#REF!</v>
      </c>
    </row>
    <row r="158" spans="1:9" ht="21.75" hidden="1" customHeight="1">
      <c r="A158" s="2389">
        <v>7</v>
      </c>
      <c r="B158" s="2272" t="s">
        <v>165</v>
      </c>
      <c r="C158" s="2273"/>
      <c r="D158" s="212" t="e">
        <f>#REF!</f>
        <v>#REF!</v>
      </c>
      <c r="E158" s="159" t="e">
        <f>#REF!</f>
        <v>#REF!</v>
      </c>
      <c r="F158" s="159" t="e">
        <f>#REF!</f>
        <v>#REF!</v>
      </c>
      <c r="G158" s="159" t="e">
        <f>#REF!</f>
        <v>#REF!</v>
      </c>
      <c r="H158" s="159" t="e">
        <f>#REF!</f>
        <v>#REF!</v>
      </c>
      <c r="I158" s="213" t="e">
        <f>#REF!</f>
        <v>#REF!</v>
      </c>
    </row>
    <row r="159" spans="1:9" ht="21.75" hidden="1" customHeight="1">
      <c r="A159" s="2390"/>
      <c r="B159" s="2275"/>
      <c r="C159" s="2276"/>
      <c r="D159" s="212" t="e">
        <f>#REF!</f>
        <v>#REF!</v>
      </c>
      <c r="E159" s="159" t="e">
        <f>#REF!</f>
        <v>#REF!</v>
      </c>
      <c r="F159" s="159" t="e">
        <f>#REF!</f>
        <v>#REF!</v>
      </c>
      <c r="G159" s="159" t="e">
        <f>#REF!</f>
        <v>#REF!</v>
      </c>
      <c r="H159" s="159" t="e">
        <f>#REF!</f>
        <v>#REF!</v>
      </c>
      <c r="I159" s="213" t="e">
        <f>#REF!</f>
        <v>#REF!</v>
      </c>
    </row>
    <row r="160" spans="1:9" ht="21.75" hidden="1" customHeight="1">
      <c r="A160" s="126">
        <v>8</v>
      </c>
      <c r="B160" s="2291" t="s">
        <v>61</v>
      </c>
      <c r="C160" s="2312"/>
      <c r="D160" s="212" t="e">
        <f>#REF!</f>
        <v>#REF!</v>
      </c>
      <c r="E160" s="159" t="e">
        <f>#REF!</f>
        <v>#REF!</v>
      </c>
      <c r="F160" s="159" t="e">
        <f>#REF!</f>
        <v>#REF!</v>
      </c>
      <c r="G160" s="159" t="e">
        <f>#REF!</f>
        <v>#REF!</v>
      </c>
      <c r="H160" s="159" t="e">
        <f>#REF!</f>
        <v>#REF!</v>
      </c>
      <c r="I160" s="213" t="e">
        <f>#REF!</f>
        <v>#REF!</v>
      </c>
    </row>
    <row r="161" spans="1:9" ht="21.75" hidden="1" customHeight="1">
      <c r="A161" s="126">
        <v>9</v>
      </c>
      <c r="B161" s="2291" t="s">
        <v>62</v>
      </c>
      <c r="C161" s="2312"/>
      <c r="D161" s="212" t="e">
        <f>#REF!</f>
        <v>#REF!</v>
      </c>
      <c r="E161" s="159" t="e">
        <f>#REF!</f>
        <v>#REF!</v>
      </c>
      <c r="F161" s="159" t="e">
        <f>#REF!</f>
        <v>#REF!</v>
      </c>
      <c r="G161" s="159" t="e">
        <f>#REF!</f>
        <v>#REF!</v>
      </c>
      <c r="H161" s="159" t="e">
        <f>#REF!</f>
        <v>#REF!</v>
      </c>
      <c r="I161" s="213" t="e">
        <f>#REF!</f>
        <v>#REF!</v>
      </c>
    </row>
    <row r="162" spans="1:9" ht="21.75" hidden="1" customHeight="1">
      <c r="A162" s="126">
        <v>10</v>
      </c>
      <c r="B162" s="2291" t="s">
        <v>115</v>
      </c>
      <c r="C162" s="2312"/>
      <c r="D162" s="214" t="e">
        <f>#REF!</f>
        <v>#REF!</v>
      </c>
      <c r="E162" s="163" t="e">
        <f>#REF!</f>
        <v>#REF!</v>
      </c>
      <c r="F162" s="163" t="e">
        <f>#REF!</f>
        <v>#REF!</v>
      </c>
      <c r="G162" s="163" t="e">
        <f>#REF!</f>
        <v>#REF!</v>
      </c>
      <c r="H162" s="163" t="e">
        <f>#REF!</f>
        <v>#REF!</v>
      </c>
      <c r="I162" s="215" t="e">
        <f>#REF!</f>
        <v>#REF!</v>
      </c>
    </row>
    <row r="163" spans="1:9" ht="21.75" hidden="1" customHeight="1">
      <c r="D163" s="204"/>
      <c r="E163" s="152"/>
      <c r="F163" s="152"/>
      <c r="G163" s="152"/>
      <c r="H163" s="152"/>
      <c r="I163" s="205"/>
    </row>
    <row r="164" spans="1:9" s="152" customFormat="1" ht="32.25" hidden="1" customHeight="1">
      <c r="A164" s="184"/>
      <c r="B164" s="185" t="s">
        <v>143</v>
      </c>
      <c r="C164" s="186"/>
      <c r="D164" s="204"/>
      <c r="I164" s="205"/>
    </row>
    <row r="165" spans="1:9" ht="21.75" hidden="1" customHeight="1">
      <c r="A165" s="182" t="s">
        <v>7</v>
      </c>
      <c r="B165" s="170"/>
      <c r="C165" s="170"/>
      <c r="D165" s="206" t="s">
        <v>171</v>
      </c>
      <c r="E165" s="161"/>
      <c r="F165" s="161"/>
      <c r="G165" s="161"/>
      <c r="H165" s="161"/>
      <c r="I165" s="207"/>
    </row>
    <row r="166" spans="1:9" ht="21.75" hidden="1" customHeight="1">
      <c r="A166" s="183"/>
      <c r="B166" s="179"/>
      <c r="C166" s="179"/>
      <c r="D166" s="210">
        <v>0.25</v>
      </c>
      <c r="E166" s="156">
        <v>0.41666666666666669</v>
      </c>
      <c r="F166" s="156">
        <v>0.58333333333333337</v>
      </c>
      <c r="G166" s="156">
        <v>0.75</v>
      </c>
      <c r="H166" s="156">
        <v>0.91666666666666663</v>
      </c>
      <c r="I166" s="211">
        <v>8.3333333333333329E-2</v>
      </c>
    </row>
    <row r="167" spans="1:9" ht="21.75" hidden="1" customHeight="1">
      <c r="A167" s="2384">
        <v>1</v>
      </c>
      <c r="B167" s="2386" t="s">
        <v>154</v>
      </c>
      <c r="C167" s="180" t="s">
        <v>108</v>
      </c>
      <c r="D167" s="204">
        <f>'3.XT-C kh'!I6</f>
        <v>87.290499999999994</v>
      </c>
      <c r="E167" s="152">
        <f>'3.XT-C kh'!Q6</f>
        <v>0</v>
      </c>
      <c r="F167" s="152">
        <f>'3.XT-C kh'!Y6</f>
        <v>0</v>
      </c>
      <c r="G167" s="152">
        <f>'3.XT-C kh'!I44</f>
        <v>0</v>
      </c>
      <c r="H167" s="152">
        <f>'3.XT-C kh'!Q44</f>
        <v>0</v>
      </c>
      <c r="I167" s="205">
        <f>'3.XT-C kh'!Y44</f>
        <v>0</v>
      </c>
    </row>
    <row r="168" spans="1:9" ht="21.75" hidden="1" customHeight="1">
      <c r="A168" s="2384"/>
      <c r="B168" s="2387"/>
      <c r="C168" s="181" t="s">
        <v>109</v>
      </c>
      <c r="D168" s="204">
        <f>'3.XT-C kh'!I7</f>
        <v>0</v>
      </c>
      <c r="E168" s="152">
        <f>'3.XT-C kh'!Q7</f>
        <v>0</v>
      </c>
      <c r="F168" s="152">
        <f>'3.XT-C kh'!Y7</f>
        <v>0</v>
      </c>
      <c r="G168" s="152">
        <f>'3.XT-C kh'!I45</f>
        <v>0</v>
      </c>
      <c r="H168" s="152">
        <f>'3.XT-C kh'!Q45</f>
        <v>0</v>
      </c>
      <c r="I168" s="205">
        <f>'3.XT-C kh'!Y45</f>
        <v>0</v>
      </c>
    </row>
    <row r="169" spans="1:9" ht="21.75" hidden="1" customHeight="1">
      <c r="A169" s="2385"/>
      <c r="B169" s="2388"/>
      <c r="C169" s="151" t="s">
        <v>111</v>
      </c>
      <c r="D169" s="202" t="e">
        <f>'3.XT-C kh'!#REF!</f>
        <v>#REF!</v>
      </c>
      <c r="E169" s="153" t="e">
        <f>'3.XT-C kh'!#REF!</f>
        <v>#REF!</v>
      </c>
      <c r="F169" s="153" t="e">
        <f>'3.XT-C kh'!#REF!</f>
        <v>#REF!</v>
      </c>
      <c r="G169" s="153" t="e">
        <f>'3.XT-C kh'!#REF!</f>
        <v>#REF!</v>
      </c>
      <c r="H169" s="153" t="e">
        <f>'3.XT-C kh'!#REF!</f>
        <v>#REF!</v>
      </c>
      <c r="I169" s="203" t="e">
        <f>'3.XT-C kh'!#REF!</f>
        <v>#REF!</v>
      </c>
    </row>
    <row r="170" spans="1:9" ht="21.75" hidden="1" customHeight="1">
      <c r="A170" s="2281">
        <v>2</v>
      </c>
      <c r="B170" s="2383" t="s">
        <v>155</v>
      </c>
      <c r="C170" s="149" t="s">
        <v>108</v>
      </c>
      <c r="D170" s="204">
        <f>'3.XT-C kh'!I8</f>
        <v>0</v>
      </c>
      <c r="E170" s="152">
        <f>'3.XT-C kh'!Q8</f>
        <v>0</v>
      </c>
      <c r="F170" s="152">
        <f>'3.XT-C kh'!Y8</f>
        <v>0</v>
      </c>
      <c r="G170" s="152">
        <f>'3.XT-C kh'!I46</f>
        <v>0</v>
      </c>
      <c r="H170" s="152">
        <f>'3.XT-C kh'!Q46</f>
        <v>0</v>
      </c>
      <c r="I170" s="205">
        <f>'3.XT-C kh'!Y46</f>
        <v>0</v>
      </c>
    </row>
    <row r="171" spans="1:9" ht="21.75" hidden="1" customHeight="1">
      <c r="A171" s="2281"/>
      <c r="B171" s="2284"/>
      <c r="C171" s="147" t="s">
        <v>109</v>
      </c>
      <c r="D171" s="204">
        <f>'3.XT-C kh'!I9</f>
        <v>0</v>
      </c>
      <c r="E171" s="152">
        <f>'3.XT-C kh'!Q9</f>
        <v>0</v>
      </c>
      <c r="F171" s="152">
        <f>'3.XT-C kh'!Y9</f>
        <v>0</v>
      </c>
      <c r="G171" s="152">
        <f>'3.XT-C kh'!I47</f>
        <v>0</v>
      </c>
      <c r="H171" s="152">
        <f>'3.XT-C kh'!Q47</f>
        <v>0</v>
      </c>
      <c r="I171" s="205">
        <f>'3.XT-C kh'!Y47</f>
        <v>0</v>
      </c>
    </row>
    <row r="172" spans="1:9" ht="21.75" hidden="1" customHeight="1">
      <c r="A172" s="2288"/>
      <c r="B172" s="2380"/>
      <c r="C172" s="147" t="s">
        <v>111</v>
      </c>
      <c r="D172" s="204" t="e">
        <f>'3.XT-C kh'!#REF!</f>
        <v>#REF!</v>
      </c>
      <c r="E172" s="152" t="e">
        <f>'3.XT-C kh'!#REF!</f>
        <v>#REF!</v>
      </c>
      <c r="F172" s="152" t="e">
        <f>'3.XT-C kh'!#REF!</f>
        <v>#REF!</v>
      </c>
      <c r="G172" s="152" t="e">
        <f>'3.XT-C kh'!#REF!</f>
        <v>#REF!</v>
      </c>
      <c r="H172" s="152" t="e">
        <f>'3.XT-C kh'!#REF!</f>
        <v>#REF!</v>
      </c>
      <c r="I172" s="205" t="e">
        <f>'3.XT-C kh'!#REF!</f>
        <v>#REF!</v>
      </c>
    </row>
    <row r="173" spans="1:9" ht="21.75" hidden="1" customHeight="1">
      <c r="A173" s="2280">
        <v>3</v>
      </c>
      <c r="B173" s="2289" t="s">
        <v>156</v>
      </c>
      <c r="C173" s="146" t="s">
        <v>108</v>
      </c>
      <c r="D173" s="204">
        <f>'3.XT-C kh'!I10</f>
        <v>57.75</v>
      </c>
      <c r="E173" s="152">
        <f>'3.XT-C kh'!Q10</f>
        <v>0</v>
      </c>
      <c r="F173" s="152">
        <f>'3.XT-C kh'!Y10</f>
        <v>0</v>
      </c>
      <c r="G173" s="152">
        <f>'3.XT-C kh'!I48</f>
        <v>0</v>
      </c>
      <c r="H173" s="152">
        <f>'3.XT-C kh'!Q48</f>
        <v>0</v>
      </c>
      <c r="I173" s="205">
        <f>'3.XT-C kh'!Y48</f>
        <v>0</v>
      </c>
    </row>
    <row r="174" spans="1:9" ht="21.75" hidden="1" customHeight="1">
      <c r="A174" s="2288"/>
      <c r="B174" s="2290"/>
      <c r="C174" s="147" t="s">
        <v>112</v>
      </c>
      <c r="D174" s="204">
        <f>'3.XT-C kh'!I11</f>
        <v>0</v>
      </c>
      <c r="E174" s="152">
        <f>'3.XT-C kh'!Q11</f>
        <v>0</v>
      </c>
      <c r="F174" s="152">
        <f>'3.XT-C kh'!Y11</f>
        <v>0</v>
      </c>
      <c r="G174" s="152">
        <f>'3.XT-C kh'!I49</f>
        <v>0</v>
      </c>
      <c r="H174" s="152">
        <f>'3.XT-C kh'!Q49</f>
        <v>0</v>
      </c>
      <c r="I174" s="205">
        <f>'3.XT-C kh'!Y49</f>
        <v>0</v>
      </c>
    </row>
    <row r="175" spans="1:9" ht="21.75" hidden="1" customHeight="1">
      <c r="A175" s="2280">
        <v>4</v>
      </c>
      <c r="B175" s="2289" t="s">
        <v>157</v>
      </c>
      <c r="C175" s="146" t="s">
        <v>108</v>
      </c>
      <c r="D175" s="204">
        <f>'3.XT-C kh'!I12</f>
        <v>0</v>
      </c>
      <c r="E175" s="152">
        <f>'3.XT-C kh'!Q12</f>
        <v>0</v>
      </c>
      <c r="F175" s="152">
        <f>'3.XT-C kh'!Y12</f>
        <v>0</v>
      </c>
      <c r="G175" s="152">
        <f>'3.XT-C kh'!I50</f>
        <v>0</v>
      </c>
      <c r="H175" s="152">
        <f>'3.XT-C kh'!Q50</f>
        <v>0</v>
      </c>
      <c r="I175" s="205">
        <f>'3.XT-C kh'!Y50</f>
        <v>0</v>
      </c>
    </row>
    <row r="176" spans="1:9" ht="21.75" hidden="1" customHeight="1">
      <c r="A176" s="2288"/>
      <c r="B176" s="2290"/>
      <c r="C176" s="147" t="s">
        <v>112</v>
      </c>
      <c r="D176" s="204">
        <f>'3.XT-C kh'!I13</f>
        <v>0</v>
      </c>
      <c r="E176" s="152">
        <f>'3.XT-C kh'!Q13</f>
        <v>0</v>
      </c>
      <c r="F176" s="152">
        <f>'3.XT-C kh'!Y13</f>
        <v>0</v>
      </c>
      <c r="G176" s="152">
        <f>'3.XT-C kh'!I51</f>
        <v>0</v>
      </c>
      <c r="H176" s="152">
        <f>'3.XT-C kh'!Q51</f>
        <v>0</v>
      </c>
      <c r="I176" s="205">
        <f>'3.XT-C kh'!Y51</f>
        <v>0</v>
      </c>
    </row>
    <row r="177" spans="1:9" ht="21.75" hidden="1" customHeight="1">
      <c r="A177" s="2280">
        <v>5</v>
      </c>
      <c r="B177" s="2358" t="s">
        <v>121</v>
      </c>
      <c r="C177" s="148"/>
      <c r="D177" s="204">
        <f>'3.XT-C kh'!I14</f>
        <v>138.4</v>
      </c>
      <c r="E177" s="152">
        <f>'3.XT-C kh'!Q14</f>
        <v>0</v>
      </c>
      <c r="F177" s="152">
        <f>'3.XT-C kh'!Y14</f>
        <v>0</v>
      </c>
      <c r="G177" s="152">
        <f>'3.XT-C kh'!I52</f>
        <v>0</v>
      </c>
      <c r="H177" s="152">
        <f>'3.XT-C kh'!Q52</f>
        <v>0</v>
      </c>
      <c r="I177" s="205">
        <f>'3.XT-C kh'!Y52</f>
        <v>0</v>
      </c>
    </row>
    <row r="178" spans="1:9" ht="21.75" hidden="1" customHeight="1">
      <c r="A178" s="2288"/>
      <c r="B178" s="2359"/>
      <c r="C178" s="148"/>
      <c r="D178" s="204">
        <f>'3.XT-C kh'!I15</f>
        <v>5.8500000000000005</v>
      </c>
      <c r="E178" s="152">
        <f>'3.XT-C kh'!Q15</f>
        <v>0</v>
      </c>
      <c r="F178" s="152">
        <f>'3.XT-C kh'!Y15</f>
        <v>0</v>
      </c>
      <c r="G178" s="152">
        <f>'3.XT-C kh'!I53</f>
        <v>0</v>
      </c>
      <c r="H178" s="152">
        <f>'3.XT-C kh'!Q53</f>
        <v>0</v>
      </c>
      <c r="I178" s="205">
        <f>'3.XT-C kh'!Y53</f>
        <v>0</v>
      </c>
    </row>
    <row r="179" spans="1:9" ht="21.75" hidden="1" customHeight="1">
      <c r="A179" s="2280">
        <v>6</v>
      </c>
      <c r="B179" s="2352" t="s">
        <v>40</v>
      </c>
      <c r="C179" s="2353"/>
      <c r="D179" s="204">
        <f>'3.XT-C kh'!I16</f>
        <v>0</v>
      </c>
      <c r="E179" s="152">
        <f>'3.XT-C kh'!Q16</f>
        <v>0</v>
      </c>
      <c r="F179" s="152">
        <f>'3.XT-C kh'!Y16</f>
        <v>0</v>
      </c>
      <c r="G179" s="152">
        <f>'3.XT-C kh'!I54</f>
        <v>0</v>
      </c>
      <c r="H179" s="152">
        <f>'3.XT-C kh'!Q54</f>
        <v>0</v>
      </c>
      <c r="I179" s="205">
        <f>'3.XT-C kh'!Y54</f>
        <v>0</v>
      </c>
    </row>
    <row r="180" spans="1:9" ht="21.75" hidden="1" customHeight="1">
      <c r="A180" s="2288"/>
      <c r="B180" s="2354"/>
      <c r="C180" s="2355"/>
      <c r="D180" s="204">
        <f>'3.XT-C kh'!I17</f>
        <v>0</v>
      </c>
      <c r="E180" s="152">
        <f>'3.XT-C kh'!Q17</f>
        <v>0</v>
      </c>
      <c r="F180" s="152">
        <f>'3.XT-C kh'!Y17</f>
        <v>0</v>
      </c>
      <c r="G180" s="152">
        <f>'3.XT-C kh'!I55</f>
        <v>0</v>
      </c>
      <c r="H180" s="152">
        <f>'3.XT-C kh'!Q55</f>
        <v>0</v>
      </c>
      <c r="I180" s="205">
        <f>'3.XT-C kh'!Y55</f>
        <v>0</v>
      </c>
    </row>
    <row r="181" spans="1:9" ht="21.75" hidden="1" customHeight="1">
      <c r="A181" s="150">
        <v>7</v>
      </c>
      <c r="B181" s="2243" t="s">
        <v>38</v>
      </c>
      <c r="C181" s="2244"/>
      <c r="D181" s="204">
        <f>'3.XT-C kh'!I18</f>
        <v>0.3969375</v>
      </c>
      <c r="E181" s="152">
        <f>'3.XT-C kh'!Q18</f>
        <v>0</v>
      </c>
      <c r="F181" s="152">
        <f>'3.XT-C kh'!Y18</f>
        <v>0</v>
      </c>
      <c r="G181" s="152">
        <f>'3.XT-C kh'!I56</f>
        <v>0</v>
      </c>
      <c r="H181" s="152">
        <f>'3.XT-C kh'!Q56</f>
        <v>0</v>
      </c>
      <c r="I181" s="205">
        <f>'3.XT-C kh'!Y56</f>
        <v>0</v>
      </c>
    </row>
    <row r="182" spans="1:9" ht="21.75" hidden="1" customHeight="1">
      <c r="A182" s="150">
        <v>8</v>
      </c>
      <c r="B182" s="2243" t="s">
        <v>39</v>
      </c>
      <c r="C182" s="2244"/>
      <c r="D182" s="204">
        <f>'3.XT-C kh'!I19</f>
        <v>0</v>
      </c>
      <c r="E182" s="152">
        <f>'3.XT-C kh'!Q19</f>
        <v>0</v>
      </c>
      <c r="F182" s="152">
        <f>'3.XT-C kh'!Y19</f>
        <v>0</v>
      </c>
      <c r="G182" s="152">
        <f>'3.XT-C kh'!I57</f>
        <v>0</v>
      </c>
      <c r="H182" s="152">
        <f>'3.XT-C kh'!Q57</f>
        <v>0</v>
      </c>
      <c r="I182" s="205">
        <f>'3.XT-C kh'!Y57</f>
        <v>0</v>
      </c>
    </row>
    <row r="183" spans="1:9" ht="21.75" hidden="1" customHeight="1">
      <c r="A183" s="150">
        <v>9</v>
      </c>
      <c r="B183" s="2234" t="s">
        <v>86</v>
      </c>
      <c r="C183" s="2235"/>
      <c r="D183" s="204">
        <f>'3.XT-C kh'!I20</f>
        <v>8.212499999999999E-2</v>
      </c>
      <c r="E183" s="152">
        <f>'3.XT-C kh'!Q20</f>
        <v>0</v>
      </c>
      <c r="F183" s="152">
        <f>'3.XT-C kh'!Y20</f>
        <v>0</v>
      </c>
      <c r="G183" s="152">
        <f>'3.XT-C kh'!I58</f>
        <v>0</v>
      </c>
      <c r="H183" s="152">
        <f>'3.XT-C kh'!Q58</f>
        <v>0</v>
      </c>
      <c r="I183" s="205">
        <f>'3.XT-C kh'!Y58</f>
        <v>0</v>
      </c>
    </row>
    <row r="184" spans="1:9" ht="21.75" hidden="1" customHeight="1">
      <c r="A184" s="150">
        <v>10</v>
      </c>
      <c r="B184" s="2234" t="s">
        <v>120</v>
      </c>
      <c r="C184" s="2235" t="s">
        <v>120</v>
      </c>
      <c r="D184" s="204">
        <f>'3.XT-C kh'!I21</f>
        <v>0</v>
      </c>
      <c r="E184" s="152">
        <f>'3.XT-C kh'!Q21</f>
        <v>0</v>
      </c>
      <c r="F184" s="152">
        <f>'3.XT-C kh'!Y21</f>
        <v>0</v>
      </c>
      <c r="G184" s="152">
        <f>'3.XT-C kh'!I59</f>
        <v>0</v>
      </c>
      <c r="H184" s="152">
        <f>'3.XT-C kh'!Q59</f>
        <v>0</v>
      </c>
      <c r="I184" s="205">
        <f>'3.XT-C kh'!Y59</f>
        <v>0</v>
      </c>
    </row>
    <row r="185" spans="1:9" ht="21.75" hidden="1" customHeight="1">
      <c r="A185" s="165"/>
      <c r="B185" s="166" t="s">
        <v>117</v>
      </c>
      <c r="C185" s="173"/>
      <c r="D185" s="206" t="s">
        <v>173</v>
      </c>
      <c r="E185" s="161"/>
      <c r="F185" s="161"/>
      <c r="G185" s="161"/>
      <c r="H185" s="161"/>
      <c r="I185" s="207"/>
    </row>
    <row r="186" spans="1:9" ht="21.75" hidden="1" customHeight="1">
      <c r="A186" s="167" t="s">
        <v>7</v>
      </c>
      <c r="B186" s="168" t="s">
        <v>64</v>
      </c>
      <c r="C186" s="169"/>
      <c r="D186" s="208">
        <v>0.25</v>
      </c>
      <c r="E186" s="164">
        <v>0.41666666666666669</v>
      </c>
      <c r="F186" s="164">
        <v>0.58333333333333337</v>
      </c>
      <c r="G186" s="164">
        <v>0.75</v>
      </c>
      <c r="H186" s="164">
        <v>0.91666666666666663</v>
      </c>
      <c r="I186" s="209">
        <v>8.3333333333333329E-2</v>
      </c>
    </row>
    <row r="187" spans="1:9" ht="21.75" hidden="1" customHeight="1">
      <c r="A187" s="150">
        <v>1</v>
      </c>
      <c r="B187" s="2297" t="s">
        <v>36</v>
      </c>
      <c r="C187" s="2298"/>
      <c r="D187" s="204">
        <f>'3.XT-C kh'!I24</f>
        <v>0</v>
      </c>
      <c r="E187" s="152">
        <f>'3.XT-C kh'!Q24</f>
        <v>0</v>
      </c>
      <c r="F187" s="152">
        <f>'3.XT-C kh'!Y24</f>
        <v>0</v>
      </c>
      <c r="G187" s="152">
        <f>'3.XT-C kh'!I62</f>
        <v>0</v>
      </c>
      <c r="H187" s="152">
        <f>'3.XT-C kh'!Q62</f>
        <v>0</v>
      </c>
      <c r="I187" s="205">
        <f>'3.XT-C kh'!Y62</f>
        <v>0</v>
      </c>
    </row>
    <row r="188" spans="1:9" ht="21.75" hidden="1" customHeight="1">
      <c r="A188" s="150">
        <v>2</v>
      </c>
      <c r="B188" s="2297" t="s">
        <v>37</v>
      </c>
      <c r="C188" s="2298"/>
      <c r="D188" s="204">
        <f>'3.XT-C kh'!I25</f>
        <v>0</v>
      </c>
      <c r="E188" s="152">
        <f>'3.XT-C kh'!Q25</f>
        <v>0</v>
      </c>
      <c r="F188" s="152">
        <f>'3.XT-C kh'!Y25</f>
        <v>0</v>
      </c>
      <c r="G188" s="152">
        <f>'3.XT-C kh'!I63</f>
        <v>0</v>
      </c>
      <c r="H188" s="152">
        <f>'3.XT-C kh'!Q63</f>
        <v>0</v>
      </c>
      <c r="I188" s="205">
        <f>'3.XT-C kh'!Y63</f>
        <v>0</v>
      </c>
    </row>
    <row r="189" spans="1:9" ht="21.75" hidden="1" customHeight="1">
      <c r="A189" s="150">
        <v>3</v>
      </c>
      <c r="B189" s="2297" t="s">
        <v>29</v>
      </c>
      <c r="C189" s="2298"/>
      <c r="D189" s="204">
        <f>'3.XT-C kh'!I26</f>
        <v>0</v>
      </c>
      <c r="E189" s="152">
        <f>'3.XT-C kh'!Q26</f>
        <v>0</v>
      </c>
      <c r="F189" s="152">
        <f>'3.XT-C kh'!Y26</f>
        <v>0</v>
      </c>
      <c r="G189" s="152">
        <f>'3.XT-C kh'!I64</f>
        <v>0</v>
      </c>
      <c r="H189" s="152">
        <f>'3.XT-C kh'!Q64</f>
        <v>0</v>
      </c>
      <c r="I189" s="205">
        <f>'3.XT-C kh'!Y64</f>
        <v>0</v>
      </c>
    </row>
    <row r="190" spans="1:9" ht="21.75" hidden="1" customHeight="1">
      <c r="A190" s="150">
        <v>4</v>
      </c>
      <c r="B190" s="2297" t="s">
        <v>30</v>
      </c>
      <c r="C190" s="2298"/>
      <c r="D190" s="204">
        <f>'3.XT-C kh'!I27</f>
        <v>0</v>
      </c>
      <c r="E190" s="152">
        <f>'3.XT-C kh'!Q27</f>
        <v>0</v>
      </c>
      <c r="F190" s="152">
        <f>'3.XT-C kh'!Y27</f>
        <v>0</v>
      </c>
      <c r="G190" s="152">
        <f>'3.XT-C kh'!I65</f>
        <v>0</v>
      </c>
      <c r="H190" s="152">
        <f>'3.XT-C kh'!Q65</f>
        <v>0</v>
      </c>
      <c r="I190" s="205">
        <f>'3.XT-C kh'!Y65</f>
        <v>0</v>
      </c>
    </row>
    <row r="191" spans="1:9" ht="21.75" hidden="1" customHeight="1">
      <c r="A191" s="150">
        <v>5</v>
      </c>
      <c r="B191" s="2297" t="s">
        <v>31</v>
      </c>
      <c r="C191" s="2298"/>
      <c r="D191" s="204">
        <f>'3.XT-C kh'!I28</f>
        <v>0</v>
      </c>
      <c r="E191" s="152">
        <f>'3.XT-C kh'!Q28</f>
        <v>0</v>
      </c>
      <c r="F191" s="152">
        <f>'3.XT-C kh'!Y28</f>
        <v>0</v>
      </c>
      <c r="G191" s="152">
        <f>'3.XT-C kh'!I66</f>
        <v>0</v>
      </c>
      <c r="H191" s="152">
        <f>'3.XT-C kh'!Q66</f>
        <v>0</v>
      </c>
      <c r="I191" s="205">
        <f>'3.XT-C kh'!Y66</f>
        <v>0</v>
      </c>
    </row>
    <row r="192" spans="1:9" ht="21.75" hidden="1" customHeight="1">
      <c r="A192" s="150">
        <v>6</v>
      </c>
      <c r="B192" s="2297" t="s">
        <v>32</v>
      </c>
      <c r="C192" s="2298"/>
      <c r="D192" s="204">
        <f>'3.XT-C kh'!I29</f>
        <v>0</v>
      </c>
      <c r="E192" s="152">
        <f>'3.XT-C kh'!Q29</f>
        <v>0</v>
      </c>
      <c r="F192" s="152">
        <f>'3.XT-C kh'!Y29</f>
        <v>0</v>
      </c>
      <c r="G192" s="152">
        <f>'3.XT-C kh'!I67</f>
        <v>0</v>
      </c>
      <c r="H192" s="152">
        <f>'3.XT-C kh'!Q67</f>
        <v>0</v>
      </c>
      <c r="I192" s="205">
        <f>'3.XT-C kh'!Y67</f>
        <v>0</v>
      </c>
    </row>
    <row r="193" spans="1:9" ht="21.75" hidden="1" customHeight="1">
      <c r="A193" s="150">
        <v>7</v>
      </c>
      <c r="B193" s="2297" t="s">
        <v>33</v>
      </c>
      <c r="C193" s="2298"/>
      <c r="D193" s="204">
        <f>'3.XT-C kh'!I30</f>
        <v>0</v>
      </c>
      <c r="E193" s="152">
        <f>'3.XT-C kh'!Q30</f>
        <v>0</v>
      </c>
      <c r="F193" s="152">
        <f>'3.XT-C kh'!Y30</f>
        <v>0</v>
      </c>
      <c r="G193" s="152">
        <f>'3.XT-C kh'!I68</f>
        <v>0</v>
      </c>
      <c r="H193" s="152">
        <f>'3.XT-C kh'!Q68</f>
        <v>0</v>
      </c>
      <c r="I193" s="205">
        <f>'3.XT-C kh'!Y68</f>
        <v>0</v>
      </c>
    </row>
    <row r="194" spans="1:9" ht="21.75" hidden="1" customHeight="1">
      <c r="A194" s="150">
        <v>8</v>
      </c>
      <c r="B194" s="2297" t="s">
        <v>34</v>
      </c>
      <c r="C194" s="2298"/>
      <c r="D194" s="204">
        <f>'3.XT-C kh'!K31</f>
        <v>0</v>
      </c>
      <c r="E194" s="152">
        <f>'3.XT-C kh'!S31</f>
        <v>0</v>
      </c>
      <c r="F194" s="152">
        <f>'3.XT-C kh'!AA31</f>
        <v>0</v>
      </c>
      <c r="G194" s="152">
        <f>'3.XT-C kh'!K69</f>
        <v>0</v>
      </c>
      <c r="H194" s="152">
        <f>'3.XT-C kh'!S69</f>
        <v>0</v>
      </c>
      <c r="I194" s="205">
        <f>'3.XT-C kh'!AA69</f>
        <v>0</v>
      </c>
    </row>
    <row r="195" spans="1:9" ht="21.75" hidden="1" customHeight="1">
      <c r="A195" s="165"/>
      <c r="B195" s="166" t="s">
        <v>118</v>
      </c>
      <c r="C195" s="173"/>
      <c r="D195" s="206" t="s">
        <v>174</v>
      </c>
      <c r="E195" s="161"/>
      <c r="F195" s="161"/>
      <c r="G195" s="161"/>
      <c r="H195" s="161"/>
      <c r="I195" s="207"/>
    </row>
    <row r="196" spans="1:9" ht="21.75" hidden="1" customHeight="1">
      <c r="A196" s="167" t="s">
        <v>7</v>
      </c>
      <c r="B196" s="168" t="s">
        <v>100</v>
      </c>
      <c r="C196" s="169"/>
      <c r="D196" s="208">
        <v>0.25</v>
      </c>
      <c r="E196" s="164">
        <v>0.41666666666666669</v>
      </c>
      <c r="F196" s="164">
        <v>0.58333333333333337</v>
      </c>
      <c r="G196" s="164">
        <v>0.75</v>
      </c>
      <c r="H196" s="164">
        <v>0.91666666666666663</v>
      </c>
      <c r="I196" s="209">
        <v>8.3333333333333329E-2</v>
      </c>
    </row>
    <row r="197" spans="1:9" ht="21.75" hidden="1" customHeight="1">
      <c r="A197" s="150">
        <v>1</v>
      </c>
      <c r="B197" s="2381" t="s">
        <v>123</v>
      </c>
      <c r="C197" s="2382"/>
      <c r="D197" s="204">
        <f>'3.XT-C kh'!I36</f>
        <v>0</v>
      </c>
      <c r="E197" s="152">
        <f>'3.XT-C kh'!Q36</f>
        <v>0</v>
      </c>
      <c r="F197" s="152">
        <f>'3.XT-C kh'!Y36</f>
        <v>0</v>
      </c>
      <c r="G197" s="152">
        <f>'3.XT-C kh'!I74</f>
        <v>0</v>
      </c>
      <c r="H197" s="152">
        <f>'3.XT-C kh'!Q74</f>
        <v>0</v>
      </c>
      <c r="I197" s="205">
        <f>'3.XT-C kh'!Y74</f>
        <v>0</v>
      </c>
    </row>
    <row r="198" spans="1:9" ht="21.75" hidden="1" customHeight="1">
      <c r="A198" s="150">
        <v>2</v>
      </c>
      <c r="B198" s="2381" t="s">
        <v>122</v>
      </c>
      <c r="C198" s="2382"/>
      <c r="D198" s="204">
        <f>'3.XT-C kh'!I37</f>
        <v>0</v>
      </c>
      <c r="E198" s="152">
        <f>'3.XT-C kh'!Q37</f>
        <v>0</v>
      </c>
      <c r="F198" s="152">
        <f>'3.XT-C kh'!Y37</f>
        <v>0</v>
      </c>
      <c r="G198" s="152">
        <f>'3.XT-C kh'!I75</f>
        <v>0</v>
      </c>
      <c r="H198" s="152">
        <f>'3.XT-C kh'!Q75</f>
        <v>0</v>
      </c>
      <c r="I198" s="205">
        <f>'3.XT-C kh'!Y75</f>
        <v>0</v>
      </c>
    </row>
    <row r="199" spans="1:9" ht="21.75" hidden="1" customHeight="1">
      <c r="A199" s="158"/>
      <c r="B199" s="158"/>
      <c r="C199" s="158"/>
      <c r="D199" s="206" t="s">
        <v>172</v>
      </c>
      <c r="E199" s="161"/>
      <c r="F199" s="161"/>
      <c r="G199" s="161"/>
      <c r="H199" s="161"/>
      <c r="I199" s="207"/>
    </row>
    <row r="200" spans="1:9" ht="21.75" hidden="1" customHeight="1">
      <c r="A200" s="158"/>
      <c r="B200" s="158"/>
      <c r="C200" s="158"/>
      <c r="D200" s="210">
        <v>0.25</v>
      </c>
      <c r="E200" s="156">
        <v>0.41666666666666669</v>
      </c>
      <c r="F200" s="156">
        <v>0.58333333333333337</v>
      </c>
      <c r="G200" s="156">
        <v>0.75</v>
      </c>
      <c r="H200" s="156">
        <v>0.91666666666666663</v>
      </c>
      <c r="I200" s="211">
        <v>8.3333333333333329E-2</v>
      </c>
    </row>
    <row r="201" spans="1:9" ht="21.75" hidden="1" customHeight="1">
      <c r="A201" s="2280">
        <v>1</v>
      </c>
      <c r="B201" s="2282" t="s">
        <v>154</v>
      </c>
      <c r="C201" s="146" t="s">
        <v>108</v>
      </c>
      <c r="D201" s="217">
        <f>'3.XT-C kh'!K6</f>
        <v>0</v>
      </c>
      <c r="E201" s="174">
        <f>'3.XT-C kh'!S6</f>
        <v>775.85</v>
      </c>
      <c r="F201" s="174">
        <f>'3.XT-C kh'!AA6</f>
        <v>775.85</v>
      </c>
      <c r="G201" s="174">
        <f>'3.XT-C kh'!K44</f>
        <v>775.85</v>
      </c>
      <c r="H201" s="174">
        <f>'3.XT-C kh'!S44</f>
        <v>775.85</v>
      </c>
      <c r="I201" s="218">
        <f>'3.XT-C kh'!AA44</f>
        <v>775.85</v>
      </c>
    </row>
    <row r="202" spans="1:9" ht="21.75" hidden="1" customHeight="1">
      <c r="A202" s="2281"/>
      <c r="B202" s="2284"/>
      <c r="C202" s="147" t="s">
        <v>109</v>
      </c>
      <c r="D202" s="212">
        <f>'3.XT-C kh'!K7</f>
        <v>0</v>
      </c>
      <c r="E202" s="159">
        <f>'3.XT-C kh'!S7</f>
        <v>263.78900000000004</v>
      </c>
      <c r="F202" s="159">
        <f>'3.XT-C kh'!AA7</f>
        <v>263.78900000000004</v>
      </c>
      <c r="G202" s="159">
        <f>'3.XT-C kh'!K45</f>
        <v>263.78900000000004</v>
      </c>
      <c r="H202" s="159">
        <f>'3.XT-C kh'!S45</f>
        <v>263.78900000000004</v>
      </c>
      <c r="I202" s="213">
        <f>'3.XT-C kh'!AA45</f>
        <v>263.78900000000004</v>
      </c>
    </row>
    <row r="203" spans="1:9" ht="21.75" hidden="1" customHeight="1">
      <c r="A203" s="2288"/>
      <c r="B203" s="2380"/>
      <c r="C203" s="147" t="s">
        <v>111</v>
      </c>
      <c r="D203" s="212" t="e">
        <f>'3.XT-C kh'!#REF!</f>
        <v>#REF!</v>
      </c>
      <c r="E203" s="159" t="e">
        <f>'3.XT-C kh'!#REF!</f>
        <v>#REF!</v>
      </c>
      <c r="F203" s="159" t="e">
        <f>'3.XT-C kh'!#REF!</f>
        <v>#REF!</v>
      </c>
      <c r="G203" s="159" t="e">
        <f>'3.XT-C kh'!#REF!</f>
        <v>#REF!</v>
      </c>
      <c r="H203" s="159" t="e">
        <f>'3.XT-C kh'!#REF!</f>
        <v>#REF!</v>
      </c>
      <c r="I203" s="213" t="e">
        <f>'3.XT-C kh'!#REF!</f>
        <v>#REF!</v>
      </c>
    </row>
    <row r="204" spans="1:9" ht="21.75" hidden="1" customHeight="1">
      <c r="A204" s="2280">
        <v>2</v>
      </c>
      <c r="B204" s="2282" t="s">
        <v>155</v>
      </c>
      <c r="C204" s="146" t="s">
        <v>108</v>
      </c>
      <c r="D204" s="212">
        <f>'3.XT-C kh'!K8</f>
        <v>573.75</v>
      </c>
      <c r="E204" s="159">
        <f>'3.XT-C kh'!S8</f>
        <v>573.75</v>
      </c>
      <c r="F204" s="159">
        <f>'3.XT-C kh'!AA8</f>
        <v>573.75</v>
      </c>
      <c r="G204" s="159">
        <f>'3.XT-C kh'!K46</f>
        <v>573.75</v>
      </c>
      <c r="H204" s="159">
        <f>'3.XT-C kh'!S46</f>
        <v>573.75</v>
      </c>
      <c r="I204" s="213">
        <f>'3.XT-C kh'!AA46</f>
        <v>573.75</v>
      </c>
    </row>
    <row r="205" spans="1:9" ht="21.75" hidden="1" customHeight="1">
      <c r="A205" s="2281"/>
      <c r="B205" s="2284"/>
      <c r="C205" s="147" t="s">
        <v>109</v>
      </c>
      <c r="D205" s="212">
        <f>'3.XT-C kh'!K9</f>
        <v>195.07499999999999</v>
      </c>
      <c r="E205" s="159">
        <f>'3.XT-C kh'!S9</f>
        <v>195.07499999999999</v>
      </c>
      <c r="F205" s="159">
        <f>'3.XT-C kh'!AA9</f>
        <v>195.07499999999999</v>
      </c>
      <c r="G205" s="159">
        <f>'3.XT-C kh'!K47</f>
        <v>195.07499999999999</v>
      </c>
      <c r="H205" s="159">
        <f>'3.XT-C kh'!S47</f>
        <v>195.07499999999999</v>
      </c>
      <c r="I205" s="213">
        <f>'3.XT-C kh'!AA47</f>
        <v>195.07499999999999</v>
      </c>
    </row>
    <row r="206" spans="1:9" ht="21.75" hidden="1" customHeight="1">
      <c r="A206" s="2288"/>
      <c r="B206" s="2380"/>
      <c r="C206" s="147" t="s">
        <v>111</v>
      </c>
      <c r="D206" s="212" t="e">
        <f>'3.XT-C kh'!#REF!</f>
        <v>#REF!</v>
      </c>
      <c r="E206" s="159" t="e">
        <f>'3.XT-C kh'!#REF!</f>
        <v>#REF!</v>
      </c>
      <c r="F206" s="159" t="e">
        <f>'3.XT-C kh'!#REF!</f>
        <v>#REF!</v>
      </c>
      <c r="G206" s="159" t="e">
        <f>'3.XT-C kh'!#REF!</f>
        <v>#REF!</v>
      </c>
      <c r="H206" s="159" t="e">
        <f>'3.XT-C kh'!#REF!</f>
        <v>#REF!</v>
      </c>
      <c r="I206" s="213" t="e">
        <f>'3.XT-C kh'!#REF!</f>
        <v>#REF!</v>
      </c>
    </row>
    <row r="207" spans="1:9" ht="21.75" hidden="1" customHeight="1">
      <c r="A207" s="2280">
        <v>3</v>
      </c>
      <c r="B207" s="2289" t="s">
        <v>156</v>
      </c>
      <c r="C207" s="146" t="s">
        <v>108</v>
      </c>
      <c r="D207" s="212">
        <f>'3.XT-C kh'!K10</f>
        <v>18.45</v>
      </c>
      <c r="E207" s="159">
        <f>'3.XT-C kh'!S10</f>
        <v>492</v>
      </c>
      <c r="F207" s="159">
        <f>'3.XT-C kh'!AA10</f>
        <v>492</v>
      </c>
      <c r="G207" s="159">
        <f>'3.XT-C kh'!K48</f>
        <v>492</v>
      </c>
      <c r="H207" s="159">
        <f>'3.XT-C kh'!S48</f>
        <v>492</v>
      </c>
      <c r="I207" s="213">
        <f>'3.XT-C kh'!AA48</f>
        <v>492</v>
      </c>
    </row>
    <row r="208" spans="1:9" ht="21.75" hidden="1" customHeight="1">
      <c r="A208" s="2288"/>
      <c r="B208" s="2290"/>
      <c r="C208" s="147" t="s">
        <v>112</v>
      </c>
      <c r="D208" s="212">
        <f>'3.XT-C kh'!K11</f>
        <v>5.9039999999999999</v>
      </c>
      <c r="E208" s="159">
        <f>'3.XT-C kh'!S11</f>
        <v>157.44</v>
      </c>
      <c r="F208" s="159">
        <f>'3.XT-C kh'!AA11</f>
        <v>157.44</v>
      </c>
      <c r="G208" s="159">
        <f>'3.XT-C kh'!K49</f>
        <v>157.44</v>
      </c>
      <c r="H208" s="159">
        <f>'3.XT-C kh'!S49</f>
        <v>157.44</v>
      </c>
      <c r="I208" s="213">
        <f>'3.XT-C kh'!AA49</f>
        <v>157.44</v>
      </c>
    </row>
    <row r="209" spans="1:11" ht="21.75" hidden="1" customHeight="1">
      <c r="A209" s="2280">
        <v>4</v>
      </c>
      <c r="B209" s="2289" t="s">
        <v>157</v>
      </c>
      <c r="C209" s="146" t="s">
        <v>108</v>
      </c>
      <c r="D209" s="212">
        <f>'3.XT-C kh'!K12</f>
        <v>520.08000000000004</v>
      </c>
      <c r="E209" s="159">
        <f>'3.XT-C kh'!S12</f>
        <v>520.08000000000004</v>
      </c>
      <c r="F209" s="159">
        <f>'3.XT-C kh'!AA12</f>
        <v>520.08000000000004</v>
      </c>
      <c r="G209" s="159">
        <f>'3.XT-C kh'!K50</f>
        <v>520.08000000000004</v>
      </c>
      <c r="H209" s="159">
        <f>'3.XT-C kh'!S50</f>
        <v>520.08000000000004</v>
      </c>
      <c r="I209" s="213">
        <f>'3.XT-C kh'!AA50</f>
        <v>520.08000000000004</v>
      </c>
    </row>
    <row r="210" spans="1:11" ht="21.75" hidden="1" customHeight="1">
      <c r="A210" s="2288"/>
      <c r="B210" s="2290"/>
      <c r="C210" s="147" t="s">
        <v>112</v>
      </c>
      <c r="D210" s="212">
        <f>'3.XT-C kh'!K13</f>
        <v>166.4256</v>
      </c>
      <c r="E210" s="159">
        <f>'3.XT-C kh'!S13</f>
        <v>166.4256</v>
      </c>
      <c r="F210" s="159">
        <f>'3.XT-C kh'!AA13</f>
        <v>166.4256</v>
      </c>
      <c r="G210" s="159">
        <f>'3.XT-C kh'!K51</f>
        <v>166.4256</v>
      </c>
      <c r="H210" s="159">
        <f>'3.XT-C kh'!S51</f>
        <v>166.4256</v>
      </c>
      <c r="I210" s="213">
        <f>'3.XT-C kh'!AA51</f>
        <v>166.4256</v>
      </c>
    </row>
    <row r="211" spans="1:11" ht="21.75" hidden="1" customHeight="1">
      <c r="A211" s="2280">
        <v>5</v>
      </c>
      <c r="B211" s="2358" t="s">
        <v>121</v>
      </c>
      <c r="C211" s="148"/>
      <c r="D211" s="212">
        <f>'3.XT-C kh'!K14</f>
        <v>84.905599999999694</v>
      </c>
      <c r="E211" s="159">
        <f>'3.XT-C kh'!S14</f>
        <v>7429.24</v>
      </c>
      <c r="F211" s="159">
        <f>'3.XT-C kh'!AA14</f>
        <v>7429.24</v>
      </c>
      <c r="G211" s="159">
        <f>'3.XT-C kh'!K52</f>
        <v>7429.24</v>
      </c>
      <c r="H211" s="159">
        <f>'3.XT-C kh'!S52</f>
        <v>7429.24</v>
      </c>
      <c r="I211" s="213">
        <f>'3.XT-C kh'!AA52</f>
        <v>7429.24</v>
      </c>
    </row>
    <row r="212" spans="1:11" ht="21.75" hidden="1" customHeight="1">
      <c r="A212" s="2288"/>
      <c r="B212" s="2359"/>
      <c r="C212" s="148"/>
      <c r="D212" s="212">
        <f>'3.XT-C kh'!K15</f>
        <v>61.025899999999972</v>
      </c>
      <c r="E212" s="159">
        <f>'3.XT-C kh'!S15</f>
        <v>371.46199999999999</v>
      </c>
      <c r="F212" s="159">
        <f>'3.XT-C kh'!AA15</f>
        <v>371.46199999999999</v>
      </c>
      <c r="G212" s="159">
        <f>'3.XT-C kh'!K53</f>
        <v>371.46199999999999</v>
      </c>
      <c r="H212" s="159">
        <f>'3.XT-C kh'!S53</f>
        <v>371.46199999999999</v>
      </c>
      <c r="I212" s="213">
        <f>'3.XT-C kh'!AA53</f>
        <v>371.46199999999999</v>
      </c>
    </row>
    <row r="213" spans="1:11" ht="21.75" hidden="1" customHeight="1">
      <c r="A213" s="2280">
        <v>6</v>
      </c>
      <c r="B213" s="2352" t="s">
        <v>40</v>
      </c>
      <c r="C213" s="2353"/>
      <c r="D213" s="212">
        <f>'3.XT-C kh'!K16</f>
        <v>403.2</v>
      </c>
      <c r="E213" s="159">
        <f>'3.XT-C kh'!S16</f>
        <v>403.2</v>
      </c>
      <c r="F213" s="159">
        <f>'3.XT-C kh'!AA16</f>
        <v>403.2</v>
      </c>
      <c r="G213" s="159">
        <f>'3.XT-C kh'!K54</f>
        <v>403.2</v>
      </c>
      <c r="H213" s="159">
        <f>'3.XT-C kh'!S54</f>
        <v>403.2</v>
      </c>
      <c r="I213" s="213">
        <f>'3.XT-C kh'!AA54</f>
        <v>403.2</v>
      </c>
    </row>
    <row r="214" spans="1:11" ht="21.75" hidden="1" customHeight="1">
      <c r="A214" s="2288"/>
      <c r="B214" s="2354"/>
      <c r="C214" s="2355"/>
      <c r="D214" s="212">
        <f>'3.XT-C kh'!K17</f>
        <v>0</v>
      </c>
      <c r="E214" s="159">
        <f>'3.XT-C kh'!S17</f>
        <v>0</v>
      </c>
      <c r="F214" s="159">
        <f>'3.XT-C kh'!AA17</f>
        <v>0</v>
      </c>
      <c r="G214" s="159">
        <f>'3.XT-C kh'!K55</f>
        <v>0</v>
      </c>
      <c r="H214" s="159">
        <f>'3.XT-C kh'!S55</f>
        <v>0</v>
      </c>
      <c r="I214" s="213">
        <f>'3.XT-C kh'!AA55</f>
        <v>0</v>
      </c>
    </row>
    <row r="215" spans="1:11" ht="21.75" hidden="1" customHeight="1">
      <c r="A215" s="150">
        <v>7</v>
      </c>
      <c r="B215" s="2243" t="s">
        <v>38</v>
      </c>
      <c r="C215" s="2244"/>
      <c r="D215" s="212">
        <f>'3.XT-C kh'!K18</f>
        <v>137.20737980769232</v>
      </c>
      <c r="E215" s="159">
        <f>'3.XT-C kh'!S18</f>
        <v>1163.5961538461538</v>
      </c>
      <c r="F215" s="159">
        <f>'3.XT-C kh'!AA18</f>
        <v>1163.5961538461538</v>
      </c>
      <c r="G215" s="159">
        <f>'3.XT-C kh'!K56</f>
        <v>1163.5961538461538</v>
      </c>
      <c r="H215" s="159">
        <f>'3.XT-C kh'!S56</f>
        <v>1163.5961538461538</v>
      </c>
      <c r="I215" s="213">
        <f>'3.XT-C kh'!AA56</f>
        <v>1163.5961538461538</v>
      </c>
    </row>
    <row r="216" spans="1:11" ht="21.75" hidden="1" customHeight="1">
      <c r="A216" s="150">
        <v>8</v>
      </c>
      <c r="B216" s="2243" t="s">
        <v>39</v>
      </c>
      <c r="C216" s="2244"/>
      <c r="D216" s="212">
        <f>'3.XT-C kh'!K19</f>
        <v>1818.8653846153845</v>
      </c>
      <c r="E216" s="159">
        <f>'3.XT-C kh'!S19</f>
        <v>1818.8653846153845</v>
      </c>
      <c r="F216" s="159">
        <f>'3.XT-C kh'!AA19</f>
        <v>1818.8653846153845</v>
      </c>
      <c r="G216" s="159">
        <f>'3.XT-C kh'!K57</f>
        <v>1818.8653846153845</v>
      </c>
      <c r="H216" s="159">
        <f>'3.XT-C kh'!S57</f>
        <v>1818.8653846153845</v>
      </c>
      <c r="I216" s="213">
        <f>'3.XT-C kh'!AA57</f>
        <v>1818.8653846153845</v>
      </c>
    </row>
    <row r="217" spans="1:11" ht="21.75" hidden="1" customHeight="1">
      <c r="A217" s="150">
        <v>9</v>
      </c>
      <c r="B217" s="2234" t="s">
        <v>86</v>
      </c>
      <c r="C217" s="2235"/>
      <c r="D217" s="212">
        <f>'3.XT-C kh'!K20</f>
        <v>242.96818965517238</v>
      </c>
      <c r="E217" s="159">
        <f>'3.XT-C kh'!S20</f>
        <v>334.55172413793105</v>
      </c>
      <c r="F217" s="159">
        <f>'3.XT-C kh'!AA20</f>
        <v>334.55172413793105</v>
      </c>
      <c r="G217" s="159">
        <f>'3.XT-C kh'!K58</f>
        <v>334.55172413793105</v>
      </c>
      <c r="H217" s="159">
        <f>'3.XT-C kh'!S58</f>
        <v>334.55172413793105</v>
      </c>
      <c r="I217" s="213">
        <f>'3.XT-C kh'!AA58</f>
        <v>334.55172413793105</v>
      </c>
    </row>
    <row r="218" spans="1:11" ht="21.75" hidden="1" customHeight="1">
      <c r="A218" s="150">
        <v>10</v>
      </c>
      <c r="B218" s="2234" t="s">
        <v>120</v>
      </c>
      <c r="C218" s="2235" t="s">
        <v>120</v>
      </c>
      <c r="D218" s="214">
        <f>'3.XT-C kh'!K21</f>
        <v>28.080000000000002</v>
      </c>
      <c r="E218" s="163">
        <f>'3.XT-C kh'!S21</f>
        <v>28.080000000000002</v>
      </c>
      <c r="F218" s="163">
        <f>'3.XT-C kh'!AA21</f>
        <v>28.080000000000002</v>
      </c>
      <c r="G218" s="163">
        <f>'3.XT-C kh'!K59</f>
        <v>28.080000000000002</v>
      </c>
      <c r="H218" s="163">
        <f>'3.XT-C kh'!S59</f>
        <v>28.080000000000002</v>
      </c>
      <c r="I218" s="215">
        <f>'3.XT-C kh'!AA59</f>
        <v>15.600000000000001</v>
      </c>
    </row>
    <row r="219" spans="1:11" ht="21.75" customHeight="1" thickBot="1">
      <c r="D219" s="219"/>
      <c r="E219" s="220"/>
      <c r="F219" s="220"/>
      <c r="G219" s="220"/>
      <c r="H219" s="220"/>
      <c r="I219" s="221"/>
    </row>
    <row r="221" spans="1:11" ht="21.75" customHeight="1">
      <c r="K221" s="359" t="s">
        <v>392</v>
      </c>
    </row>
  </sheetData>
  <mergeCells count="128">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 ref="B33:C33"/>
    <mergeCell ref="B30:C30"/>
    <mergeCell ref="B28:C28"/>
    <mergeCell ref="B26:C26"/>
    <mergeCell ref="B24:C24"/>
    <mergeCell ref="B20:C20"/>
    <mergeCell ref="A21:C21"/>
    <mergeCell ref="B22:C22"/>
    <mergeCell ref="B34:C34"/>
    <mergeCell ref="A31:C31"/>
    <mergeCell ref="B32:C32"/>
    <mergeCell ref="B29:C29"/>
    <mergeCell ref="B27:C27"/>
    <mergeCell ref="B25:C25"/>
    <mergeCell ref="B23:C23"/>
    <mergeCell ref="A37:A38"/>
    <mergeCell ref="A39:A40"/>
    <mergeCell ref="A41:A42"/>
    <mergeCell ref="A43:A44"/>
    <mergeCell ref="A45:A46"/>
    <mergeCell ref="A47:A48"/>
    <mergeCell ref="B43:B44"/>
    <mergeCell ref="B45:B46"/>
    <mergeCell ref="B47:C48"/>
    <mergeCell ref="B37:B38"/>
    <mergeCell ref="B39:B40"/>
    <mergeCell ref="B41:B42"/>
    <mergeCell ref="A113:A115"/>
    <mergeCell ref="B113:B115"/>
    <mergeCell ref="A116:A118"/>
    <mergeCell ref="B116:B118"/>
    <mergeCell ref="A119:A120"/>
    <mergeCell ref="B119:B120"/>
    <mergeCell ref="B49:C49"/>
    <mergeCell ref="B50:C50"/>
    <mergeCell ref="B51:C51"/>
    <mergeCell ref="B52:C52"/>
    <mergeCell ref="B127:C127"/>
    <mergeCell ref="B128:C128"/>
    <mergeCell ref="B129:C129"/>
    <mergeCell ref="B132:C132"/>
    <mergeCell ref="A121:A122"/>
    <mergeCell ref="B121:B122"/>
    <mergeCell ref="B123:C123"/>
    <mergeCell ref="B124:C124"/>
    <mergeCell ref="A125:A126"/>
    <mergeCell ref="B125:C126"/>
    <mergeCell ref="B139:C139"/>
    <mergeCell ref="B142:C142"/>
    <mergeCell ref="B143:C143"/>
    <mergeCell ref="A146:A148"/>
    <mergeCell ref="B146:B148"/>
    <mergeCell ref="B133:C133"/>
    <mergeCell ref="B134:C134"/>
    <mergeCell ref="B135:C135"/>
    <mergeCell ref="B136:C136"/>
    <mergeCell ref="B137:C137"/>
    <mergeCell ref="B138:C138"/>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A175:A176"/>
    <mergeCell ref="B175:B176"/>
    <mergeCell ref="A177:A178"/>
    <mergeCell ref="B177:B178"/>
    <mergeCell ref="A170:A172"/>
    <mergeCell ref="B170:B172"/>
    <mergeCell ref="A173:A174"/>
    <mergeCell ref="B173:B174"/>
    <mergeCell ref="A167:A169"/>
    <mergeCell ref="B167:B169"/>
    <mergeCell ref="B189:C189"/>
    <mergeCell ref="B188:C188"/>
    <mergeCell ref="B187:C187"/>
    <mergeCell ref="B184:C184"/>
    <mergeCell ref="A179:A180"/>
    <mergeCell ref="B179:C180"/>
    <mergeCell ref="B181:C181"/>
    <mergeCell ref="B182:C182"/>
    <mergeCell ref="B183:C183"/>
    <mergeCell ref="B198:C198"/>
    <mergeCell ref="A201:A203"/>
    <mergeCell ref="B201:B203"/>
    <mergeCell ref="B197:C197"/>
    <mergeCell ref="B194:C194"/>
    <mergeCell ref="B193:C193"/>
    <mergeCell ref="B192:C192"/>
    <mergeCell ref="B191:C191"/>
    <mergeCell ref="B190:C190"/>
    <mergeCell ref="B217:C217"/>
    <mergeCell ref="B218:C218"/>
    <mergeCell ref="A211:A212"/>
    <mergeCell ref="B211:B212"/>
    <mergeCell ref="A213:A214"/>
    <mergeCell ref="B213:C214"/>
    <mergeCell ref="B215:C215"/>
    <mergeCell ref="B216:C216"/>
    <mergeCell ref="A204:A206"/>
    <mergeCell ref="B204:B206"/>
    <mergeCell ref="A207:A208"/>
    <mergeCell ref="B207:B208"/>
    <mergeCell ref="A209:A210"/>
    <mergeCell ref="B209:B210"/>
  </mergeCells>
  <phoneticPr fontId="6"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sheetPr codeName="Sheet15">
    <tabColor rgb="FFFF0000"/>
  </sheetPr>
  <dimension ref="A1:I162"/>
  <sheetViews>
    <sheetView workbookViewId="0">
      <selection activeCell="H5" sqref="H5"/>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26" t="str">
        <f>'1. XL-1E kh'!G3</f>
        <v>2023/03/21</v>
      </c>
    </row>
    <row r="2" spans="1:9" ht="26.25" customHeight="1"/>
    <row r="3" spans="1:9" ht="36" customHeight="1">
      <c r="A3" s="175"/>
      <c r="B3" s="277" t="s">
        <v>234</v>
      </c>
      <c r="C3" s="176"/>
      <c r="D3" s="160" t="s">
        <v>171</v>
      </c>
      <c r="E3" s="161"/>
      <c r="F3" s="161"/>
      <c r="G3" s="161"/>
      <c r="H3" s="161"/>
      <c r="I3" s="162"/>
    </row>
    <row r="4" spans="1:9" ht="21.75" customHeight="1" thickBot="1">
      <c r="A4" s="196"/>
      <c r="B4" s="176"/>
      <c r="C4" s="197"/>
      <c r="D4" s="171">
        <v>0.25</v>
      </c>
      <c r="E4" s="171">
        <v>0.41666666666666669</v>
      </c>
      <c r="F4" s="171">
        <v>0.58333333333333337</v>
      </c>
      <c r="G4" s="171">
        <v>0.75</v>
      </c>
      <c r="H4" s="171">
        <v>0.91666666666666663</v>
      </c>
      <c r="I4" s="172">
        <v>8.3333333333333329E-2</v>
      </c>
    </row>
    <row r="5" spans="1:9" ht="27" customHeight="1">
      <c r="A5" s="2405">
        <v>1</v>
      </c>
      <c r="B5" s="2407" t="s">
        <v>147</v>
      </c>
      <c r="C5" s="195" t="s">
        <v>108</v>
      </c>
      <c r="D5" s="199">
        <f>'1. XL-1E TT'!I6</f>
        <v>0</v>
      </c>
      <c r="E5" s="200">
        <f>'1. XL-1E TT'!M6</f>
        <v>0</v>
      </c>
      <c r="F5" s="200">
        <f>'1. XL-1E TT'!Q6</f>
        <v>0</v>
      </c>
      <c r="G5" s="200">
        <f>'1. XL-1E TT(CA2)'!I6</f>
        <v>0</v>
      </c>
      <c r="H5" s="200">
        <f>'1. XL-1E TT(CA2)'!M6</f>
        <v>0</v>
      </c>
      <c r="I5" s="201">
        <f>'1. XL-1E TT(CA2)'!Q6</f>
        <v>0</v>
      </c>
    </row>
    <row r="6" spans="1:9" ht="27" hidden="1" customHeight="1">
      <c r="A6" s="2405"/>
      <c r="B6" s="2407"/>
      <c r="C6" s="195"/>
      <c r="D6" s="204"/>
      <c r="E6" s="152"/>
      <c r="F6" s="152"/>
      <c r="G6" s="152">
        <f>'1. XL-1E TT(CA2)'!I7</f>
        <v>0</v>
      </c>
      <c r="H6" s="152">
        <f>'1. XL-1E TT(CA2)'!M7</f>
        <v>0</v>
      </c>
      <c r="I6" s="205">
        <f>'1. XL-1E TT(CA2)'!Q7</f>
        <v>0</v>
      </c>
    </row>
    <row r="7" spans="1:9" ht="21.75" hidden="1" customHeight="1">
      <c r="A7" s="2406"/>
      <c r="B7" s="2408"/>
      <c r="C7" s="198" t="s">
        <v>144</v>
      </c>
      <c r="D7" s="204">
        <f>'1. XL-1E TT'!I8</f>
        <v>0</v>
      </c>
      <c r="E7" s="152">
        <f>'1. XL-1E TT'!M8</f>
        <v>0</v>
      </c>
      <c r="F7" s="152">
        <f>'1. XL-1E TT'!Q8</f>
        <v>0</v>
      </c>
      <c r="G7" s="152">
        <f>'1. XL-1E TT(CA2)'!I8</f>
        <v>0</v>
      </c>
      <c r="H7" s="152">
        <f>'1. XL-1E TT(CA2)'!M8</f>
        <v>0</v>
      </c>
      <c r="I7" s="205">
        <f>'1. XL-1E TT(CA2)'!Q8</f>
        <v>0</v>
      </c>
    </row>
    <row r="8" spans="1:9" ht="21.75" hidden="1" customHeight="1">
      <c r="A8" s="2321">
        <v>2</v>
      </c>
      <c r="B8" s="2409" t="s">
        <v>161</v>
      </c>
      <c r="C8" s="178" t="s">
        <v>108</v>
      </c>
      <c r="D8" s="204">
        <f>'1. XL-1E TT'!I9</f>
        <v>0</v>
      </c>
      <c r="E8" s="152">
        <f>'1. XL-1E TT'!M9</f>
        <v>0</v>
      </c>
      <c r="F8" s="152">
        <f>'1. XL-1E TT'!Q9</f>
        <v>0</v>
      </c>
      <c r="G8" s="152">
        <f>'1. XL-1E TT(CA2)'!I9</f>
        <v>0</v>
      </c>
      <c r="H8" s="152">
        <f>'1. XL-1E TT(CA2)'!M9</f>
        <v>0</v>
      </c>
      <c r="I8" s="205">
        <f>'1. XL-1E TT(CA2)'!Q9</f>
        <v>0</v>
      </c>
    </row>
    <row r="9" spans="1:9" ht="21.75" hidden="1" customHeight="1">
      <c r="A9" s="2321"/>
      <c r="B9" s="2409"/>
      <c r="C9" s="1877"/>
      <c r="D9" s="204"/>
      <c r="E9" s="152"/>
      <c r="F9" s="152"/>
      <c r="G9" s="152">
        <f>'1. XL-1E TT(CA2)'!I10</f>
        <v>0</v>
      </c>
      <c r="H9" s="152">
        <f>'1. XL-1E TT(CA2)'!M10</f>
        <v>0</v>
      </c>
      <c r="I9" s="205">
        <f>'1. XL-1E TT(CA2)'!Q10</f>
        <v>0</v>
      </c>
    </row>
    <row r="10" spans="1:9" ht="21.75" hidden="1" customHeight="1">
      <c r="A10" s="2318"/>
      <c r="B10" s="2399"/>
      <c r="C10" s="155" t="s">
        <v>144</v>
      </c>
      <c r="D10" s="204">
        <f>'1. XL-1E TT'!I11</f>
        <v>0</v>
      </c>
      <c r="E10" s="152">
        <f>'1. XL-1E TT'!M11</f>
        <v>0</v>
      </c>
      <c r="F10" s="152">
        <f>'1. XL-1E TT'!Q11</f>
        <v>0</v>
      </c>
      <c r="G10" s="152">
        <f>'1. XL-1E TT(CA2)'!I11</f>
        <v>0</v>
      </c>
      <c r="H10" s="152">
        <f>'1. XL-1E TT(CA2)'!M11</f>
        <v>0</v>
      </c>
      <c r="I10" s="205">
        <f>'1. XL-1E TT(CA2)'!Q11</f>
        <v>0</v>
      </c>
    </row>
    <row r="11" spans="1:9" ht="21.75" hidden="1" customHeight="1">
      <c r="A11" s="2317">
        <v>3</v>
      </c>
      <c r="B11" s="2398" t="s">
        <v>159</v>
      </c>
      <c r="C11" s="154" t="s">
        <v>108</v>
      </c>
      <c r="D11" s="204">
        <f>'1. XL-1E TT'!I12</f>
        <v>0</v>
      </c>
      <c r="E11" s="152">
        <f>'1. XL-1E TT'!M12</f>
        <v>0</v>
      </c>
      <c r="F11" s="152">
        <f>'1. XL-1E TT'!Q12</f>
        <v>0</v>
      </c>
      <c r="G11" s="152">
        <f>'1. XL-1E TT(CA2)'!I12</f>
        <v>0</v>
      </c>
      <c r="H11" s="152">
        <f>'1. XL-1E TT(CA2)'!M12</f>
        <v>0</v>
      </c>
      <c r="I11" s="205">
        <f>'1. XL-1E TT(CA2)'!Q12</f>
        <v>0</v>
      </c>
    </row>
    <row r="12" spans="1:9" ht="21.75" hidden="1" customHeight="1">
      <c r="A12" s="2318"/>
      <c r="B12" s="2399"/>
      <c r="C12" s="155" t="s">
        <v>144</v>
      </c>
      <c r="D12" s="204">
        <f>'1. XL-1E TT'!I13</f>
        <v>0</v>
      </c>
      <c r="E12" s="152">
        <f>'1. XL-1E TT'!M13</f>
        <v>0</v>
      </c>
      <c r="F12" s="152">
        <f>'1. XL-1E TT'!Q13</f>
        <v>0</v>
      </c>
      <c r="G12" s="152">
        <f>'1. XL-1E TT(CA2)'!I13</f>
        <v>0</v>
      </c>
      <c r="H12" s="152">
        <f>'1. XL-1E TT(CA2)'!M13</f>
        <v>0</v>
      </c>
      <c r="I12" s="205">
        <f>'1. XL-1E TT(CA2)'!Q13</f>
        <v>0</v>
      </c>
    </row>
    <row r="13" spans="1:9" ht="21.75" hidden="1" customHeight="1">
      <c r="A13" s="2317">
        <v>4</v>
      </c>
      <c r="B13" s="2398" t="s">
        <v>160</v>
      </c>
      <c r="C13" s="154" t="s">
        <v>108</v>
      </c>
      <c r="D13" s="204">
        <f>'1. XL-1E TT'!I14</f>
        <v>0</v>
      </c>
      <c r="E13" s="152">
        <f>'1. XL-1E TT'!M14</f>
        <v>0</v>
      </c>
      <c r="F13" s="152">
        <f>'1. XL-1E TT'!Q14</f>
        <v>0</v>
      </c>
      <c r="G13" s="152">
        <f>'1. XL-1E TT(CA2)'!I14</f>
        <v>0</v>
      </c>
      <c r="H13" s="152">
        <f>'1. XL-1E TT(CA2)'!M14</f>
        <v>0</v>
      </c>
      <c r="I13" s="205">
        <f>'1. XL-1E TT(CA2)'!Q14</f>
        <v>0</v>
      </c>
    </row>
    <row r="14" spans="1:9" ht="21.75" hidden="1" customHeight="1">
      <c r="A14" s="2318"/>
      <c r="B14" s="2399"/>
      <c r="C14" s="155" t="s">
        <v>144</v>
      </c>
      <c r="D14" s="204">
        <f>'1. XL-1E TT'!I15</f>
        <v>0</v>
      </c>
      <c r="E14" s="152">
        <f>'1. XL-1E TT'!M15</f>
        <v>0</v>
      </c>
      <c r="F14" s="152">
        <f>'1. XL-1E TT'!Q15</f>
        <v>0</v>
      </c>
      <c r="G14" s="152">
        <f>'1. XL-1E TT(CA2)'!I15</f>
        <v>0</v>
      </c>
      <c r="H14" s="152">
        <f>'1. XL-1E TT(CA2)'!M15</f>
        <v>0</v>
      </c>
      <c r="I14" s="205">
        <f>'1. XL-1E TT(CA2)'!Q15</f>
        <v>0</v>
      </c>
    </row>
    <row r="15" spans="1:9" ht="21.75" hidden="1" customHeight="1">
      <c r="A15" s="2317">
        <v>5</v>
      </c>
      <c r="B15" s="2208" t="s">
        <v>103</v>
      </c>
      <c r="C15" s="255" t="s">
        <v>102</v>
      </c>
      <c r="D15" s="204">
        <f>'1. XL-1E TT'!I16</f>
        <v>0</v>
      </c>
      <c r="E15" s="152">
        <f>'1. XL-1E TT'!M16</f>
        <v>0</v>
      </c>
      <c r="F15" s="152">
        <f>'1. XL-1E TT'!Q16</f>
        <v>0</v>
      </c>
      <c r="G15" s="152">
        <f>'1. XL-1E TT(CA2)'!I16</f>
        <v>0</v>
      </c>
      <c r="H15" s="152">
        <f>'1. XL-1E TT(CA2)'!M16</f>
        <v>0</v>
      </c>
      <c r="I15" s="205">
        <f>'1. XL-1E TT(CA2)'!Q16</f>
        <v>0</v>
      </c>
    </row>
    <row r="16" spans="1:9" ht="21.75" hidden="1" customHeight="1">
      <c r="A16" s="2318"/>
      <c r="B16" s="2209"/>
      <c r="C16" s="255" t="s">
        <v>60</v>
      </c>
      <c r="D16" s="204">
        <f>'1. XL-1E TT'!I17</f>
        <v>0</v>
      </c>
      <c r="E16" s="152">
        <f>'1. XL-1E TT'!M17</f>
        <v>0</v>
      </c>
      <c r="F16" s="152">
        <f>'1. XL-1E TT'!Q17</f>
        <v>0</v>
      </c>
      <c r="G16" s="152">
        <f>'1. XL-1E TT(CA2)'!I17</f>
        <v>0</v>
      </c>
      <c r="H16" s="152">
        <f>'1. XL-1E TT(CA2)'!M17</f>
        <v>0</v>
      </c>
      <c r="I16" s="205">
        <f>'1. XL-1E TT(CA2)'!Q17</f>
        <v>0</v>
      </c>
    </row>
    <row r="17" spans="1:9" ht="21.75" hidden="1" customHeight="1">
      <c r="A17" s="2317">
        <v>6</v>
      </c>
      <c r="B17" s="2400" t="s">
        <v>104</v>
      </c>
      <c r="C17" s="2164"/>
      <c r="D17" s="204">
        <f>'1. XL-1E TT'!I18</f>
        <v>0</v>
      </c>
      <c r="E17" s="152">
        <f>'1. XL-1E TT'!M18</f>
        <v>0</v>
      </c>
      <c r="F17" s="152">
        <f>'1. XL-1E TT'!Q18</f>
        <v>0</v>
      </c>
      <c r="G17" s="152">
        <f>'1. XL-1E TT(CA2)'!I18</f>
        <v>0</v>
      </c>
      <c r="H17" s="152">
        <f>'1. XL-1E TT(CA2)'!M18</f>
        <v>0</v>
      </c>
      <c r="I17" s="205">
        <f>'1. XL-1E TT(CA2)'!Q18</f>
        <v>0</v>
      </c>
    </row>
    <row r="18" spans="1:9" ht="21.75" hidden="1" customHeight="1">
      <c r="A18" s="2318"/>
      <c r="B18" s="2401"/>
      <c r="C18" s="2329"/>
      <c r="D18" s="204">
        <f>'1. XL-1E TT'!I19</f>
        <v>0</v>
      </c>
      <c r="E18" s="152">
        <f>'1. XL-1E TT'!M19</f>
        <v>0</v>
      </c>
      <c r="F18" s="152">
        <f>'1. XL-1E TT'!Q19</f>
        <v>0</v>
      </c>
      <c r="G18" s="152">
        <f>'1. XL-1E TT(CA2)'!I19</f>
        <v>0</v>
      </c>
      <c r="H18" s="152">
        <f>'1. XL-1E TT(CA2)'!M19</f>
        <v>0</v>
      </c>
      <c r="I18" s="205">
        <f>'1. XL-1E TT(CA2)'!Q19</f>
        <v>0</v>
      </c>
    </row>
    <row r="19" spans="1:9" ht="21.75" hidden="1" customHeight="1">
      <c r="A19" s="121">
        <v>7</v>
      </c>
      <c r="B19" s="2162" t="s">
        <v>61</v>
      </c>
      <c r="C19" s="2397"/>
      <c r="D19" s="204">
        <f>'1. XL-1E TT'!I20</f>
        <v>0</v>
      </c>
      <c r="E19" s="152">
        <f>'1. XL-1E TT'!M20</f>
        <v>0</v>
      </c>
      <c r="F19" s="152">
        <f>'1. XL-1E TT'!Q20</f>
        <v>0</v>
      </c>
      <c r="G19" s="152">
        <f>'1. XL-1E TT(CA2)'!I20</f>
        <v>0</v>
      </c>
      <c r="H19" s="152">
        <f>'1. XL-1E TT(CA2)'!M20</f>
        <v>0</v>
      </c>
      <c r="I19" s="205">
        <f>'1. XL-1E TT(CA2)'!Q20</f>
        <v>0</v>
      </c>
    </row>
    <row r="20" spans="1:9" ht="21.75" hidden="1" customHeight="1">
      <c r="A20" s="121">
        <v>8</v>
      </c>
      <c r="B20" s="2162" t="s">
        <v>62</v>
      </c>
      <c r="C20" s="2397"/>
      <c r="D20" s="204">
        <f>'1. XL-1E TT'!I21</f>
        <v>0</v>
      </c>
      <c r="E20" s="152">
        <f>'1. XL-1E TT'!M21</f>
        <v>0</v>
      </c>
      <c r="F20" s="152">
        <f>'1. XL-1E TT'!Q21</f>
        <v>0</v>
      </c>
      <c r="G20" s="152">
        <f>'1. XL-1E TT(CA2)'!I21</f>
        <v>0</v>
      </c>
      <c r="H20" s="152">
        <f>'1. XL-1E TT(CA2)'!M21</f>
        <v>0</v>
      </c>
      <c r="I20" s="205">
        <f>'1. XL-1E TT(CA2)'!Q21</f>
        <v>0</v>
      </c>
    </row>
    <row r="21" spans="1:9" ht="21.75" hidden="1" customHeight="1">
      <c r="A21" s="121">
        <v>9</v>
      </c>
      <c r="B21" s="2162" t="s">
        <v>63</v>
      </c>
      <c r="C21" s="2397"/>
      <c r="D21" s="204">
        <f>'1. XL-1E TT'!I22</f>
        <v>0</v>
      </c>
      <c r="E21" s="152">
        <f>'1. XL-1E TT'!M22</f>
        <v>0</v>
      </c>
      <c r="F21" s="152">
        <f>'1. XL-1E TT'!Q22</f>
        <v>0</v>
      </c>
      <c r="G21" s="152">
        <f>'1. XL-1E TT(CA2)'!I22</f>
        <v>0</v>
      </c>
      <c r="H21" s="152">
        <f>'1. XL-1E TT(CA2)'!M22</f>
        <v>0</v>
      </c>
      <c r="I21" s="205">
        <f>'1. XL-1E TT(CA2)'!Q22</f>
        <v>0</v>
      </c>
    </row>
    <row r="22" spans="1:9" ht="21.75" hidden="1" customHeight="1">
      <c r="A22" s="121">
        <v>10</v>
      </c>
      <c r="B22" s="2162" t="s">
        <v>105</v>
      </c>
      <c r="C22" s="2397"/>
      <c r="D22" s="202">
        <f>'1. XL-1E TT'!I23</f>
        <v>0</v>
      </c>
      <c r="E22" s="1880">
        <f>'1. XL-1E TT'!M23</f>
        <v>0</v>
      </c>
      <c r="F22" s="1880">
        <f>'1. XL-1E TT'!Q23</f>
        <v>0</v>
      </c>
      <c r="G22" s="1880">
        <f>'1. XL-1E TT(CA2)'!I23</f>
        <v>0</v>
      </c>
      <c r="H22" s="1880">
        <f>'1. XL-1E TT(CA2)'!M23</f>
        <v>0</v>
      </c>
      <c r="I22" s="203">
        <f>'1. XL-1E TT(CA2)'!Q23</f>
        <v>0</v>
      </c>
    </row>
    <row r="23" spans="1:9" ht="21.75" hidden="1" customHeight="1">
      <c r="A23" s="2402" t="s">
        <v>76</v>
      </c>
      <c r="B23" s="2402"/>
      <c r="C23" s="2403"/>
      <c r="D23" s="206" t="s">
        <v>173</v>
      </c>
      <c r="E23" s="161"/>
      <c r="F23" s="161"/>
      <c r="G23" s="161"/>
      <c r="H23" s="161"/>
      <c r="I23" s="207"/>
    </row>
    <row r="24" spans="1:9" ht="21.75" hidden="1" customHeight="1">
      <c r="A24" s="157" t="s">
        <v>7</v>
      </c>
      <c r="B24" s="2403" t="s">
        <v>64</v>
      </c>
      <c r="C24" s="2404"/>
      <c r="D24" s="208">
        <v>0.25</v>
      </c>
      <c r="E24" s="164">
        <v>0.41666666666666669</v>
      </c>
      <c r="F24" s="164">
        <v>0.58333333333333337</v>
      </c>
      <c r="G24" s="164">
        <v>0.75</v>
      </c>
      <c r="H24" s="164">
        <v>0.91666666666666663</v>
      </c>
      <c r="I24" s="209">
        <v>8.3333333333333329E-2</v>
      </c>
    </row>
    <row r="25" spans="1:9" ht="21.75" hidden="1" customHeight="1">
      <c r="A25" s="121">
        <v>1</v>
      </c>
      <c r="B25" s="2193" t="s">
        <v>68</v>
      </c>
      <c r="C25" s="2194"/>
      <c r="D25" s="204">
        <f>'1. XL-1E TT'!I28</f>
        <v>0</v>
      </c>
      <c r="E25" s="152">
        <f>'1. XL-1E TT'!M28</f>
        <v>0</v>
      </c>
      <c r="F25" s="152">
        <f>'1. XL-1E TT'!Q28</f>
        <v>0</v>
      </c>
      <c r="G25" s="152">
        <f>'1. XL-1E TT(CA2)'!I28</f>
        <v>0</v>
      </c>
      <c r="H25" s="152">
        <f>'1. XL-1E TT(CA2)'!M28</f>
        <v>0</v>
      </c>
      <c r="I25" s="205">
        <f>'1. XL-1E TT(CA2)'!Q28</f>
        <v>0</v>
      </c>
    </row>
    <row r="26" spans="1:9" ht="21.75" hidden="1" customHeight="1">
      <c r="A26" s="121">
        <v>2</v>
      </c>
      <c r="B26" s="2193" t="s">
        <v>69</v>
      </c>
      <c r="C26" s="2194" t="s">
        <v>69</v>
      </c>
      <c r="D26" s="204">
        <f>'1. XL-1E TT'!I29</f>
        <v>0</v>
      </c>
      <c r="E26" s="152">
        <f>'1. XL-1E TT'!M29</f>
        <v>0</v>
      </c>
      <c r="F26" s="152">
        <f>'1. XL-1E TT'!Q29</f>
        <v>0</v>
      </c>
      <c r="G26" s="152">
        <f>'1. XL-1E TT(CA2)'!I29</f>
        <v>0</v>
      </c>
      <c r="H26" s="152">
        <f>'1. XL-1E TT(CA2)'!M29</f>
        <v>0</v>
      </c>
      <c r="I26" s="205">
        <f>'1. XL-1E TT(CA2)'!Q29</f>
        <v>0</v>
      </c>
    </row>
    <row r="27" spans="1:9" ht="21.75" hidden="1" customHeight="1">
      <c r="A27" s="121">
        <v>3</v>
      </c>
      <c r="B27" s="2193" t="s">
        <v>71</v>
      </c>
      <c r="C27" s="2194" t="s">
        <v>71</v>
      </c>
      <c r="D27" s="204">
        <f>'1. XL-1E TT'!I30</f>
        <v>0</v>
      </c>
      <c r="E27" s="152">
        <f>'1. XL-1E TT'!M30</f>
        <v>0</v>
      </c>
      <c r="F27" s="152">
        <f>'1. XL-1E TT'!Q30</f>
        <v>0</v>
      </c>
      <c r="G27" s="152">
        <f>'1. XL-1E TT(CA2)'!I30</f>
        <v>0</v>
      </c>
      <c r="H27" s="152">
        <f>'1. XL-1E TT(CA2)'!M30</f>
        <v>0</v>
      </c>
      <c r="I27" s="205">
        <f>'1. XL-1E TT(CA2)'!Q30</f>
        <v>0</v>
      </c>
    </row>
    <row r="28" spans="1:9" ht="21.75" hidden="1" customHeight="1">
      <c r="A28" s="121">
        <v>4</v>
      </c>
      <c r="B28" s="2193" t="s">
        <v>70</v>
      </c>
      <c r="C28" s="2194" t="s">
        <v>70</v>
      </c>
      <c r="D28" s="204">
        <f>'1. XL-1E TT'!I31</f>
        <v>0</v>
      </c>
      <c r="E28" s="152">
        <f>'1. XL-1E TT'!M31</f>
        <v>0</v>
      </c>
      <c r="F28" s="152">
        <f>'1. XL-1E TT'!Q31</f>
        <v>0</v>
      </c>
      <c r="G28" s="152">
        <f>'1. XL-1E TT(CA2)'!I31</f>
        <v>0</v>
      </c>
      <c r="H28" s="152">
        <f>'1. XL-1E TT(CA2)'!M31</f>
        <v>0</v>
      </c>
      <c r="I28" s="205">
        <f>'1. XL-1E TT(CA2)'!Q31</f>
        <v>0</v>
      </c>
    </row>
    <row r="29" spans="1:9" ht="21.75" hidden="1" customHeight="1">
      <c r="A29" s="121">
        <v>5</v>
      </c>
      <c r="B29" s="2193" t="s">
        <v>72</v>
      </c>
      <c r="C29" s="2194" t="s">
        <v>72</v>
      </c>
      <c r="D29" s="204">
        <f>'1. XL-1E TT'!I32</f>
        <v>0</v>
      </c>
      <c r="E29" s="152">
        <f>'1. XL-1E TT'!M32</f>
        <v>0</v>
      </c>
      <c r="F29" s="152">
        <f>'1. XL-1E TT'!Q32</f>
        <v>0</v>
      </c>
      <c r="G29" s="152">
        <f>'1. XL-1E TT(CA2)'!I32</f>
        <v>0</v>
      </c>
      <c r="H29" s="152">
        <f>'1. XL-1E TT(CA2)'!M32</f>
        <v>0</v>
      </c>
      <c r="I29" s="205">
        <f>'1. XL-1E TT(CA2)'!Q32</f>
        <v>0</v>
      </c>
    </row>
    <row r="30" spans="1:9" ht="21.75" hidden="1" customHeight="1">
      <c r="A30" s="121">
        <v>6</v>
      </c>
      <c r="B30" s="2193" t="s">
        <v>91</v>
      </c>
      <c r="C30" s="2194" t="s">
        <v>91</v>
      </c>
      <c r="D30" s="204">
        <f>'1. XL-1E TT'!I33</f>
        <v>0</v>
      </c>
      <c r="E30" s="152">
        <f>'1. XL-1E TT'!M33</f>
        <v>0</v>
      </c>
      <c r="F30" s="152">
        <f>'1. XL-1E TT'!Q33</f>
        <v>0</v>
      </c>
      <c r="G30" s="152">
        <f>'1. XL-1E TT(CA2)'!I33</f>
        <v>0</v>
      </c>
      <c r="H30" s="152">
        <f>'1. XL-1E TT(CA2)'!M33</f>
        <v>0</v>
      </c>
      <c r="I30" s="205">
        <f>'1. XL-1E TT(CA2)'!Q33</f>
        <v>0</v>
      </c>
    </row>
    <row r="31" spans="1:9" ht="21.75" hidden="1" customHeight="1">
      <c r="A31" s="121">
        <v>7</v>
      </c>
      <c r="B31" s="2193" t="s">
        <v>73</v>
      </c>
      <c r="C31" s="2194" t="s">
        <v>73</v>
      </c>
      <c r="D31" s="204">
        <f>'1. XL-1E TT'!I34</f>
        <v>0</v>
      </c>
      <c r="E31" s="152">
        <f>'1. XL-1E TT'!M34</f>
        <v>0</v>
      </c>
      <c r="F31" s="152">
        <f>'1. XL-1E TT'!Q34</f>
        <v>0</v>
      </c>
      <c r="G31" s="152">
        <f>'1. XL-1E TT(CA2)'!I34</f>
        <v>0</v>
      </c>
      <c r="H31" s="152">
        <f>'1. XL-1E TT(CA2)'!M34</f>
        <v>0</v>
      </c>
      <c r="I31" s="205">
        <f>'1. XL-1E TT(CA2)'!Q34</f>
        <v>0</v>
      </c>
    </row>
    <row r="32" spans="1:9" ht="21.75" hidden="1" customHeight="1">
      <c r="A32" s="121">
        <v>8</v>
      </c>
      <c r="B32" s="2193" t="s">
        <v>74</v>
      </c>
      <c r="C32" s="2194" t="s">
        <v>74</v>
      </c>
      <c r="D32" s="204">
        <f>'1. XL-1E TT'!K35</f>
        <v>0</v>
      </c>
      <c r="E32" s="152">
        <f>'1. XL-1E TT'!O35</f>
        <v>0</v>
      </c>
      <c r="F32" s="152">
        <f>'1. XL-1E TT'!S35</f>
        <v>0</v>
      </c>
      <c r="G32" s="152">
        <f>'1. XL-1E TT(CA2)'!K35</f>
        <v>0</v>
      </c>
      <c r="H32" s="152">
        <f>'1. XL-1E TT(CA2)'!O35</f>
        <v>0</v>
      </c>
      <c r="I32" s="205">
        <f>'1. XL-1E TT(CA2)'!S35</f>
        <v>0</v>
      </c>
    </row>
    <row r="33" spans="1:9" ht="21.75" hidden="1" customHeight="1">
      <c r="A33" s="2402" t="s">
        <v>78</v>
      </c>
      <c r="B33" s="2402"/>
      <c r="C33" s="2403"/>
      <c r="D33" s="206" t="s">
        <v>174</v>
      </c>
      <c r="E33" s="161"/>
      <c r="F33" s="161"/>
      <c r="G33" s="161"/>
      <c r="H33" s="161"/>
      <c r="I33" s="207"/>
    </row>
    <row r="34" spans="1:9" ht="21.75" hidden="1" customHeight="1">
      <c r="A34" s="157" t="s">
        <v>7</v>
      </c>
      <c r="B34" s="2403" t="s">
        <v>100</v>
      </c>
      <c r="C34" s="2404"/>
      <c r="D34" s="210">
        <v>0.25</v>
      </c>
      <c r="E34" s="156">
        <v>0.41666666666666669</v>
      </c>
      <c r="F34" s="156">
        <v>0.58333333333333337</v>
      </c>
      <c r="G34" s="156">
        <v>0.75</v>
      </c>
      <c r="H34" s="156">
        <v>0.91666666666666663</v>
      </c>
      <c r="I34" s="211">
        <v>8.3333333333333329E-2</v>
      </c>
    </row>
    <row r="35" spans="1:9" ht="21.75" hidden="1" customHeight="1">
      <c r="A35" s="121">
        <v>1</v>
      </c>
      <c r="B35" s="2162" t="s">
        <v>106</v>
      </c>
      <c r="C35" s="2163"/>
      <c r="D35" s="204">
        <f>'1. XL-1E TT'!I38</f>
        <v>0</v>
      </c>
      <c r="E35" s="152">
        <f>'1. XL-1E TT'!M38</f>
        <v>0</v>
      </c>
      <c r="F35" s="152">
        <f>'1. XL-1E TT'!Q38</f>
        <v>0</v>
      </c>
      <c r="G35" s="1878">
        <f>'1. XL-1E TT(CA2)'!I38</f>
        <v>0</v>
      </c>
      <c r="H35" s="1878">
        <f>'1. XL-1E TT(CA2)'!M38</f>
        <v>0</v>
      </c>
      <c r="I35" s="1879">
        <f>'1. XL-1E TT(CA2)'!Q38</f>
        <v>0</v>
      </c>
    </row>
    <row r="36" spans="1:9" ht="21.75" hidden="1" customHeight="1">
      <c r="A36" s="121">
        <v>2</v>
      </c>
      <c r="B36" s="2162" t="s">
        <v>107</v>
      </c>
      <c r="C36" s="2163"/>
      <c r="D36" s="204">
        <f>'1. XL-1E TT'!I39</f>
        <v>0</v>
      </c>
      <c r="E36" s="152">
        <f>'1. XL-1E TT'!M39</f>
        <v>0</v>
      </c>
      <c r="F36" s="152">
        <f>'1. XL-1E TT'!Q39</f>
        <v>0</v>
      </c>
      <c r="G36" s="1878">
        <f>'1. XL-1E TT(CA2)'!I39</f>
        <v>0</v>
      </c>
      <c r="H36" s="1878">
        <f>'1. XL-1E TT(CA2)'!M39</f>
        <v>0</v>
      </c>
      <c r="I36" s="1879">
        <f>'1. XL-1E TT(CA2)'!Q39</f>
        <v>0</v>
      </c>
    </row>
    <row r="37" spans="1:9" ht="21.75" hidden="1" customHeight="1">
      <c r="A37" s="158"/>
      <c r="B37" s="158"/>
      <c r="C37" s="158"/>
      <c r="D37" s="206" t="s">
        <v>172</v>
      </c>
      <c r="E37" s="161"/>
      <c r="F37" s="161"/>
      <c r="G37" s="161"/>
      <c r="H37" s="161"/>
      <c r="I37" s="207"/>
    </row>
    <row r="38" spans="1:9" ht="21.75" hidden="1" customHeight="1">
      <c r="A38" s="158"/>
      <c r="B38" s="158"/>
      <c r="C38" s="158"/>
      <c r="D38" s="210">
        <v>0.25</v>
      </c>
      <c r="E38" s="156">
        <v>0.41666666666666669</v>
      </c>
      <c r="F38" s="156">
        <v>0.58333333333333337</v>
      </c>
      <c r="G38" s="156">
        <v>0.75</v>
      </c>
      <c r="H38" s="156">
        <v>0.91666666666666663</v>
      </c>
      <c r="I38" s="211">
        <v>8.3333333333333329E-2</v>
      </c>
    </row>
    <row r="39" spans="1:9" ht="21.75" hidden="1" customHeight="1">
      <c r="A39" s="2317">
        <v>1</v>
      </c>
      <c r="B39" s="2398" t="s">
        <v>147</v>
      </c>
      <c r="C39" s="154" t="s">
        <v>108</v>
      </c>
      <c r="D39" s="212">
        <f>'1. XL-1E TT'!K6</f>
        <v>0</v>
      </c>
      <c r="E39" s="159">
        <f>'1. XL-1E TT'!O6</f>
        <v>0</v>
      </c>
      <c r="F39" s="159">
        <f>'1. XL-1E TT'!S6</f>
        <v>0</v>
      </c>
      <c r="G39" s="159">
        <f>'1. XL-1E TT(CA2)'!K6</f>
        <v>0</v>
      </c>
      <c r="H39" s="159">
        <f>'1. XL-1E TT(CA2)'!O6</f>
        <v>0</v>
      </c>
      <c r="I39" s="213">
        <f>'1. XL-1E TT(CA2)'!S6</f>
        <v>0</v>
      </c>
    </row>
    <row r="40" spans="1:9" ht="21.75" hidden="1" customHeight="1">
      <c r="A40" s="2321"/>
      <c r="B40" s="2409"/>
      <c r="C40" s="154"/>
      <c r="D40" s="212"/>
      <c r="E40" s="159"/>
      <c r="F40" s="159"/>
      <c r="G40" s="159">
        <f>'1. XL-1E TT(CA2)'!K7</f>
        <v>0</v>
      </c>
      <c r="H40" s="159">
        <f>'1. XL-1E TT(CA2)'!O7</f>
        <v>0</v>
      </c>
      <c r="I40" s="213">
        <f>'1. XL-1E TT(CA2)'!S7</f>
        <v>0</v>
      </c>
    </row>
    <row r="41" spans="1:9" ht="21.75" hidden="1" customHeight="1">
      <c r="A41" s="2318"/>
      <c r="B41" s="2399"/>
      <c r="C41" s="155" t="s">
        <v>144</v>
      </c>
      <c r="D41" s="212">
        <f>'1. XL-1E TT'!K8</f>
        <v>0</v>
      </c>
      <c r="E41" s="159">
        <f>'1. XL-1E TT'!O8</f>
        <v>0</v>
      </c>
      <c r="F41" s="159">
        <f>'1. XL-1E TT'!S8</f>
        <v>0</v>
      </c>
      <c r="G41" s="159">
        <f>'1. XL-1E TT(CA2)'!K8</f>
        <v>0</v>
      </c>
      <c r="H41" s="159">
        <f>'1. XL-1E TT(CA2)'!O8</f>
        <v>0</v>
      </c>
      <c r="I41" s="213">
        <f>'1. XL-1E TT(CA2)'!S8</f>
        <v>0</v>
      </c>
    </row>
    <row r="42" spans="1:9" ht="21.75" hidden="1" customHeight="1">
      <c r="A42" s="2317">
        <v>2</v>
      </c>
      <c r="B42" s="2398" t="s">
        <v>161</v>
      </c>
      <c r="C42" s="154" t="s">
        <v>108</v>
      </c>
      <c r="D42" s="212">
        <f>'1. XL-1E TT'!K9</f>
        <v>0</v>
      </c>
      <c r="E42" s="159">
        <f>'1. XL-1E TT'!O9</f>
        <v>0</v>
      </c>
      <c r="F42" s="159">
        <f>'1. XL-1E TT'!S9</f>
        <v>0</v>
      </c>
      <c r="G42" s="159">
        <f>'1. XL-1E TT(CA2)'!K9</f>
        <v>0</v>
      </c>
      <c r="H42" s="159">
        <f>'1. XL-1E TT(CA2)'!O9</f>
        <v>0</v>
      </c>
      <c r="I42" s="213">
        <f>'1. XL-1E TT(CA2)'!S9</f>
        <v>0</v>
      </c>
    </row>
    <row r="43" spans="1:9" ht="21.75" hidden="1" customHeight="1">
      <c r="A43" s="2321"/>
      <c r="B43" s="2409"/>
      <c r="C43" s="154"/>
      <c r="D43" s="212"/>
      <c r="E43" s="159"/>
      <c r="F43" s="159"/>
      <c r="G43" s="159">
        <f>'1. XL-1E TT(CA2)'!K10</f>
        <v>0</v>
      </c>
      <c r="H43" s="159">
        <f>'1. XL-1E TT(CA2)'!O10</f>
        <v>0</v>
      </c>
      <c r="I43" s="213">
        <f>'1. XL-1E TT(CA2)'!S10</f>
        <v>0</v>
      </c>
    </row>
    <row r="44" spans="1:9" ht="21.75" hidden="1" customHeight="1">
      <c r="A44" s="2318"/>
      <c r="B44" s="2399"/>
      <c r="C44" s="155" t="s">
        <v>144</v>
      </c>
      <c r="D44" s="212">
        <f>'1. XL-1E TT'!K11</f>
        <v>0</v>
      </c>
      <c r="E44" s="159">
        <f>'1. XL-1E TT'!O11</f>
        <v>0</v>
      </c>
      <c r="F44" s="159">
        <f>'1. XL-1E TT'!S11</f>
        <v>0</v>
      </c>
      <c r="G44" s="159">
        <f>'1. XL-1E TT(CA2)'!K11</f>
        <v>0</v>
      </c>
      <c r="H44" s="159">
        <f>'1. XL-1E TT(CA2)'!O11</f>
        <v>0</v>
      </c>
      <c r="I44" s="213">
        <f>'1. XL-1E TT(CA2)'!S11</f>
        <v>0</v>
      </c>
    </row>
    <row r="45" spans="1:9" ht="21.75" hidden="1" customHeight="1">
      <c r="A45" s="2317">
        <v>3</v>
      </c>
      <c r="B45" s="2398" t="s">
        <v>159</v>
      </c>
      <c r="C45" s="154" t="s">
        <v>108</v>
      </c>
      <c r="D45" s="212">
        <f>'1. XL-1E TT'!K12</f>
        <v>0</v>
      </c>
      <c r="E45" s="159">
        <f>'1. XL-1E TT'!O12</f>
        <v>0</v>
      </c>
      <c r="F45" s="159">
        <f>'1. XL-1E TT'!S12</f>
        <v>0</v>
      </c>
      <c r="G45" s="159">
        <f>'1. XL-1E TT(CA2)'!K12</f>
        <v>0</v>
      </c>
      <c r="H45" s="159">
        <f>'1. XL-1E TT(CA2)'!O12</f>
        <v>0</v>
      </c>
      <c r="I45" s="213">
        <f>'1. XL-1E TT(CA2)'!S12</f>
        <v>0</v>
      </c>
    </row>
    <row r="46" spans="1:9" ht="21.75" hidden="1" customHeight="1">
      <c r="A46" s="2318"/>
      <c r="B46" s="2399"/>
      <c r="C46" s="155" t="s">
        <v>144</v>
      </c>
      <c r="D46" s="212">
        <f>'1. XL-1E TT'!K13</f>
        <v>0</v>
      </c>
      <c r="E46" s="159">
        <f>'1. XL-1E TT'!O13</f>
        <v>0</v>
      </c>
      <c r="F46" s="159">
        <f>'1. XL-1E TT'!S13</f>
        <v>0</v>
      </c>
      <c r="G46" s="159">
        <f>'1. XL-1E TT(CA2)'!K13</f>
        <v>0</v>
      </c>
      <c r="H46" s="159">
        <f>'1. XL-1E TT(CA2)'!O13</f>
        <v>0</v>
      </c>
      <c r="I46" s="213">
        <f>'1. XL-1E TT(CA2)'!S13</f>
        <v>0</v>
      </c>
    </row>
    <row r="47" spans="1:9" ht="21.75" hidden="1" customHeight="1">
      <c r="A47" s="2317">
        <v>4</v>
      </c>
      <c r="B47" s="2398" t="s">
        <v>160</v>
      </c>
      <c r="C47" s="154" t="s">
        <v>108</v>
      </c>
      <c r="D47" s="212">
        <f>'1. XL-1E TT'!K14</f>
        <v>0</v>
      </c>
      <c r="E47" s="159">
        <f>'1. XL-1E TT'!O14</f>
        <v>0</v>
      </c>
      <c r="F47" s="159">
        <f>'1. XL-1E TT'!S14</f>
        <v>0</v>
      </c>
      <c r="G47" s="159">
        <f>'1. XL-1E TT(CA2)'!K14</f>
        <v>0</v>
      </c>
      <c r="H47" s="159">
        <f>'1. XL-1E TT(CA2)'!O14</f>
        <v>0</v>
      </c>
      <c r="I47" s="213">
        <f>'1. XL-1E TT(CA2)'!S14</f>
        <v>0</v>
      </c>
    </row>
    <row r="48" spans="1:9" ht="21.75" hidden="1" customHeight="1">
      <c r="A48" s="2318"/>
      <c r="B48" s="2399"/>
      <c r="C48" s="155" t="s">
        <v>144</v>
      </c>
      <c r="D48" s="212">
        <f>'1. XL-1E TT'!K15</f>
        <v>0</v>
      </c>
      <c r="E48" s="159">
        <f>'1. XL-1E TT'!O15</f>
        <v>0</v>
      </c>
      <c r="F48" s="159">
        <f>'1. XL-1E TT'!S15</f>
        <v>0</v>
      </c>
      <c r="G48" s="159">
        <f>'1. XL-1E TT(CA2)'!K15</f>
        <v>0</v>
      </c>
      <c r="H48" s="159">
        <f>'1. XL-1E TT(CA2)'!O15</f>
        <v>0</v>
      </c>
      <c r="I48" s="213">
        <f>'1. XL-1E TT(CA2)'!S15</f>
        <v>0</v>
      </c>
    </row>
    <row r="49" spans="1:9" ht="21.75" hidden="1" customHeight="1">
      <c r="A49" s="2317">
        <v>5</v>
      </c>
      <c r="B49" s="2208" t="s">
        <v>103</v>
      </c>
      <c r="C49" s="255" t="s">
        <v>102</v>
      </c>
      <c r="D49" s="212">
        <f>'1. XL-1E TT'!K16</f>
        <v>0</v>
      </c>
      <c r="E49" s="159">
        <f>'1. XL-1E TT'!O16</f>
        <v>0</v>
      </c>
      <c r="F49" s="159">
        <f>'1. XL-1E TT'!S16</f>
        <v>0</v>
      </c>
      <c r="G49" s="159">
        <f>'1. XL-1E TT(CA2)'!K16</f>
        <v>0</v>
      </c>
      <c r="H49" s="159">
        <f>'1. XL-1E TT(CA2)'!O16</f>
        <v>0</v>
      </c>
      <c r="I49" s="213">
        <f>'1. XL-1E TT(CA2)'!S16</f>
        <v>0</v>
      </c>
    </row>
    <row r="50" spans="1:9" ht="21.75" hidden="1" customHeight="1">
      <c r="A50" s="2318"/>
      <c r="B50" s="2209"/>
      <c r="C50" s="255" t="s">
        <v>60</v>
      </c>
      <c r="D50" s="212">
        <f>'1. XL-1E TT'!K17</f>
        <v>0</v>
      </c>
      <c r="E50" s="159">
        <f>'1. XL-1E TT'!O17</f>
        <v>0</v>
      </c>
      <c r="F50" s="159">
        <f>'1. XL-1E TT'!S17</f>
        <v>0</v>
      </c>
      <c r="G50" s="159">
        <f>'1. XL-1E TT(CA2)'!K17</f>
        <v>0</v>
      </c>
      <c r="H50" s="159">
        <f>'1. XL-1E TT(CA2)'!O17</f>
        <v>0</v>
      </c>
      <c r="I50" s="213">
        <f>'1. XL-1E TT(CA2)'!S17</f>
        <v>0</v>
      </c>
    </row>
    <row r="51" spans="1:9" ht="21.75" hidden="1" customHeight="1">
      <c r="A51" s="2317">
        <v>6</v>
      </c>
      <c r="B51" s="2400" t="s">
        <v>104</v>
      </c>
      <c r="C51" s="2164"/>
      <c r="D51" s="212">
        <f>'1. XL-1E TT'!K18</f>
        <v>0</v>
      </c>
      <c r="E51" s="159">
        <f>'1. XL-1E TT'!O18</f>
        <v>0</v>
      </c>
      <c r="F51" s="159">
        <f>'1. XL-1E TT'!S18</f>
        <v>0</v>
      </c>
      <c r="G51" s="159">
        <f>'1. XL-1E TT(CA2)'!K18</f>
        <v>0</v>
      </c>
      <c r="H51" s="159">
        <f>'1. XL-1E TT(CA2)'!O18</f>
        <v>0</v>
      </c>
      <c r="I51" s="213">
        <f>'1. XL-1E TT(CA2)'!S18</f>
        <v>0</v>
      </c>
    </row>
    <row r="52" spans="1:9" ht="21.75" hidden="1" customHeight="1">
      <c r="A52" s="2318"/>
      <c r="B52" s="2401"/>
      <c r="C52" s="2329"/>
      <c r="D52" s="212">
        <f>'1. XL-1E TT'!K19</f>
        <v>0</v>
      </c>
      <c r="E52" s="159">
        <f>'1. XL-1E TT'!O19</f>
        <v>0</v>
      </c>
      <c r="F52" s="159">
        <f>'1. XL-1E TT'!S19</f>
        <v>0</v>
      </c>
      <c r="G52" s="159">
        <f>'1. XL-1E TT(CA2)'!K19</f>
        <v>0</v>
      </c>
      <c r="H52" s="159">
        <f>'1. XL-1E TT(CA2)'!O19</f>
        <v>0</v>
      </c>
      <c r="I52" s="213">
        <f>'1. XL-1E TT(CA2)'!S19</f>
        <v>0</v>
      </c>
    </row>
    <row r="53" spans="1:9" ht="21.75" hidden="1" customHeight="1">
      <c r="A53" s="121">
        <v>7</v>
      </c>
      <c r="B53" s="2162" t="s">
        <v>61</v>
      </c>
      <c r="C53" s="2397"/>
      <c r="D53" s="212">
        <f>'1. XL-1E TT'!K20</f>
        <v>0</v>
      </c>
      <c r="E53" s="159">
        <f>'1. XL-1E TT'!O20</f>
        <v>0</v>
      </c>
      <c r="F53" s="159">
        <f>'1. XL-1E TT'!S20</f>
        <v>0</v>
      </c>
      <c r="G53" s="159">
        <f>'1. XL-1E TT(CA2)'!K20</f>
        <v>0</v>
      </c>
      <c r="H53" s="159">
        <f>'1. XL-1E TT(CA2)'!O20</f>
        <v>0</v>
      </c>
      <c r="I53" s="213">
        <f>'1. XL-1E TT(CA2)'!S20</f>
        <v>0</v>
      </c>
    </row>
    <row r="54" spans="1:9" ht="21.75" hidden="1" customHeight="1">
      <c r="A54" s="121">
        <v>8</v>
      </c>
      <c r="B54" s="2162" t="s">
        <v>62</v>
      </c>
      <c r="C54" s="2397"/>
      <c r="D54" s="212">
        <f>'1. XL-1E TT'!K21</f>
        <v>0</v>
      </c>
      <c r="E54" s="159">
        <f>'1. XL-1E TT'!O21</f>
        <v>0</v>
      </c>
      <c r="F54" s="159">
        <f>'1. XL-1E TT'!S21</f>
        <v>0</v>
      </c>
      <c r="G54" s="159">
        <f>'1. XL-1E TT(CA2)'!K21</f>
        <v>0</v>
      </c>
      <c r="H54" s="159">
        <f>'1. XL-1E TT(CA2)'!O21</f>
        <v>0</v>
      </c>
      <c r="I54" s="213">
        <f>'1. XL-1E TT(CA2)'!S21</f>
        <v>0</v>
      </c>
    </row>
    <row r="55" spans="1:9" ht="21.75" hidden="1" customHeight="1">
      <c r="A55" s="121">
        <v>9</v>
      </c>
      <c r="B55" s="2162" t="s">
        <v>63</v>
      </c>
      <c r="C55" s="2397"/>
      <c r="D55" s="212">
        <f>'1. XL-1E TT'!K22</f>
        <v>0</v>
      </c>
      <c r="E55" s="159">
        <f>'1. XL-1E TT'!O22</f>
        <v>0</v>
      </c>
      <c r="F55" s="159">
        <f>'1. XL-1E TT'!S22</f>
        <v>0</v>
      </c>
      <c r="G55" s="159">
        <f>'1. XL-1E TT(CA2)'!K22</f>
        <v>0</v>
      </c>
      <c r="H55" s="159">
        <f>'1. XL-1E TT(CA2)'!O22</f>
        <v>0</v>
      </c>
      <c r="I55" s="213">
        <f>'1. XL-1E TT(CA2)'!S22</f>
        <v>0</v>
      </c>
    </row>
    <row r="56" spans="1:9" ht="21.75" hidden="1" customHeight="1">
      <c r="A56" s="121">
        <v>10</v>
      </c>
      <c r="B56" s="2162" t="s">
        <v>105</v>
      </c>
      <c r="C56" s="2397"/>
      <c r="D56" s="212">
        <f>'1. XL-1E TT'!K23</f>
        <v>0</v>
      </c>
      <c r="E56" s="159">
        <f>'1. XL-1E TT'!O23</f>
        <v>0</v>
      </c>
      <c r="F56" s="159">
        <f>'1. XL-1E TT'!S23</f>
        <v>0</v>
      </c>
      <c r="G56" s="159">
        <f>'1. XL-1E TT(CA2)'!K23</f>
        <v>0</v>
      </c>
      <c r="H56" s="159">
        <f>'1. XL-1E TT(CA2)'!O23</f>
        <v>0</v>
      </c>
      <c r="I56" s="213">
        <f>'1. XL-1E TT(CA2)'!S23</f>
        <v>0</v>
      </c>
    </row>
    <row r="57" spans="1:9" ht="21.75" hidden="1" customHeight="1">
      <c r="D57" s="204"/>
      <c r="E57" s="152"/>
      <c r="F57" s="152"/>
      <c r="G57" s="152"/>
      <c r="H57" s="152"/>
      <c r="I57" s="205"/>
    </row>
    <row r="58" spans="1:9" ht="21.75" hidden="1" customHeight="1">
      <c r="A58" s="192"/>
      <c r="B58" s="177" t="s">
        <v>233</v>
      </c>
      <c r="C58" s="188"/>
      <c r="D58" s="216"/>
      <c r="E58" s="189"/>
      <c r="F58" s="152"/>
      <c r="G58" s="152"/>
      <c r="H58" s="152"/>
      <c r="I58" s="205"/>
    </row>
    <row r="59" spans="1:9" ht="21.75" hidden="1" customHeight="1">
      <c r="A59" s="182" t="s">
        <v>7</v>
      </c>
      <c r="B59" s="170"/>
      <c r="C59" s="170"/>
      <c r="D59" s="206" t="s">
        <v>171</v>
      </c>
      <c r="E59" s="161"/>
      <c r="F59" s="161"/>
      <c r="G59" s="161"/>
      <c r="H59" s="161"/>
      <c r="I59" s="207"/>
    </row>
    <row r="60" spans="1:9" ht="21.75" hidden="1" customHeight="1">
      <c r="A60" s="183"/>
      <c r="B60" s="179"/>
      <c r="C60" s="179"/>
      <c r="D60" s="210">
        <v>0.25</v>
      </c>
      <c r="E60" s="156">
        <v>0.41666666666666669</v>
      </c>
      <c r="F60" s="156">
        <v>0.58333333333333337</v>
      </c>
      <c r="G60" s="156">
        <v>0.75</v>
      </c>
      <c r="H60" s="156">
        <v>0.91666666666666663</v>
      </c>
      <c r="I60" s="211">
        <v>8.3333333333333329E-2</v>
      </c>
    </row>
    <row r="61" spans="1:9" ht="21.75" hidden="1" customHeight="1">
      <c r="A61" s="267">
        <v>1</v>
      </c>
      <c r="B61" s="254" t="s">
        <v>147</v>
      </c>
      <c r="C61" s="268" t="s">
        <v>108</v>
      </c>
      <c r="D61" s="202">
        <f>'2. XL-1F TT '!I6</f>
        <v>0</v>
      </c>
      <c r="E61" s="153">
        <f>'2. XL-1F TT '!M6</f>
        <v>0</v>
      </c>
      <c r="F61" s="153">
        <f>'2. XL-1F TT '!Q6</f>
        <v>0</v>
      </c>
      <c r="G61" s="153">
        <f>'2. XL-1F TT(CA2)'!I6</f>
        <v>0</v>
      </c>
      <c r="H61" s="153">
        <f>'2. XL-1F TT(CA2)'!M6</f>
        <v>0</v>
      </c>
      <c r="I61" s="203">
        <f>'2. XL-1F TT(CA2)'!Q6</f>
        <v>0</v>
      </c>
    </row>
    <row r="62" spans="1:9" ht="21.75" hidden="1" customHeight="1">
      <c r="A62" s="239"/>
      <c r="B62" s="244"/>
      <c r="C62" s="253" t="s">
        <v>109</v>
      </c>
      <c r="D62" s="202">
        <f>'2. XL-1F TT '!I7</f>
        <v>0</v>
      </c>
      <c r="E62" s="153">
        <f>'2. XL-1F TT '!M7</f>
        <v>0</v>
      </c>
      <c r="F62" s="153">
        <f>'2. XL-1F TT '!Q7</f>
        <v>0</v>
      </c>
      <c r="G62" s="153">
        <f>'2. XL-1F TT(CA2)'!I7</f>
        <v>0</v>
      </c>
      <c r="H62" s="153">
        <f>'2. XL-1F TT(CA2)'!M7</f>
        <v>0</v>
      </c>
      <c r="I62" s="203">
        <f>'2. XL-1F TT(CA2)'!Q7</f>
        <v>0</v>
      </c>
    </row>
    <row r="63" spans="1:9" ht="21.75" hidden="1" customHeight="1">
      <c r="A63" s="238">
        <v>2</v>
      </c>
      <c r="B63" s="243" t="s">
        <v>148</v>
      </c>
      <c r="C63" s="245" t="s">
        <v>108</v>
      </c>
      <c r="D63" s="202">
        <f>'2. XL-1F TT '!I8</f>
        <v>0</v>
      </c>
      <c r="E63" s="153">
        <f>'2. XL-1F TT '!M8</f>
        <v>0</v>
      </c>
      <c r="F63" s="153">
        <f>'2. XL-1F TT '!Q8</f>
        <v>0</v>
      </c>
      <c r="G63" s="153">
        <f>'2. XL-1F TT(CA2)'!I8</f>
        <v>0</v>
      </c>
      <c r="H63" s="153">
        <f>'2. XL-1F TT(CA2)'!M8</f>
        <v>0</v>
      </c>
      <c r="I63" s="203">
        <f>'2. XL-1F TT(CA2)'!Q8</f>
        <v>0</v>
      </c>
    </row>
    <row r="64" spans="1:9" ht="21.75" hidden="1" customHeight="1">
      <c r="A64" s="239"/>
      <c r="B64" s="244"/>
      <c r="C64" s="246" t="s">
        <v>109</v>
      </c>
      <c r="D64" s="202">
        <f>'2. XL-1F TT '!I9</f>
        <v>0</v>
      </c>
      <c r="E64" s="153">
        <f>'2. XL-1F TT '!M9</f>
        <v>0</v>
      </c>
      <c r="F64" s="153">
        <f>'2. XL-1F TT '!Q9</f>
        <v>0</v>
      </c>
      <c r="G64" s="153">
        <f>'2. XL-1F TT(CA2)'!I9</f>
        <v>0</v>
      </c>
      <c r="H64" s="153">
        <f>'2. XL-1F TT(CA2)'!M9</f>
        <v>0</v>
      </c>
      <c r="I64" s="203">
        <f>'2. XL-1F TT(CA2)'!Q9</f>
        <v>0</v>
      </c>
    </row>
    <row r="65" spans="1:9" ht="21.75" hidden="1" customHeight="1">
      <c r="A65" s="238">
        <v>3</v>
      </c>
      <c r="B65" s="248" t="s">
        <v>149</v>
      </c>
      <c r="C65" s="245" t="s">
        <v>108</v>
      </c>
      <c r="D65" s="202">
        <f>'2. XL-1F TT '!I10</f>
        <v>0</v>
      </c>
      <c r="E65" s="153">
        <f>'2. XL-1F TT '!M10</f>
        <v>0</v>
      </c>
      <c r="F65" s="153">
        <f>'2. XL-1F TT '!Q10</f>
        <v>0</v>
      </c>
      <c r="G65" s="153">
        <f>'2. XL-1F TT(CA2)'!I10</f>
        <v>0</v>
      </c>
      <c r="H65" s="153">
        <f>'2. XL-1F TT(CA2)'!M10</f>
        <v>0</v>
      </c>
      <c r="I65" s="203">
        <f>'2. XL-1F TT(CA2)'!Q10</f>
        <v>0</v>
      </c>
    </row>
    <row r="66" spans="1:9" ht="21.75" hidden="1" customHeight="1">
      <c r="A66" s="240"/>
      <c r="B66" s="249"/>
      <c r="C66" s="246" t="s">
        <v>112</v>
      </c>
      <c r="D66" s="202">
        <f>'2. XL-1F TT '!I11</f>
        <v>0</v>
      </c>
      <c r="E66" s="153">
        <f>'2. XL-1F TT '!M11</f>
        <v>0</v>
      </c>
      <c r="F66" s="153">
        <f>'2. XL-1F TT '!Q11</f>
        <v>0</v>
      </c>
      <c r="G66" s="153">
        <f>'2. XL-1F TT(CA2)'!I11</f>
        <v>0</v>
      </c>
      <c r="H66" s="153">
        <f>'2. XL-1F TT(CA2)'!M11</f>
        <v>0</v>
      </c>
      <c r="I66" s="203">
        <f>'2. XL-1F TT(CA2)'!Q11</f>
        <v>0</v>
      </c>
    </row>
    <row r="67" spans="1:9" ht="21.75" hidden="1" customHeight="1">
      <c r="A67" s="238">
        <v>4</v>
      </c>
      <c r="B67" s="248" t="s">
        <v>150</v>
      </c>
      <c r="C67" s="245" t="s">
        <v>108</v>
      </c>
      <c r="D67" s="202">
        <f>'2. XL-1F TT '!I12</f>
        <v>0</v>
      </c>
      <c r="E67" s="153">
        <f>'2. XL-1F TT '!M12</f>
        <v>0</v>
      </c>
      <c r="F67" s="153">
        <f>'2. XL-1F TT '!Q12</f>
        <v>0</v>
      </c>
      <c r="G67" s="153">
        <f>'2. XL-1F TT(CA2)'!I12</f>
        <v>0</v>
      </c>
      <c r="H67" s="153">
        <f>'2. XL-1F TT(CA2)'!M12</f>
        <v>0</v>
      </c>
      <c r="I67" s="203">
        <f>'2. XL-1F TT(CA2)'!Q12</f>
        <v>0</v>
      </c>
    </row>
    <row r="68" spans="1:9" ht="21.75" hidden="1" customHeight="1">
      <c r="A68" s="240"/>
      <c r="B68" s="249"/>
      <c r="C68" s="246" t="s">
        <v>112</v>
      </c>
      <c r="D68" s="202">
        <f>'2. XL-1F TT '!I13</f>
        <v>0</v>
      </c>
      <c r="E68" s="153">
        <f>'2. XL-1F TT '!M13</f>
        <v>0</v>
      </c>
      <c r="F68" s="153">
        <f>'2. XL-1F TT '!Q13</f>
        <v>0</v>
      </c>
      <c r="G68" s="153">
        <f>'2. XL-1F TT(CA2)'!I13</f>
        <v>0</v>
      </c>
      <c r="H68" s="153">
        <f>'2. XL-1F TT(CA2)'!M13</f>
        <v>0</v>
      </c>
      <c r="I68" s="203">
        <f>'2. XL-1F TT(CA2)'!Q13</f>
        <v>0</v>
      </c>
    </row>
    <row r="69" spans="1:9" ht="21.75" hidden="1" customHeight="1">
      <c r="A69" s="241">
        <v>5</v>
      </c>
      <c r="B69" s="246" t="s">
        <v>82</v>
      </c>
      <c r="C69" s="247"/>
      <c r="D69" s="202">
        <f>'2. XL-1F TT '!I14</f>
        <v>0</v>
      </c>
      <c r="E69" s="153">
        <f>'2. XL-1F TT '!M14</f>
        <v>0</v>
      </c>
      <c r="F69" s="153">
        <f>'2. XL-1F TT '!Q14</f>
        <v>0</v>
      </c>
      <c r="G69" s="153">
        <f>'2. XL-1F TT(CA2)'!I14</f>
        <v>0</v>
      </c>
      <c r="H69" s="153">
        <f>'2. XL-1F TT(CA2)'!M14</f>
        <v>0</v>
      </c>
      <c r="I69" s="203">
        <f>'2. XL-1F TT(CA2)'!Q14</f>
        <v>0</v>
      </c>
    </row>
    <row r="70" spans="1:9" ht="21.75" hidden="1" customHeight="1">
      <c r="A70" s="241">
        <v>6</v>
      </c>
      <c r="B70" s="246" t="s">
        <v>60</v>
      </c>
      <c r="C70" s="247"/>
      <c r="D70" s="202">
        <f>'2. XL-1F TT '!I15</f>
        <v>0</v>
      </c>
      <c r="E70" s="153">
        <f>'2. XL-1F TT '!M15</f>
        <v>0</v>
      </c>
      <c r="F70" s="153">
        <f>'2. XL-1F TT '!Q15</f>
        <v>0</v>
      </c>
      <c r="G70" s="153">
        <f>'2. XL-1F TT(CA2)'!I15</f>
        <v>0</v>
      </c>
      <c r="H70" s="153">
        <f>'2. XL-1F TT(CA2)'!M15</f>
        <v>0</v>
      </c>
      <c r="I70" s="203">
        <f>'2. XL-1F TT(CA2)'!Q15</f>
        <v>0</v>
      </c>
    </row>
    <row r="71" spans="1:9" ht="21.75" hidden="1" customHeight="1">
      <c r="A71" s="250">
        <v>7</v>
      </c>
      <c r="B71" s="243" t="s">
        <v>114</v>
      </c>
      <c r="C71" s="252"/>
      <c r="D71" s="202">
        <f>'2. XL-1F TT '!I16</f>
        <v>-1.0461</v>
      </c>
      <c r="E71" s="153">
        <f>'2. XL-1F TT '!M16</f>
        <v>-1.0461</v>
      </c>
      <c r="F71" s="153">
        <f>'2. XL-1F TT '!Q16</f>
        <v>-1.0461</v>
      </c>
      <c r="G71" s="153">
        <f>'2. XL-1F TT(CA2)'!I16</f>
        <v>-1.0461</v>
      </c>
      <c r="H71" s="153">
        <f>'2. XL-1F TT(CA2)'!M16</f>
        <v>-1.0461</v>
      </c>
      <c r="I71" s="203">
        <f>'2. XL-1F TT(CA2)'!Q16</f>
        <v>-1.0461</v>
      </c>
    </row>
    <row r="72" spans="1:9" ht="21.75" hidden="1" customHeight="1">
      <c r="A72" s="251"/>
      <c r="B72" s="253"/>
      <c r="C72" s="254"/>
      <c r="D72" s="202">
        <f>'2. XL-1F TT '!I17</f>
        <v>0</v>
      </c>
      <c r="E72" s="153">
        <f>'2. XL-1F TT '!M17</f>
        <v>0</v>
      </c>
      <c r="F72" s="153">
        <f>'2. XL-1F TT '!Q17</f>
        <v>0</v>
      </c>
      <c r="G72" s="153">
        <f>'2. XL-1F TT(CA2)'!I17</f>
        <v>0</v>
      </c>
      <c r="H72" s="153">
        <f>'2. XL-1F TT(CA2)'!M17</f>
        <v>0</v>
      </c>
      <c r="I72" s="203">
        <f>'2. XL-1F TT(CA2)'!Q17</f>
        <v>0</v>
      </c>
    </row>
    <row r="73" spans="1:9" ht="21.75" hidden="1" customHeight="1">
      <c r="A73" s="241">
        <v>8</v>
      </c>
      <c r="B73" s="246" t="s">
        <v>61</v>
      </c>
      <c r="C73" s="247"/>
      <c r="D73" s="202">
        <f>'2. XL-1F TT '!I18</f>
        <v>0</v>
      </c>
      <c r="E73" s="153">
        <f>'2. XL-1F TT '!M18</f>
        <v>0</v>
      </c>
      <c r="F73" s="153">
        <f>'2. XL-1F TT '!Q18</f>
        <v>0</v>
      </c>
      <c r="G73" s="153">
        <f>'2. XL-1F TT(CA2)'!I18</f>
        <v>0</v>
      </c>
      <c r="H73" s="153">
        <f>'2. XL-1F TT(CA2)'!M18</f>
        <v>0</v>
      </c>
      <c r="I73" s="203">
        <f>'2. XL-1F TT(CA2)'!Q18</f>
        <v>0</v>
      </c>
    </row>
    <row r="74" spans="1:9" ht="21.75" hidden="1" customHeight="1">
      <c r="A74" s="241">
        <v>9</v>
      </c>
      <c r="B74" s="246" t="s">
        <v>62</v>
      </c>
      <c r="C74" s="247"/>
      <c r="D74" s="202">
        <f>'2. XL-1F TT '!I19</f>
        <v>0</v>
      </c>
      <c r="E74" s="153">
        <f>'2. XL-1F TT '!M19</f>
        <v>0</v>
      </c>
      <c r="F74" s="153">
        <f>'2. XL-1F TT '!Q19</f>
        <v>0</v>
      </c>
      <c r="G74" s="153">
        <f>'2. XL-1F TT(CA2)'!I19</f>
        <v>0</v>
      </c>
      <c r="H74" s="153">
        <f>'2. XL-1F TT(CA2)'!M19</f>
        <v>0</v>
      </c>
      <c r="I74" s="203">
        <f>'2. XL-1F TT(CA2)'!Q19</f>
        <v>0</v>
      </c>
    </row>
    <row r="75" spans="1:9" ht="21.75" hidden="1" customHeight="1">
      <c r="A75" s="241">
        <v>11</v>
      </c>
      <c r="B75" s="246" t="s">
        <v>116</v>
      </c>
      <c r="C75" s="247"/>
      <c r="D75" s="202">
        <f>'2. XL-1F TT '!I20</f>
        <v>0</v>
      </c>
      <c r="E75" s="153">
        <f>'2. XL-1F TT '!M20</f>
        <v>0</v>
      </c>
      <c r="F75" s="153">
        <f>'2. XL-1F TT '!Q20</f>
        <v>0</v>
      </c>
      <c r="G75" s="153">
        <f>'2. XL-1F TT(CA2)'!I20</f>
        <v>0</v>
      </c>
      <c r="H75" s="153">
        <f>'2. XL-1F TT(CA2)'!M20</f>
        <v>0</v>
      </c>
      <c r="I75" s="203">
        <f>'2. XL-1F TT(CA2)'!Q20</f>
        <v>0</v>
      </c>
    </row>
    <row r="76" spans="1:9" ht="21.75" hidden="1" customHeight="1">
      <c r="A76" s="241">
        <v>12</v>
      </c>
      <c r="B76" s="246" t="s">
        <v>115</v>
      </c>
      <c r="C76" s="247"/>
      <c r="D76" s="202">
        <f>'2. XL-1F TT '!I21</f>
        <v>0</v>
      </c>
      <c r="E76" s="153">
        <f>'2. XL-1F TT '!M21</f>
        <v>0</v>
      </c>
      <c r="F76" s="153">
        <f>'2. XL-1F TT '!Q21</f>
        <v>0</v>
      </c>
      <c r="G76" s="153">
        <f>'2. XL-1F TT(CA2)'!I21</f>
        <v>0</v>
      </c>
      <c r="H76" s="153">
        <f>'2. XL-1F TT(CA2)'!M21</f>
        <v>0</v>
      </c>
      <c r="I76" s="203">
        <f>'2. XL-1F TT(CA2)'!Q21</f>
        <v>0</v>
      </c>
    </row>
    <row r="77" spans="1:9" ht="21.75" hidden="1" customHeight="1">
      <c r="A77" s="165"/>
      <c r="B77" s="166" t="s">
        <v>117</v>
      </c>
      <c r="C77" s="173"/>
      <c r="D77" s="206" t="s">
        <v>173</v>
      </c>
      <c r="E77" s="161"/>
      <c r="F77" s="161"/>
      <c r="G77" s="161"/>
      <c r="H77" s="161"/>
      <c r="I77" s="207"/>
    </row>
    <row r="78" spans="1:9" ht="21.75" hidden="1" customHeight="1">
      <c r="A78" s="167" t="s">
        <v>7</v>
      </c>
      <c r="B78" s="168" t="s">
        <v>64</v>
      </c>
      <c r="C78" s="169"/>
      <c r="D78" s="208">
        <v>0.25</v>
      </c>
      <c r="E78" s="164">
        <v>0.41666666666666669</v>
      </c>
      <c r="F78" s="164">
        <v>0.58333333333333337</v>
      </c>
      <c r="G78" s="164">
        <v>0.75</v>
      </c>
      <c r="H78" s="164">
        <v>0.91666666666666663</v>
      </c>
      <c r="I78" s="209">
        <v>8.3333333333333329E-2</v>
      </c>
    </row>
    <row r="79" spans="1:9" ht="21.75" hidden="1" customHeight="1">
      <c r="A79" s="242">
        <v>1</v>
      </c>
      <c r="B79" s="258" t="s">
        <v>68</v>
      </c>
      <c r="C79" s="259"/>
      <c r="D79" s="204">
        <f>'2. XL-1F TT '!I26</f>
        <v>0</v>
      </c>
      <c r="E79" s="152">
        <f>'2. XL-1F TT '!M26</f>
        <v>0</v>
      </c>
      <c r="F79" s="152">
        <f>'2. XL-1F TT '!Q26</f>
        <v>0</v>
      </c>
      <c r="G79" s="152">
        <f>'2. XL-1F TT(CA2)'!I26</f>
        <v>0</v>
      </c>
      <c r="H79" s="152">
        <f>'2. XL-1F TT(CA2)'!M26</f>
        <v>0</v>
      </c>
      <c r="I79" s="205">
        <f>'2. XL-1F TT(CA2)'!Q26</f>
        <v>0</v>
      </c>
    </row>
    <row r="80" spans="1:9" ht="21.75" hidden="1" customHeight="1">
      <c r="A80" s="242">
        <v>2</v>
      </c>
      <c r="B80" s="258" t="s">
        <v>69</v>
      </c>
      <c r="C80" s="259" t="s">
        <v>69</v>
      </c>
      <c r="D80" s="204">
        <f>'2. XL-1F TT '!I27</f>
        <v>0</v>
      </c>
      <c r="E80" s="152">
        <f>'2. XL-1F TT '!M27</f>
        <v>0</v>
      </c>
      <c r="F80" s="152">
        <f>'2. XL-1F TT '!Q27</f>
        <v>0</v>
      </c>
      <c r="G80" s="152">
        <f>'2. XL-1F TT(CA2)'!I27</f>
        <v>0</v>
      </c>
      <c r="H80" s="152">
        <f>'2. XL-1F TT(CA2)'!M27</f>
        <v>0</v>
      </c>
      <c r="I80" s="205">
        <f>'2. XL-1F TT(CA2)'!Q27</f>
        <v>0</v>
      </c>
    </row>
    <row r="81" spans="1:9" ht="21.75" hidden="1" customHeight="1">
      <c r="A81" s="242">
        <v>3</v>
      </c>
      <c r="B81" s="258" t="s">
        <v>71</v>
      </c>
      <c r="C81" s="259" t="s">
        <v>71</v>
      </c>
      <c r="D81" s="204">
        <f>'2. XL-1F TT '!I28</f>
        <v>0</v>
      </c>
      <c r="E81" s="152">
        <f>'2. XL-1F TT '!M28</f>
        <v>0</v>
      </c>
      <c r="F81" s="152">
        <f>'2. XL-1F TT '!Q28</f>
        <v>0</v>
      </c>
      <c r="G81" s="152">
        <f>'2. XL-1F TT(CA2)'!I28</f>
        <v>0</v>
      </c>
      <c r="H81" s="152">
        <f>'2. XL-1F TT(CA2)'!M28</f>
        <v>0</v>
      </c>
      <c r="I81" s="205">
        <f>'2. XL-1F TT(CA2)'!Q28</f>
        <v>0</v>
      </c>
    </row>
    <row r="82" spans="1:9" ht="21.75" hidden="1" customHeight="1">
      <c r="A82" s="242">
        <v>4</v>
      </c>
      <c r="B82" s="258" t="s">
        <v>70</v>
      </c>
      <c r="C82" s="259" t="s">
        <v>70</v>
      </c>
      <c r="D82" s="204">
        <f>'2. XL-1F TT '!I29</f>
        <v>0</v>
      </c>
      <c r="E82" s="152">
        <f>'2. XL-1F TT '!M29</f>
        <v>0</v>
      </c>
      <c r="F82" s="152">
        <f>'2. XL-1F TT '!Q29</f>
        <v>0</v>
      </c>
      <c r="G82" s="152">
        <f>'2. XL-1F TT(CA2)'!I29</f>
        <v>0</v>
      </c>
      <c r="H82" s="152">
        <f>'2. XL-1F TT(CA2)'!M29</f>
        <v>0</v>
      </c>
      <c r="I82" s="205">
        <f>'2. XL-1F TT(CA2)'!Q29</f>
        <v>0</v>
      </c>
    </row>
    <row r="83" spans="1:9" ht="21.75" hidden="1" customHeight="1">
      <c r="A83" s="242">
        <v>5</v>
      </c>
      <c r="B83" s="258" t="s">
        <v>72</v>
      </c>
      <c r="C83" s="259" t="s">
        <v>72</v>
      </c>
      <c r="D83" s="204">
        <f>'2. XL-1F TT '!I30</f>
        <v>0</v>
      </c>
      <c r="E83" s="152">
        <f>'2. XL-1F TT '!M30</f>
        <v>0</v>
      </c>
      <c r="F83" s="152">
        <f>'2. XL-1F TT '!Q30</f>
        <v>0</v>
      </c>
      <c r="G83" s="152">
        <f>'2. XL-1F TT(CA2)'!I30</f>
        <v>0</v>
      </c>
      <c r="H83" s="152">
        <f>'2. XL-1F TT(CA2)'!M30</f>
        <v>0</v>
      </c>
      <c r="I83" s="205">
        <f>'2. XL-1F TT(CA2)'!Q30</f>
        <v>0</v>
      </c>
    </row>
    <row r="84" spans="1:9" ht="21.75" hidden="1" customHeight="1">
      <c r="A84" s="242">
        <v>6</v>
      </c>
      <c r="B84" s="258" t="s">
        <v>95</v>
      </c>
      <c r="C84" s="259" t="s">
        <v>95</v>
      </c>
      <c r="D84" s="204">
        <f>'2. XL-1F TT '!I31</f>
        <v>0</v>
      </c>
      <c r="E84" s="152">
        <f>'2. XL-1F TT '!M31</f>
        <v>0</v>
      </c>
      <c r="F84" s="152">
        <f>'2. XL-1F TT '!Q31</f>
        <v>0</v>
      </c>
      <c r="G84" s="152">
        <f>'2. XL-1F TT(CA2)'!I31</f>
        <v>0</v>
      </c>
      <c r="H84" s="152">
        <f>'2. XL-1F TT(CA2)'!M31</f>
        <v>0</v>
      </c>
      <c r="I84" s="205">
        <f>'2. XL-1F TT(CA2)'!Q31</f>
        <v>0</v>
      </c>
    </row>
    <row r="85" spans="1:9" ht="21.75" hidden="1" customHeight="1">
      <c r="A85" s="242">
        <v>7</v>
      </c>
      <c r="B85" s="258" t="s">
        <v>73</v>
      </c>
      <c r="C85" s="259" t="s">
        <v>73</v>
      </c>
      <c r="D85" s="204">
        <f>'2. XL-1F TT '!I32</f>
        <v>0</v>
      </c>
      <c r="E85" s="152">
        <f>'2. XL-1F TT '!M32</f>
        <v>0</v>
      </c>
      <c r="F85" s="152">
        <f>'2. XL-1F TT '!Q32</f>
        <v>0</v>
      </c>
      <c r="G85" s="152">
        <f>'2. XL-1F TT(CA2)'!I32</f>
        <v>0</v>
      </c>
      <c r="H85" s="152">
        <f>'2. XL-1F TT(CA2)'!M32</f>
        <v>0</v>
      </c>
      <c r="I85" s="205">
        <f>'2. XL-1F TT(CA2)'!Q32</f>
        <v>0</v>
      </c>
    </row>
    <row r="86" spans="1:9" ht="21.75" hidden="1" customHeight="1">
      <c r="A86" s="242">
        <v>8</v>
      </c>
      <c r="B86" s="256" t="s">
        <v>74</v>
      </c>
      <c r="C86" s="257" t="s">
        <v>74</v>
      </c>
      <c r="D86" s="204">
        <f>'2. XL-1F TT '!K33</f>
        <v>0</v>
      </c>
      <c r="E86" s="152">
        <f>'2. XL-1F TT '!O33</f>
        <v>0</v>
      </c>
      <c r="F86" s="152">
        <f>'2. XL-1F TT '!S33</f>
        <v>0</v>
      </c>
      <c r="G86" s="152">
        <f>'2. XL-1F TT(CA2)'!K33</f>
        <v>0</v>
      </c>
      <c r="H86" s="152">
        <f>'2. XL-1F TT(CA2)'!O33</f>
        <v>0</v>
      </c>
      <c r="I86" s="205">
        <f>'2. XL-1F TT(CA2)'!S33</f>
        <v>0</v>
      </c>
    </row>
    <row r="87" spans="1:9" ht="21.75" hidden="1" customHeight="1">
      <c r="A87" s="165"/>
      <c r="B87" s="166" t="s">
        <v>118</v>
      </c>
      <c r="C87" s="173"/>
      <c r="D87" s="206" t="s">
        <v>174</v>
      </c>
      <c r="E87" s="161"/>
      <c r="F87" s="161"/>
      <c r="G87" s="161"/>
      <c r="H87" s="161"/>
      <c r="I87" s="207"/>
    </row>
    <row r="88" spans="1:9" ht="21.75" hidden="1" customHeight="1">
      <c r="A88" s="167" t="s">
        <v>7</v>
      </c>
      <c r="B88" s="168" t="s">
        <v>100</v>
      </c>
      <c r="C88" s="169"/>
      <c r="D88" s="208">
        <v>0.25</v>
      </c>
      <c r="E88" s="164">
        <v>0.41666666666666669</v>
      </c>
      <c r="F88" s="164">
        <v>0.58333333333333337</v>
      </c>
      <c r="G88" s="164">
        <v>0.75</v>
      </c>
      <c r="H88" s="164">
        <v>0.91666666666666663</v>
      </c>
      <c r="I88" s="209">
        <v>8.3333333333333329E-2</v>
      </c>
    </row>
    <row r="89" spans="1:9" ht="21.75" hidden="1" customHeight="1">
      <c r="A89" s="241">
        <v>1</v>
      </c>
      <c r="B89" s="246" t="s">
        <v>54</v>
      </c>
      <c r="C89" s="247"/>
      <c r="D89" s="204">
        <f>'2. XL-1F TT '!I36</f>
        <v>0</v>
      </c>
      <c r="E89" s="152">
        <f>'2. XL-1F TT '!M36</f>
        <v>0</v>
      </c>
      <c r="F89" s="152">
        <f>'2. XL-1F TT '!Q36</f>
        <v>0</v>
      </c>
      <c r="G89" s="1878">
        <f>'2. XL-1F TT(CA2)'!I36</f>
        <v>0</v>
      </c>
      <c r="H89" s="1878">
        <f>'2. XL-1F TT(CA2)'!M36</f>
        <v>0</v>
      </c>
      <c r="I89" s="1879">
        <f>'2. XL-1F TT(CA2)'!Q36</f>
        <v>0</v>
      </c>
    </row>
    <row r="90" spans="1:9" ht="21.75" hidden="1" customHeight="1">
      <c r="A90" s="241">
        <v>2</v>
      </c>
      <c r="B90" s="246" t="s">
        <v>94</v>
      </c>
      <c r="C90" s="247"/>
      <c r="D90" s="204">
        <f>'2. XL-1F TT '!I37</f>
        <v>0</v>
      </c>
      <c r="E90" s="152">
        <f>'2. XL-1F TT '!M37</f>
        <v>0</v>
      </c>
      <c r="F90" s="152">
        <f>'2. XL-1F TT '!Q37</f>
        <v>0</v>
      </c>
      <c r="G90" s="1878">
        <f>'2. XL-1F TT(CA2)'!I37</f>
        <v>0</v>
      </c>
      <c r="H90" s="1878">
        <f>'2. XL-1F TT(CA2)'!M37</f>
        <v>0</v>
      </c>
      <c r="I90" s="1879">
        <f>'2. XL-1F TT(CA2)'!Q37</f>
        <v>0</v>
      </c>
    </row>
    <row r="91" spans="1:9" ht="21.75" hidden="1" customHeight="1">
      <c r="A91" s="158"/>
      <c r="B91" s="158"/>
      <c r="C91" s="158"/>
      <c r="D91" s="206" t="s">
        <v>172</v>
      </c>
      <c r="E91" s="161"/>
      <c r="F91" s="161"/>
      <c r="G91" s="161"/>
      <c r="H91" s="161"/>
      <c r="I91" s="207"/>
    </row>
    <row r="92" spans="1:9" ht="21.75" hidden="1" customHeight="1">
      <c r="A92" s="158"/>
      <c r="B92" s="158"/>
      <c r="C92" s="158"/>
      <c r="D92" s="210">
        <v>0.25</v>
      </c>
      <c r="E92" s="156">
        <v>0.41666666666666669</v>
      </c>
      <c r="F92" s="156">
        <v>0.58333333333333337</v>
      </c>
      <c r="G92" s="156">
        <v>0.75</v>
      </c>
      <c r="H92" s="156">
        <v>0.91666666666666663</v>
      </c>
      <c r="I92" s="211">
        <v>8.3333333333333329E-2</v>
      </c>
    </row>
    <row r="93" spans="1:9" ht="21.75" hidden="1" customHeight="1">
      <c r="A93" s="238">
        <v>1</v>
      </c>
      <c r="B93" s="243" t="s">
        <v>147</v>
      </c>
      <c r="C93" s="245" t="s">
        <v>108</v>
      </c>
      <c r="D93" s="212">
        <f>'2. XL-1F TT '!K6</f>
        <v>0</v>
      </c>
      <c r="E93" s="159">
        <f>'2. XL-1F TT '!O6</f>
        <v>0</v>
      </c>
      <c r="F93" s="159">
        <f>'2. XL-1F TT '!S6</f>
        <v>0</v>
      </c>
      <c r="G93" s="159">
        <f>'2. XL-1F TT(CA2)'!K6</f>
        <v>0</v>
      </c>
      <c r="H93" s="159">
        <f>'2. XL-1F TT(CA2)'!O6</f>
        <v>0</v>
      </c>
      <c r="I93" s="213">
        <f>'2. XL-1F TT(CA2)'!S6</f>
        <v>0</v>
      </c>
    </row>
    <row r="94" spans="1:9" ht="21.75" hidden="1" customHeight="1">
      <c r="A94" s="239"/>
      <c r="B94" s="244"/>
      <c r="C94" s="246" t="s">
        <v>109</v>
      </c>
      <c r="D94" s="212">
        <f>'2. XL-1F TT '!K7</f>
        <v>0</v>
      </c>
      <c r="E94" s="159">
        <f>'2. XL-1F TT '!O7</f>
        <v>0</v>
      </c>
      <c r="F94" s="159">
        <f>'2. XL-1F TT '!S7</f>
        <v>0</v>
      </c>
      <c r="G94" s="159">
        <f>'2. XL-1F TT(CA2)'!K7</f>
        <v>0</v>
      </c>
      <c r="H94" s="159">
        <f>'2. XL-1F TT(CA2)'!O7</f>
        <v>0</v>
      </c>
      <c r="I94" s="213">
        <f>'2. XL-1F TT(CA2)'!S7</f>
        <v>0</v>
      </c>
    </row>
    <row r="95" spans="1:9" ht="21.75" hidden="1" customHeight="1">
      <c r="A95" s="238">
        <v>2</v>
      </c>
      <c r="B95" s="243" t="s">
        <v>148</v>
      </c>
      <c r="C95" s="245" t="s">
        <v>108</v>
      </c>
      <c r="D95" s="212">
        <f>'2. XL-1F TT '!K8</f>
        <v>0</v>
      </c>
      <c r="E95" s="159">
        <f>'2. XL-1F TT '!O8</f>
        <v>0</v>
      </c>
      <c r="F95" s="159">
        <f>'2. XL-1F TT '!S8</f>
        <v>0</v>
      </c>
      <c r="G95" s="159">
        <f>'2. XL-1F TT(CA2)'!K8</f>
        <v>0</v>
      </c>
      <c r="H95" s="159">
        <f>'2. XL-1F TT(CA2)'!O8</f>
        <v>0</v>
      </c>
      <c r="I95" s="213">
        <f>'2. XL-1F TT(CA2)'!S8</f>
        <v>0</v>
      </c>
    </row>
    <row r="96" spans="1:9" ht="21.75" hidden="1" customHeight="1">
      <c r="A96" s="239"/>
      <c r="B96" s="244"/>
      <c r="C96" s="246" t="s">
        <v>109</v>
      </c>
      <c r="D96" s="212">
        <f>'2. XL-1F TT '!K9</f>
        <v>0</v>
      </c>
      <c r="E96" s="159">
        <f>'2. XL-1F TT '!O9</f>
        <v>0</v>
      </c>
      <c r="F96" s="159">
        <f>'2. XL-1F TT '!S9</f>
        <v>0</v>
      </c>
      <c r="G96" s="159">
        <f>'2. XL-1F TT(CA2)'!K9</f>
        <v>0</v>
      </c>
      <c r="H96" s="159">
        <f>'2. XL-1F TT(CA2)'!O9</f>
        <v>0</v>
      </c>
      <c r="I96" s="213">
        <f>'2. XL-1F TT(CA2)'!S9</f>
        <v>0</v>
      </c>
    </row>
    <row r="97" spans="1:9" ht="21.75" hidden="1" customHeight="1">
      <c r="A97" s="238">
        <v>3</v>
      </c>
      <c r="B97" s="248" t="s">
        <v>149</v>
      </c>
      <c r="C97" s="245" t="s">
        <v>108</v>
      </c>
      <c r="D97" s="212">
        <f>'2. XL-1F TT '!K10</f>
        <v>0</v>
      </c>
      <c r="E97" s="159">
        <f>'2. XL-1F TT '!O10</f>
        <v>0</v>
      </c>
      <c r="F97" s="159">
        <f>'2. XL-1F TT '!S10</f>
        <v>0</v>
      </c>
      <c r="G97" s="159">
        <f>'2. XL-1F TT(CA2)'!K10</f>
        <v>0</v>
      </c>
      <c r="H97" s="159">
        <f>'2. XL-1F TT(CA2)'!O10</f>
        <v>0</v>
      </c>
      <c r="I97" s="213">
        <f>'2. XL-1F TT(CA2)'!S10</f>
        <v>0</v>
      </c>
    </row>
    <row r="98" spans="1:9" ht="21.75" hidden="1" customHeight="1">
      <c r="A98" s="240"/>
      <c r="B98" s="249"/>
      <c r="C98" s="246" t="s">
        <v>112</v>
      </c>
      <c r="D98" s="212">
        <f>'2. XL-1F TT '!K11</f>
        <v>0</v>
      </c>
      <c r="E98" s="159">
        <f>'2. XL-1F TT '!O11</f>
        <v>0</v>
      </c>
      <c r="F98" s="159">
        <f>'2. XL-1F TT '!S11</f>
        <v>0</v>
      </c>
      <c r="G98" s="159">
        <f>'2. XL-1F TT(CA2)'!K11</f>
        <v>0</v>
      </c>
      <c r="H98" s="159">
        <f>'2. XL-1F TT(CA2)'!O11</f>
        <v>0</v>
      </c>
      <c r="I98" s="213">
        <f>'2. XL-1F TT(CA2)'!S11</f>
        <v>0</v>
      </c>
    </row>
    <row r="99" spans="1:9" ht="21.75" hidden="1" customHeight="1">
      <c r="A99" s="238">
        <v>4</v>
      </c>
      <c r="B99" s="248" t="s">
        <v>150</v>
      </c>
      <c r="C99" s="245" t="s">
        <v>108</v>
      </c>
      <c r="D99" s="212">
        <f>'2. XL-1F TT '!K12</f>
        <v>0</v>
      </c>
      <c r="E99" s="159">
        <f>'2. XL-1F TT '!O12</f>
        <v>0</v>
      </c>
      <c r="F99" s="159">
        <f>'2. XL-1F TT '!S12</f>
        <v>0</v>
      </c>
      <c r="G99" s="159">
        <f>'2. XL-1F TT(CA2)'!K12</f>
        <v>0</v>
      </c>
      <c r="H99" s="159">
        <f>'2. XL-1F TT(CA2)'!O12</f>
        <v>0</v>
      </c>
      <c r="I99" s="213">
        <f>'2. XL-1F TT(CA2)'!S12</f>
        <v>0</v>
      </c>
    </row>
    <row r="100" spans="1:9" ht="21.75" hidden="1" customHeight="1">
      <c r="A100" s="240"/>
      <c r="B100" s="249"/>
      <c r="C100" s="246" t="s">
        <v>112</v>
      </c>
      <c r="D100" s="212">
        <f>'2. XL-1F TT '!K13</f>
        <v>0</v>
      </c>
      <c r="E100" s="159">
        <f>'2. XL-1F TT '!O13</f>
        <v>0</v>
      </c>
      <c r="F100" s="159">
        <f>'2. XL-1F TT '!S13</f>
        <v>0</v>
      </c>
      <c r="G100" s="159">
        <f>'2. XL-1F TT(CA2)'!K13</f>
        <v>0</v>
      </c>
      <c r="H100" s="159">
        <f>'2. XL-1F TT(CA2)'!O13</f>
        <v>0</v>
      </c>
      <c r="I100" s="213">
        <f>'2. XL-1F TT(CA2)'!S13</f>
        <v>0</v>
      </c>
    </row>
    <row r="101" spans="1:9" ht="21.75" hidden="1" customHeight="1">
      <c r="A101" s="241">
        <v>5</v>
      </c>
      <c r="B101" s="246" t="s">
        <v>82</v>
      </c>
      <c r="C101" s="247"/>
      <c r="D101" s="212">
        <f>'2. XL-1F TT '!K14</f>
        <v>0</v>
      </c>
      <c r="E101" s="159">
        <f>'2. XL-1F TT '!O14</f>
        <v>0</v>
      </c>
      <c r="F101" s="159">
        <f>'2. XL-1F TT '!S14</f>
        <v>0</v>
      </c>
      <c r="G101" s="159">
        <f>'2. XL-1F TT(CA2)'!K14</f>
        <v>0</v>
      </c>
      <c r="H101" s="159">
        <f>'2. XL-1F TT(CA2)'!O14</f>
        <v>0</v>
      </c>
      <c r="I101" s="213">
        <f>'2. XL-1F TT(CA2)'!S14</f>
        <v>0</v>
      </c>
    </row>
    <row r="102" spans="1:9" ht="21.75" hidden="1" customHeight="1">
      <c r="A102" s="241">
        <v>6</v>
      </c>
      <c r="B102" s="246" t="s">
        <v>60</v>
      </c>
      <c r="C102" s="247"/>
      <c r="D102" s="212">
        <f>'2. XL-1F TT '!K15</f>
        <v>0</v>
      </c>
      <c r="E102" s="159">
        <f>'2. XL-1F TT '!O15</f>
        <v>0</v>
      </c>
      <c r="F102" s="159">
        <f>'2. XL-1F TT '!S15</f>
        <v>0</v>
      </c>
      <c r="G102" s="159">
        <f>'2. XL-1F TT(CA2)'!K15</f>
        <v>0</v>
      </c>
      <c r="H102" s="159">
        <f>'2. XL-1F TT(CA2)'!O15</f>
        <v>0</v>
      </c>
      <c r="I102" s="213">
        <f>'2. XL-1F TT(CA2)'!S15</f>
        <v>0</v>
      </c>
    </row>
    <row r="103" spans="1:9" ht="21.75" hidden="1" customHeight="1">
      <c r="A103" s="250">
        <v>7</v>
      </c>
      <c r="B103" s="243" t="s">
        <v>114</v>
      </c>
      <c r="C103" s="252"/>
      <c r="D103" s="212">
        <f>'2. XL-1F TT '!K16</f>
        <v>0</v>
      </c>
      <c r="E103" s="159">
        <f>'2. XL-1F TT '!O16</f>
        <v>0</v>
      </c>
      <c r="F103" s="159">
        <f>'2. XL-1F TT '!S16</f>
        <v>0</v>
      </c>
      <c r="G103" s="159">
        <f>'2. XL-1F TT(CA2)'!K16</f>
        <v>0</v>
      </c>
      <c r="H103" s="159">
        <f>'2. XL-1F TT(CA2)'!O16</f>
        <v>0</v>
      </c>
      <c r="I103" s="213">
        <f>'2. XL-1F TT(CA2)'!S16</f>
        <v>0</v>
      </c>
    </row>
    <row r="104" spans="1:9" ht="21.75" hidden="1" customHeight="1">
      <c r="A104" s="251"/>
      <c r="B104" s="253"/>
      <c r="C104" s="254"/>
      <c r="D104" s="212">
        <f>'2. XL-1F TT '!K17</f>
        <v>0</v>
      </c>
      <c r="E104" s="159">
        <f>'2. XL-1F TT '!O17</f>
        <v>0</v>
      </c>
      <c r="F104" s="159">
        <f>'2. XL-1F TT '!S17</f>
        <v>0</v>
      </c>
      <c r="G104" s="159">
        <f>'2. XL-1F TT(CA2)'!K17</f>
        <v>0</v>
      </c>
      <c r="H104" s="159">
        <f>'2. XL-1F TT(CA2)'!O17</f>
        <v>0</v>
      </c>
      <c r="I104" s="213">
        <f>'2. XL-1F TT(CA2)'!S17</f>
        <v>0</v>
      </c>
    </row>
    <row r="105" spans="1:9" ht="21.75" hidden="1" customHeight="1">
      <c r="A105" s="241">
        <v>8</v>
      </c>
      <c r="B105" s="246" t="s">
        <v>61</v>
      </c>
      <c r="C105" s="247"/>
      <c r="D105" s="212">
        <f>'2. XL-1F TT '!K18</f>
        <v>0</v>
      </c>
      <c r="E105" s="159">
        <f>'2. XL-1F TT '!O18</f>
        <v>0</v>
      </c>
      <c r="F105" s="159">
        <f>'2. XL-1F TT '!S18</f>
        <v>0</v>
      </c>
      <c r="G105" s="159">
        <f>'2. XL-1F TT(CA2)'!K18</f>
        <v>0</v>
      </c>
      <c r="H105" s="159">
        <f>'2. XL-1F TT(CA2)'!O18</f>
        <v>0</v>
      </c>
      <c r="I105" s="213">
        <f>'2. XL-1F TT(CA2)'!S18</f>
        <v>0</v>
      </c>
    </row>
    <row r="106" spans="1:9" ht="21.75" hidden="1" customHeight="1">
      <c r="A106" s="241">
        <v>9</v>
      </c>
      <c r="B106" s="246" t="s">
        <v>62</v>
      </c>
      <c r="C106" s="247"/>
      <c r="D106" s="212">
        <f>'2. XL-1F TT '!K19</f>
        <v>0</v>
      </c>
      <c r="E106" s="159">
        <f>'2. XL-1F TT '!O19</f>
        <v>0</v>
      </c>
      <c r="F106" s="159">
        <f>'2. XL-1F TT '!S19</f>
        <v>0</v>
      </c>
      <c r="G106" s="159">
        <f>'2. XL-1F TT(CA2)'!K19</f>
        <v>0</v>
      </c>
      <c r="H106" s="159">
        <f>'2. XL-1F TT(CA2)'!O19</f>
        <v>0</v>
      </c>
      <c r="I106" s="213">
        <f>'2. XL-1F TT(CA2)'!S19</f>
        <v>0</v>
      </c>
    </row>
    <row r="107" spans="1:9" ht="21.75" hidden="1" customHeight="1">
      <c r="A107" s="241">
        <v>11</v>
      </c>
      <c r="B107" s="246" t="s">
        <v>116</v>
      </c>
      <c r="C107" s="247"/>
      <c r="D107" s="212">
        <f>'2. XL-1F TT '!K20</f>
        <v>0</v>
      </c>
      <c r="E107" s="159">
        <f>'2. XL-1F TT '!O20</f>
        <v>0</v>
      </c>
      <c r="F107" s="159">
        <f>'2. XL-1F TT '!S20</f>
        <v>0</v>
      </c>
      <c r="G107" s="159">
        <f>'2. XL-1F TT(CA2)'!K20</f>
        <v>0</v>
      </c>
      <c r="H107" s="159">
        <f>'2. XL-1F TT(CA2)'!O20</f>
        <v>0</v>
      </c>
      <c r="I107" s="213">
        <f>'2. XL-1F TT(CA2)'!S20</f>
        <v>0</v>
      </c>
    </row>
    <row r="108" spans="1:9" ht="21.75" hidden="1" customHeight="1">
      <c r="A108" s="241">
        <v>12</v>
      </c>
      <c r="B108" s="246" t="s">
        <v>115</v>
      </c>
      <c r="C108" s="247"/>
      <c r="D108" s="212">
        <f>'2. XL-1F TT '!K21</f>
        <v>0</v>
      </c>
      <c r="E108" s="159">
        <f>'2. XL-1F TT '!O21</f>
        <v>0</v>
      </c>
      <c r="F108" s="159">
        <f>'2. XL-1F TT '!S21</f>
        <v>0</v>
      </c>
      <c r="G108" s="159">
        <f>'2. XL-1F TT(CA2)'!K21</f>
        <v>0</v>
      </c>
      <c r="H108" s="159">
        <f>'2. XL-1F TT(CA2)'!O21</f>
        <v>0</v>
      </c>
      <c r="I108" s="213">
        <f>'2. XL-1F TT(CA2)'!S21</f>
        <v>0</v>
      </c>
    </row>
    <row r="109" spans="1:9" ht="21.75" hidden="1" customHeight="1">
      <c r="D109" s="204"/>
      <c r="E109" s="152"/>
      <c r="F109" s="152"/>
      <c r="G109" s="152"/>
      <c r="H109" s="152"/>
      <c r="I109" s="205"/>
    </row>
    <row r="110" spans="1:9" ht="21.75" hidden="1" customHeight="1">
      <c r="D110" s="204"/>
      <c r="E110" s="152"/>
      <c r="F110" s="152"/>
      <c r="G110" s="152"/>
      <c r="H110" s="152"/>
      <c r="I110" s="205"/>
    </row>
    <row r="111" spans="1:9" s="152" customFormat="1" ht="32.25" hidden="1" customHeight="1">
      <c r="A111" s="184"/>
      <c r="B111" s="185" t="s">
        <v>143</v>
      </c>
      <c r="C111" s="186"/>
      <c r="D111" s="204"/>
      <c r="I111" s="205"/>
    </row>
    <row r="112" spans="1:9" ht="21.75" hidden="1" customHeight="1">
      <c r="A112" s="182" t="s">
        <v>7</v>
      </c>
      <c r="B112" s="170"/>
      <c r="C112" s="170"/>
      <c r="D112" s="206" t="s">
        <v>171</v>
      </c>
      <c r="E112" s="161"/>
      <c r="F112" s="161"/>
      <c r="G112" s="161"/>
      <c r="H112" s="161"/>
      <c r="I112" s="207"/>
    </row>
    <row r="113" spans="1:9" ht="21.75" hidden="1" customHeight="1">
      <c r="A113" s="183"/>
      <c r="B113" s="179"/>
      <c r="C113" s="179"/>
      <c r="D113" s="210">
        <v>0.25</v>
      </c>
      <c r="E113" s="156">
        <v>0.41666666666666669</v>
      </c>
      <c r="F113" s="156">
        <v>0.58333333333333337</v>
      </c>
      <c r="G113" s="156">
        <v>0.75</v>
      </c>
      <c r="H113" s="156">
        <v>0.91666666666666663</v>
      </c>
      <c r="I113" s="211">
        <v>8.3333333333333329E-2</v>
      </c>
    </row>
    <row r="114" spans="1:9" ht="21.75" hidden="1" customHeight="1">
      <c r="A114" s="2384">
        <v>1</v>
      </c>
      <c r="B114" s="2386" t="s">
        <v>154</v>
      </c>
      <c r="C114" s="266" t="s">
        <v>108</v>
      </c>
      <c r="D114" s="204">
        <f>'3.XT-C TT'!I6</f>
        <v>87.290499999999994</v>
      </c>
      <c r="E114" s="152">
        <f>'3.XT-C TT'!M6</f>
        <v>0</v>
      </c>
      <c r="F114" s="152">
        <f>'3.XT-C TT'!Q6</f>
        <v>0</v>
      </c>
      <c r="G114" s="152">
        <f>'3.XT-C TT(CA2)'!I6</f>
        <v>0</v>
      </c>
      <c r="H114" s="152">
        <f>'3.XT-C TT(CA2)'!M6</f>
        <v>0</v>
      </c>
      <c r="I114" s="205">
        <f>'3.XT-C TT(CA2)'!Q6</f>
        <v>0</v>
      </c>
    </row>
    <row r="115" spans="1:9" ht="21.75" hidden="1" customHeight="1">
      <c r="A115" s="2384"/>
      <c r="B115" s="2387"/>
      <c r="C115" s="265" t="s">
        <v>109</v>
      </c>
      <c r="D115" s="204">
        <f>'3.XT-C TT'!I7</f>
        <v>0</v>
      </c>
      <c r="E115" s="152">
        <f>'3.XT-C TT'!M7</f>
        <v>0</v>
      </c>
      <c r="F115" s="152">
        <f>'3.XT-C TT'!Q7</f>
        <v>0</v>
      </c>
      <c r="G115" s="152">
        <f>'3.XT-C TT(CA2)'!I7</f>
        <v>0</v>
      </c>
      <c r="H115" s="152">
        <f>'3.XT-C TT(CA2)'!M7</f>
        <v>0</v>
      </c>
      <c r="I115" s="205">
        <f>'3.XT-C TT(CA2)'!Q7</f>
        <v>0</v>
      </c>
    </row>
    <row r="116" spans="1:9" ht="21.75" hidden="1" customHeight="1">
      <c r="A116" s="2281">
        <v>2</v>
      </c>
      <c r="B116" s="2383" t="s">
        <v>155</v>
      </c>
      <c r="C116" s="263" t="s">
        <v>108</v>
      </c>
      <c r="D116" s="204">
        <f>'3.XT-C TT'!I8</f>
        <v>0</v>
      </c>
      <c r="E116" s="152">
        <f>'3.XT-C TT'!M8</f>
        <v>0</v>
      </c>
      <c r="F116" s="152">
        <f>'3.XT-C TT'!Q8</f>
        <v>0</v>
      </c>
      <c r="G116" s="152">
        <f>'3.XT-C TT(CA2)'!I8</f>
        <v>0</v>
      </c>
      <c r="H116" s="152">
        <f>'3.XT-C TT(CA2)'!M8</f>
        <v>0</v>
      </c>
      <c r="I116" s="205">
        <f>'3.XT-C TT(CA2)'!Q8</f>
        <v>0</v>
      </c>
    </row>
    <row r="117" spans="1:9" ht="21.75" hidden="1" customHeight="1">
      <c r="A117" s="2281"/>
      <c r="B117" s="2284"/>
      <c r="C117" s="261" t="s">
        <v>109</v>
      </c>
      <c r="D117" s="204">
        <f>'3.XT-C TT'!I9</f>
        <v>0</v>
      </c>
      <c r="E117" s="152">
        <f>'3.XT-C TT'!M9</f>
        <v>0</v>
      </c>
      <c r="F117" s="152">
        <f>'3.XT-C TT'!Q9</f>
        <v>0</v>
      </c>
      <c r="G117" s="152">
        <f>'3.XT-C TT(CA2)'!I9</f>
        <v>0</v>
      </c>
      <c r="H117" s="152">
        <f>'3.XT-C TT(CA2)'!M9</f>
        <v>0</v>
      </c>
      <c r="I117" s="205">
        <f>'3.XT-C TT(CA2)'!Q9</f>
        <v>0</v>
      </c>
    </row>
    <row r="118" spans="1:9" ht="21.75" hidden="1" customHeight="1">
      <c r="A118" s="2280">
        <v>3</v>
      </c>
      <c r="B118" s="2289" t="s">
        <v>156</v>
      </c>
      <c r="C118" s="260" t="s">
        <v>108</v>
      </c>
      <c r="D118" s="204">
        <f>'3.XT-C TT'!I10</f>
        <v>57.75</v>
      </c>
      <c r="E118" s="152">
        <f>'3.XT-C TT'!M10</f>
        <v>0</v>
      </c>
      <c r="F118" s="152">
        <f>'3.XT-C TT'!Q10</f>
        <v>0</v>
      </c>
      <c r="G118" s="152">
        <f>'3.XT-C TT(CA2)'!I10</f>
        <v>0</v>
      </c>
      <c r="H118" s="152">
        <f>'3.XT-C TT(CA2)'!M10</f>
        <v>0</v>
      </c>
      <c r="I118" s="205">
        <f>'3.XT-C TT(CA2)'!Q10</f>
        <v>0</v>
      </c>
    </row>
    <row r="119" spans="1:9" ht="21.75" hidden="1" customHeight="1">
      <c r="A119" s="2288"/>
      <c r="B119" s="2290"/>
      <c r="C119" s="261" t="s">
        <v>112</v>
      </c>
      <c r="D119" s="204">
        <f>'3.XT-C TT'!I11</f>
        <v>0</v>
      </c>
      <c r="E119" s="152">
        <f>'3.XT-C TT'!M11</f>
        <v>0</v>
      </c>
      <c r="F119" s="152">
        <f>'3.XT-C TT'!Q11</f>
        <v>0</v>
      </c>
      <c r="G119" s="152">
        <f>'3.XT-C TT(CA2)'!I11</f>
        <v>0</v>
      </c>
      <c r="H119" s="152">
        <f>'3.XT-C TT(CA2)'!M11</f>
        <v>0</v>
      </c>
      <c r="I119" s="205">
        <f>'3.XT-C TT(CA2)'!Q11</f>
        <v>0</v>
      </c>
    </row>
    <row r="120" spans="1:9" ht="21.75" hidden="1" customHeight="1">
      <c r="A120" s="2280">
        <v>4</v>
      </c>
      <c r="B120" s="2289" t="s">
        <v>157</v>
      </c>
      <c r="C120" s="260" t="s">
        <v>108</v>
      </c>
      <c r="D120" s="204">
        <f>'3.XT-C TT'!I12</f>
        <v>0</v>
      </c>
      <c r="E120" s="152">
        <f>'3.XT-C TT'!M12</f>
        <v>0</v>
      </c>
      <c r="F120" s="152">
        <f>'3.XT-C TT'!Q12</f>
        <v>0</v>
      </c>
      <c r="G120" s="152">
        <f>'3.XT-C TT(CA2)'!I12</f>
        <v>0</v>
      </c>
      <c r="H120" s="152">
        <f>'3.XT-C TT(CA2)'!M12</f>
        <v>0</v>
      </c>
      <c r="I120" s="205">
        <f>'3.XT-C TT(CA2)'!Q12</f>
        <v>0</v>
      </c>
    </row>
    <row r="121" spans="1:9" ht="21.75" hidden="1" customHeight="1">
      <c r="A121" s="2288"/>
      <c r="B121" s="2290"/>
      <c r="C121" s="261" t="s">
        <v>112</v>
      </c>
      <c r="D121" s="204">
        <f>'3.XT-C TT'!I13</f>
        <v>0</v>
      </c>
      <c r="E121" s="152">
        <f>'3.XT-C TT'!M13</f>
        <v>0</v>
      </c>
      <c r="F121" s="152">
        <f>'3.XT-C TT'!Q13</f>
        <v>0</v>
      </c>
      <c r="G121" s="152">
        <f>'3.XT-C TT(CA2)'!I13</f>
        <v>0</v>
      </c>
      <c r="H121" s="152">
        <f>'3.XT-C TT(CA2)'!M13</f>
        <v>0</v>
      </c>
      <c r="I121" s="205">
        <f>'3.XT-C TT(CA2)'!Q13</f>
        <v>0</v>
      </c>
    </row>
    <row r="122" spans="1:9" ht="21.75" hidden="1" customHeight="1">
      <c r="A122" s="2280">
        <v>5</v>
      </c>
      <c r="B122" s="2358" t="s">
        <v>121</v>
      </c>
      <c r="C122" s="262"/>
      <c r="D122" s="204">
        <f>'3.XT-C TT'!I14</f>
        <v>138.4</v>
      </c>
      <c r="E122" s="152">
        <f>'3.XT-C TT'!M14</f>
        <v>0</v>
      </c>
      <c r="F122" s="152">
        <f>'3.XT-C TT'!Q14</f>
        <v>0</v>
      </c>
      <c r="G122" s="152">
        <f>'3.XT-C TT(CA2)'!I14</f>
        <v>0</v>
      </c>
      <c r="H122" s="152">
        <f>'3.XT-C TT(CA2)'!M14</f>
        <v>0</v>
      </c>
      <c r="I122" s="205">
        <f>'3.XT-C TT(CA2)'!Q14</f>
        <v>0</v>
      </c>
    </row>
    <row r="123" spans="1:9" ht="21.75" hidden="1" customHeight="1">
      <c r="A123" s="2288"/>
      <c r="B123" s="2359"/>
      <c r="C123" s="262"/>
      <c r="D123" s="204">
        <f>'3.XT-C TT'!I15</f>
        <v>5.8500000000000005</v>
      </c>
      <c r="E123" s="152">
        <f>'3.XT-C TT'!M15</f>
        <v>0</v>
      </c>
      <c r="F123" s="152">
        <f>'3.XT-C TT'!Q15</f>
        <v>0</v>
      </c>
      <c r="G123" s="152">
        <f>'3.XT-C TT(CA2)'!I15</f>
        <v>0</v>
      </c>
      <c r="H123" s="152">
        <f>'3.XT-C TT(CA2)'!M15</f>
        <v>0</v>
      </c>
      <c r="I123" s="205">
        <f>'3.XT-C TT(CA2)'!Q15</f>
        <v>0</v>
      </c>
    </row>
    <row r="124" spans="1:9" ht="21.75" hidden="1" customHeight="1">
      <c r="A124" s="2280">
        <v>6</v>
      </c>
      <c r="B124" s="2352" t="s">
        <v>40</v>
      </c>
      <c r="C124" s="2353"/>
      <c r="D124" s="204">
        <f>'3.XT-C TT'!I16</f>
        <v>-1.0461</v>
      </c>
      <c r="E124" s="152">
        <f>'3.XT-C TT'!M16</f>
        <v>-1.0461</v>
      </c>
      <c r="F124" s="152">
        <f>'3.XT-C TT'!Q16</f>
        <v>-1.0461</v>
      </c>
      <c r="G124" s="152">
        <f>'3.XT-C TT(CA2)'!I16</f>
        <v>-1.0461</v>
      </c>
      <c r="H124" s="152">
        <f>'3.XT-C TT(CA2)'!M16</f>
        <v>-1.0461</v>
      </c>
      <c r="I124" s="205">
        <f>'3.XT-C TT(CA2)'!Q16</f>
        <v>-1.0461</v>
      </c>
    </row>
    <row r="125" spans="1:9" ht="21.75" hidden="1" customHeight="1">
      <c r="A125" s="2288"/>
      <c r="B125" s="2354"/>
      <c r="C125" s="2355"/>
      <c r="D125" s="204">
        <f>'3.XT-C TT'!I17</f>
        <v>0</v>
      </c>
      <c r="E125" s="152">
        <f>'3.XT-C TT'!M17</f>
        <v>0</v>
      </c>
      <c r="F125" s="152">
        <f>'3.XT-C TT'!Q17</f>
        <v>0</v>
      </c>
      <c r="G125" s="152">
        <f>'3.XT-C TT(CA2)'!I17</f>
        <v>0</v>
      </c>
      <c r="H125" s="152">
        <f>'3.XT-C TT(CA2)'!M17</f>
        <v>0</v>
      </c>
      <c r="I125" s="205">
        <f>'3.XT-C TT(CA2)'!Q17</f>
        <v>0</v>
      </c>
    </row>
    <row r="126" spans="1:9" ht="21.75" hidden="1" customHeight="1">
      <c r="A126" s="264">
        <v>7</v>
      </c>
      <c r="B126" s="2243" t="s">
        <v>38</v>
      </c>
      <c r="C126" s="2244"/>
      <c r="D126" s="204">
        <f>'3.XT-C TT'!I18</f>
        <v>0.3969375</v>
      </c>
      <c r="E126" s="152">
        <f>'3.XT-C TT'!M18</f>
        <v>0</v>
      </c>
      <c r="F126" s="152">
        <f>'3.XT-C TT'!Q18</f>
        <v>0</v>
      </c>
      <c r="G126" s="152">
        <f>'3.XT-C TT(CA2)'!I18</f>
        <v>0</v>
      </c>
      <c r="H126" s="152">
        <f>'3.XT-C TT(CA2)'!M18</f>
        <v>0</v>
      </c>
      <c r="I126" s="205">
        <f>'3.XT-C TT(CA2)'!Q18</f>
        <v>0</v>
      </c>
    </row>
    <row r="127" spans="1:9" ht="21.75" hidden="1" customHeight="1">
      <c r="A127" s="264">
        <v>8</v>
      </c>
      <c r="B127" s="2243" t="s">
        <v>39</v>
      </c>
      <c r="C127" s="2244"/>
      <c r="D127" s="204">
        <f>'3.XT-C TT'!I19</f>
        <v>0</v>
      </c>
      <c r="E127" s="152">
        <f>'3.XT-C TT'!M19</f>
        <v>0</v>
      </c>
      <c r="F127" s="152">
        <f>'3.XT-C TT'!Q19</f>
        <v>0</v>
      </c>
      <c r="G127" s="152">
        <f>'3.XT-C TT(CA2)'!I19</f>
        <v>0</v>
      </c>
      <c r="H127" s="152">
        <f>'3.XT-C TT(CA2)'!M19</f>
        <v>0</v>
      </c>
      <c r="I127" s="205">
        <f>'3.XT-C TT(CA2)'!Q19</f>
        <v>0</v>
      </c>
    </row>
    <row r="128" spans="1:9" ht="21.75" hidden="1" customHeight="1">
      <c r="A128" s="264">
        <v>9</v>
      </c>
      <c r="B128" s="2234" t="s">
        <v>86</v>
      </c>
      <c r="C128" s="2235"/>
      <c r="D128" s="204">
        <f>'3.XT-C TT'!I20</f>
        <v>8.212499999999999E-2</v>
      </c>
      <c r="E128" s="152">
        <f>'3.XT-C TT'!M20</f>
        <v>0</v>
      </c>
      <c r="F128" s="152">
        <f>'3.XT-C TT'!Q20</f>
        <v>0</v>
      </c>
      <c r="G128" s="152">
        <f>'3.XT-C TT(CA2)'!I20</f>
        <v>0</v>
      </c>
      <c r="H128" s="152">
        <f>'3.XT-C TT(CA2)'!M20</f>
        <v>0</v>
      </c>
      <c r="I128" s="205">
        <f>'3.XT-C TT(CA2)'!Q20</f>
        <v>0</v>
      </c>
    </row>
    <row r="129" spans="1:9" ht="21.75" hidden="1" customHeight="1">
      <c r="A129" s="264">
        <v>10</v>
      </c>
      <c r="B129" s="2234" t="s">
        <v>120</v>
      </c>
      <c r="C129" s="2235" t="s">
        <v>120</v>
      </c>
      <c r="D129" s="204">
        <f>'3.XT-C TT'!I21</f>
        <v>0</v>
      </c>
      <c r="E129" s="152">
        <f>'3.XT-C TT'!M21</f>
        <v>0</v>
      </c>
      <c r="F129" s="152">
        <f>'3.XT-C TT'!Q21</f>
        <v>0</v>
      </c>
      <c r="G129" s="152">
        <f>'3.XT-C TT(CA2)'!I21</f>
        <v>0</v>
      </c>
      <c r="H129" s="152">
        <f>'3.XT-C TT(CA2)'!M21</f>
        <v>0</v>
      </c>
      <c r="I129" s="205">
        <f>'3.XT-C TT(CA2)'!Q21</f>
        <v>0</v>
      </c>
    </row>
    <row r="130" spans="1:9" ht="21.75" hidden="1" customHeight="1">
      <c r="A130" s="165"/>
      <c r="B130" s="166" t="s">
        <v>117</v>
      </c>
      <c r="C130" s="173"/>
      <c r="D130" s="206" t="s">
        <v>173</v>
      </c>
      <c r="E130" s="161"/>
      <c r="F130" s="161"/>
      <c r="G130" s="161"/>
      <c r="H130" s="161"/>
      <c r="I130" s="207"/>
    </row>
    <row r="131" spans="1:9" ht="21.75" hidden="1" customHeight="1">
      <c r="A131" s="167" t="s">
        <v>7</v>
      </c>
      <c r="B131" s="168" t="s">
        <v>64</v>
      </c>
      <c r="C131" s="169"/>
      <c r="D131" s="208">
        <v>0.25</v>
      </c>
      <c r="E131" s="164">
        <v>0.41666666666666669</v>
      </c>
      <c r="F131" s="164">
        <v>0.58333333333333337</v>
      </c>
      <c r="G131" s="164">
        <v>0.75</v>
      </c>
      <c r="H131" s="164">
        <v>0.91666666666666663</v>
      </c>
      <c r="I131" s="209">
        <v>8.3333333333333329E-2</v>
      </c>
    </row>
    <row r="132" spans="1:9" ht="21.75" hidden="1" customHeight="1">
      <c r="A132" s="264">
        <v>1</v>
      </c>
      <c r="B132" s="2297" t="s">
        <v>36</v>
      </c>
      <c r="C132" s="2298"/>
      <c r="D132" s="204">
        <f>'3.XT-C TT'!I28</f>
        <v>0</v>
      </c>
      <c r="E132" s="152">
        <f>'3.XT-C TT'!M28</f>
        <v>0</v>
      </c>
      <c r="F132" s="152">
        <f>'3.XT-C TT'!Q28</f>
        <v>0</v>
      </c>
      <c r="G132" s="152">
        <f>'3.XT-C TT(CA2)'!I28</f>
        <v>0</v>
      </c>
      <c r="H132" s="152">
        <f>'3.XT-C TT(CA2)'!M28</f>
        <v>0</v>
      </c>
      <c r="I132" s="205">
        <f>'3.XT-C TT(CA2)'!Q28</f>
        <v>0</v>
      </c>
    </row>
    <row r="133" spans="1:9" ht="21.75" hidden="1" customHeight="1">
      <c r="A133" s="264">
        <v>2</v>
      </c>
      <c r="B133" s="2297" t="s">
        <v>37</v>
      </c>
      <c r="C133" s="2298"/>
      <c r="D133" s="204">
        <f>'3.XT-C TT'!I29</f>
        <v>0</v>
      </c>
      <c r="E133" s="152">
        <f>'3.XT-C TT'!M29</f>
        <v>0</v>
      </c>
      <c r="F133" s="152">
        <f>'3.XT-C TT'!Q29</f>
        <v>0</v>
      </c>
      <c r="G133" s="152">
        <f>'3.XT-C TT(CA2)'!I29</f>
        <v>0</v>
      </c>
      <c r="H133" s="152">
        <f>'3.XT-C TT(CA2)'!M29</f>
        <v>0</v>
      </c>
      <c r="I133" s="205">
        <f>'3.XT-C TT(CA2)'!Q29</f>
        <v>0</v>
      </c>
    </row>
    <row r="134" spans="1:9" ht="21.75" hidden="1" customHeight="1">
      <c r="A134" s="264">
        <v>3</v>
      </c>
      <c r="B134" s="2297" t="s">
        <v>29</v>
      </c>
      <c r="C134" s="2298"/>
      <c r="D134" s="204">
        <f>'3.XT-C TT'!I30</f>
        <v>0</v>
      </c>
      <c r="E134" s="152">
        <f>'3.XT-C TT'!M30</f>
        <v>0</v>
      </c>
      <c r="F134" s="152">
        <f>'3.XT-C TT'!Q30</f>
        <v>0</v>
      </c>
      <c r="G134" s="152">
        <f>'3.XT-C TT(CA2)'!I30</f>
        <v>0</v>
      </c>
      <c r="H134" s="152">
        <f>'3.XT-C TT(CA2)'!M30</f>
        <v>0</v>
      </c>
      <c r="I134" s="205">
        <f>'3.XT-C TT(CA2)'!Q30</f>
        <v>0</v>
      </c>
    </row>
    <row r="135" spans="1:9" ht="21.75" hidden="1" customHeight="1">
      <c r="A135" s="264">
        <v>4</v>
      </c>
      <c r="B135" s="2297" t="s">
        <v>30</v>
      </c>
      <c r="C135" s="2298"/>
      <c r="D135" s="204">
        <f>'3.XT-C TT'!I31</f>
        <v>0</v>
      </c>
      <c r="E135" s="152">
        <f>'3.XT-C TT'!M31</f>
        <v>0</v>
      </c>
      <c r="F135" s="152">
        <f>'3.XT-C TT'!Q31</f>
        <v>0</v>
      </c>
      <c r="G135" s="152">
        <f>'3.XT-C TT(CA2)'!I31</f>
        <v>0</v>
      </c>
      <c r="H135" s="152">
        <f>'3.XT-C TT(CA2)'!M31</f>
        <v>0</v>
      </c>
      <c r="I135" s="205">
        <f>'3.XT-C TT(CA2)'!Q31</f>
        <v>0</v>
      </c>
    </row>
    <row r="136" spans="1:9" ht="21.75" hidden="1" customHeight="1">
      <c r="A136" s="264">
        <v>5</v>
      </c>
      <c r="B136" s="2297" t="s">
        <v>31</v>
      </c>
      <c r="C136" s="2298"/>
      <c r="D136" s="204">
        <f>'3.XT-C TT'!I32</f>
        <v>0</v>
      </c>
      <c r="E136" s="152">
        <f>'3.XT-C TT'!M32</f>
        <v>0</v>
      </c>
      <c r="F136" s="152">
        <f>'3.XT-C TT'!Q32</f>
        <v>0</v>
      </c>
      <c r="G136" s="152">
        <f>'3.XT-C TT(CA2)'!I32</f>
        <v>0</v>
      </c>
      <c r="H136" s="152">
        <f>'3.XT-C TT(CA2)'!M32</f>
        <v>0</v>
      </c>
      <c r="I136" s="205">
        <f>'3.XT-C TT(CA2)'!Q32</f>
        <v>0</v>
      </c>
    </row>
    <row r="137" spans="1:9" ht="21.75" hidden="1" customHeight="1">
      <c r="A137" s="264">
        <v>6</v>
      </c>
      <c r="B137" s="2297" t="s">
        <v>32</v>
      </c>
      <c r="C137" s="2298"/>
      <c r="D137" s="204">
        <f>'3.XT-C TT'!I33</f>
        <v>0</v>
      </c>
      <c r="E137" s="152">
        <f>'3.XT-C TT'!M33</f>
        <v>0</v>
      </c>
      <c r="F137" s="152">
        <f>'3.XT-C TT'!Q33</f>
        <v>0</v>
      </c>
      <c r="G137" s="152">
        <f>'3.XT-C TT(CA2)'!I33</f>
        <v>0</v>
      </c>
      <c r="H137" s="152">
        <f>'3.XT-C TT(CA2)'!M33</f>
        <v>0</v>
      </c>
      <c r="I137" s="205">
        <f>'3.XT-C TT(CA2)'!Q33</f>
        <v>0</v>
      </c>
    </row>
    <row r="138" spans="1:9" ht="21.75" hidden="1" customHeight="1">
      <c r="A138" s="264">
        <v>7</v>
      </c>
      <c r="B138" s="2297" t="s">
        <v>33</v>
      </c>
      <c r="C138" s="2298"/>
      <c r="D138" s="204">
        <f>'3.XT-C TT'!I34</f>
        <v>0</v>
      </c>
      <c r="E138" s="152">
        <f>'3.XT-C TT'!M34</f>
        <v>0</v>
      </c>
      <c r="F138" s="152">
        <f>'3.XT-C TT'!Q34</f>
        <v>0</v>
      </c>
      <c r="G138" s="152">
        <f>'3.XT-C TT(CA2)'!I34</f>
        <v>0</v>
      </c>
      <c r="H138" s="152">
        <f>'3.XT-C TT(CA2)'!M34</f>
        <v>0</v>
      </c>
      <c r="I138" s="205">
        <f>'3.XT-C TT(CA2)'!Q34</f>
        <v>0</v>
      </c>
    </row>
    <row r="139" spans="1:9" ht="21.75" hidden="1" customHeight="1">
      <c r="A139" s="264">
        <v>8</v>
      </c>
      <c r="B139" s="2297" t="s">
        <v>34</v>
      </c>
      <c r="C139" s="2298"/>
      <c r="D139" s="204">
        <f>'3.XT-C TT'!K35</f>
        <v>0</v>
      </c>
      <c r="E139" s="152">
        <f>'3.XT-C TT'!O35</f>
        <v>0</v>
      </c>
      <c r="F139" s="152">
        <f>'3.XT-C TT'!S35</f>
        <v>0</v>
      </c>
      <c r="G139" s="152">
        <f>'3.XT-C TT(CA2)'!K35</f>
        <v>0</v>
      </c>
      <c r="H139" s="152">
        <f>'3.XT-C TT(CA2)'!O35</f>
        <v>0</v>
      </c>
      <c r="I139" s="205">
        <f>'3.XT-C TT(CA2)'!S35</f>
        <v>0</v>
      </c>
    </row>
    <row r="140" spans="1:9" ht="21.75" hidden="1" customHeight="1">
      <c r="A140" s="165"/>
      <c r="B140" s="166" t="s">
        <v>118</v>
      </c>
      <c r="C140" s="173"/>
      <c r="D140" s="206" t="s">
        <v>174</v>
      </c>
      <c r="E140" s="161"/>
      <c r="F140" s="161"/>
      <c r="G140" s="161"/>
      <c r="H140" s="161"/>
      <c r="I140" s="207"/>
    </row>
    <row r="141" spans="1:9" ht="21.75" hidden="1" customHeight="1">
      <c r="A141" s="167" t="s">
        <v>7</v>
      </c>
      <c r="B141" s="168" t="s">
        <v>100</v>
      </c>
      <c r="C141" s="169"/>
      <c r="D141" s="208">
        <v>0.25</v>
      </c>
      <c r="E141" s="164">
        <v>0.41666666666666669</v>
      </c>
      <c r="F141" s="164">
        <v>0.58333333333333337</v>
      </c>
      <c r="G141" s="164">
        <v>0.75</v>
      </c>
      <c r="H141" s="164">
        <v>0.91666666666666663</v>
      </c>
      <c r="I141" s="209">
        <v>8.3333333333333329E-2</v>
      </c>
    </row>
    <row r="142" spans="1:9" ht="21.75" hidden="1" customHeight="1">
      <c r="A142" s="264">
        <v>1</v>
      </c>
      <c r="B142" s="2381" t="s">
        <v>123</v>
      </c>
      <c r="C142" s="2382"/>
      <c r="D142" s="204">
        <f>'3.XT-C TT'!I40</f>
        <v>0</v>
      </c>
      <c r="E142" s="152">
        <f>'3.XT-C TT'!M40</f>
        <v>0</v>
      </c>
      <c r="F142" s="152">
        <f>'3.XT-C TT'!Q40</f>
        <v>0</v>
      </c>
      <c r="G142" s="1878">
        <f>'3.XT-C TT(CA2)'!I40</f>
        <v>0</v>
      </c>
      <c r="H142" s="1878">
        <f>'3.XT-C TT(CA2)'!M40</f>
        <v>0</v>
      </c>
      <c r="I142" s="1879">
        <f>'3.XT-C TT(CA2)'!Q40</f>
        <v>0</v>
      </c>
    </row>
    <row r="143" spans="1:9" ht="21.75" hidden="1" customHeight="1">
      <c r="A143" s="264">
        <v>2</v>
      </c>
      <c r="B143" s="2381" t="s">
        <v>122</v>
      </c>
      <c r="C143" s="2382"/>
      <c r="D143" s="204">
        <f>'3.XT-C TT'!I41</f>
        <v>0</v>
      </c>
      <c r="E143" s="152">
        <f>'3.XT-C TT'!M41</f>
        <v>0</v>
      </c>
      <c r="F143" s="152">
        <f>'3.XT-C TT'!Q41</f>
        <v>0</v>
      </c>
      <c r="G143" s="1878">
        <f>'3.XT-C TT(CA2)'!I41</f>
        <v>0</v>
      </c>
      <c r="H143" s="1878">
        <f>'3.XT-C TT(CA2)'!M41</f>
        <v>0</v>
      </c>
      <c r="I143" s="1879">
        <f>'3.XT-C TT(CA2)'!Q41</f>
        <v>0</v>
      </c>
    </row>
    <row r="144" spans="1:9" ht="21.75" hidden="1" customHeight="1">
      <c r="A144" s="158"/>
      <c r="B144" s="158"/>
      <c r="C144" s="158"/>
      <c r="D144" s="206" t="s">
        <v>172</v>
      </c>
      <c r="E144" s="161"/>
      <c r="F144" s="161"/>
      <c r="G144" s="161"/>
      <c r="H144" s="161"/>
      <c r="I144" s="207"/>
    </row>
    <row r="145" spans="1:9" ht="21.75" hidden="1" customHeight="1">
      <c r="A145" s="158"/>
      <c r="B145" s="158"/>
      <c r="C145" s="158"/>
      <c r="D145" s="210">
        <v>0.25</v>
      </c>
      <c r="E145" s="156">
        <v>0.41666666666666669</v>
      </c>
      <c r="F145" s="156">
        <v>0.58333333333333337</v>
      </c>
      <c r="G145" s="156">
        <v>0.75</v>
      </c>
      <c r="H145" s="156">
        <v>0.91666666666666663</v>
      </c>
      <c r="I145" s="211">
        <v>8.3333333333333329E-2</v>
      </c>
    </row>
    <row r="146" spans="1:9" ht="21.75" hidden="1" customHeight="1">
      <c r="A146" s="2280">
        <v>1</v>
      </c>
      <c r="B146" s="2282" t="s">
        <v>154</v>
      </c>
      <c r="C146" s="260" t="s">
        <v>108</v>
      </c>
      <c r="D146" s="217">
        <f>'3.XT-C TT'!K6</f>
        <v>0</v>
      </c>
      <c r="E146" s="174">
        <f>'3.XT-C TT'!O6</f>
        <v>0</v>
      </c>
      <c r="F146" s="174">
        <f>'3.XT-C TT'!S6</f>
        <v>0</v>
      </c>
      <c r="G146" s="174">
        <f>'3.XT-C TT(CA2)'!K6</f>
        <v>0</v>
      </c>
      <c r="H146" s="174">
        <f>'3.XT-C TT(CA2)'!O6</f>
        <v>0</v>
      </c>
      <c r="I146" s="218">
        <f>'3.XT-C TT(CA2)'!S6</f>
        <v>0</v>
      </c>
    </row>
    <row r="147" spans="1:9" ht="21.75" hidden="1" customHeight="1">
      <c r="A147" s="2281"/>
      <c r="B147" s="2284"/>
      <c r="C147" s="261" t="s">
        <v>109</v>
      </c>
      <c r="D147" s="217">
        <f>'3.XT-C TT'!K7</f>
        <v>0</v>
      </c>
      <c r="E147" s="174">
        <f>'3.XT-C TT'!O7</f>
        <v>0</v>
      </c>
      <c r="F147" s="174">
        <f>'3.XT-C TT'!S7</f>
        <v>0</v>
      </c>
      <c r="G147" s="174">
        <f>'3.XT-C TT(CA2)'!K7</f>
        <v>0</v>
      </c>
      <c r="H147" s="174">
        <f>'3.XT-C TT(CA2)'!O7</f>
        <v>0</v>
      </c>
      <c r="I147" s="218">
        <f>'3.XT-C TT(CA2)'!S7</f>
        <v>0</v>
      </c>
    </row>
    <row r="148" spans="1:9" ht="21.75" hidden="1" customHeight="1">
      <c r="A148" s="2280">
        <v>2</v>
      </c>
      <c r="B148" s="2282" t="s">
        <v>155</v>
      </c>
      <c r="C148" s="260" t="s">
        <v>108</v>
      </c>
      <c r="D148" s="217">
        <f>'3.XT-C TT'!K8</f>
        <v>0</v>
      </c>
      <c r="E148" s="174">
        <f>'3.XT-C TT'!O8</f>
        <v>0</v>
      </c>
      <c r="F148" s="174">
        <f>'3.XT-C TT'!S8</f>
        <v>0</v>
      </c>
      <c r="G148" s="174">
        <f>'3.XT-C TT(CA2)'!K8</f>
        <v>0</v>
      </c>
      <c r="H148" s="174">
        <f>'3.XT-C TT(CA2)'!O8</f>
        <v>0</v>
      </c>
      <c r="I148" s="218">
        <f>'3.XT-C TT(CA2)'!S8</f>
        <v>0</v>
      </c>
    </row>
    <row r="149" spans="1:9" ht="21.75" hidden="1" customHeight="1">
      <c r="A149" s="2281"/>
      <c r="B149" s="2284"/>
      <c r="C149" s="261" t="s">
        <v>109</v>
      </c>
      <c r="D149" s="217">
        <f>'3.XT-C TT'!K9</f>
        <v>0</v>
      </c>
      <c r="E149" s="174">
        <f>'3.XT-C TT'!O9</f>
        <v>0</v>
      </c>
      <c r="F149" s="174">
        <f>'3.XT-C TT'!S9</f>
        <v>0</v>
      </c>
      <c r="G149" s="174">
        <f>'3.XT-C TT(CA2)'!K9</f>
        <v>0</v>
      </c>
      <c r="H149" s="174">
        <f>'3.XT-C TT(CA2)'!O9</f>
        <v>0</v>
      </c>
      <c r="I149" s="218">
        <f>'3.XT-C TT(CA2)'!S9</f>
        <v>0</v>
      </c>
    </row>
    <row r="150" spans="1:9" ht="21.75" hidden="1" customHeight="1">
      <c r="A150" s="2280">
        <v>3</v>
      </c>
      <c r="B150" s="2289" t="s">
        <v>156</v>
      </c>
      <c r="C150" s="260" t="s">
        <v>108</v>
      </c>
      <c r="D150" s="217">
        <f>'3.XT-C TT'!K10</f>
        <v>18.45</v>
      </c>
      <c r="E150" s="174">
        <f>'3.XT-C TT'!O10</f>
        <v>0</v>
      </c>
      <c r="F150" s="174">
        <f>'3.XT-C TT'!S10</f>
        <v>0</v>
      </c>
      <c r="G150" s="174">
        <f>'3.XT-C TT(CA2)'!K10</f>
        <v>0</v>
      </c>
      <c r="H150" s="174">
        <f>'3.XT-C TT(CA2)'!O10</f>
        <v>0</v>
      </c>
      <c r="I150" s="218">
        <f>'3.XT-C TT(CA2)'!S10</f>
        <v>0</v>
      </c>
    </row>
    <row r="151" spans="1:9" ht="21.75" hidden="1" customHeight="1">
      <c r="A151" s="2288"/>
      <c r="B151" s="2290"/>
      <c r="C151" s="261" t="s">
        <v>112</v>
      </c>
      <c r="D151" s="217">
        <f>'3.XT-C TT'!K11</f>
        <v>5.9039999999999999</v>
      </c>
      <c r="E151" s="174">
        <f>'3.XT-C TT'!O11</f>
        <v>0</v>
      </c>
      <c r="F151" s="174">
        <f>'3.XT-C TT'!S11</f>
        <v>0</v>
      </c>
      <c r="G151" s="174">
        <f>'3.XT-C TT(CA2)'!K11</f>
        <v>0</v>
      </c>
      <c r="H151" s="174">
        <f>'3.XT-C TT(CA2)'!O11</f>
        <v>0</v>
      </c>
      <c r="I151" s="218">
        <f>'3.XT-C TT(CA2)'!S11</f>
        <v>0</v>
      </c>
    </row>
    <row r="152" spans="1:9" ht="21.75" hidden="1" customHeight="1">
      <c r="A152" s="2280">
        <v>4</v>
      </c>
      <c r="B152" s="2289" t="s">
        <v>157</v>
      </c>
      <c r="C152" s="260" t="s">
        <v>108</v>
      </c>
      <c r="D152" s="217">
        <f>'3.XT-C TT'!K12</f>
        <v>0</v>
      </c>
      <c r="E152" s="174">
        <f>'3.XT-C TT'!O12</f>
        <v>0</v>
      </c>
      <c r="F152" s="174">
        <f>'3.XT-C TT'!S12</f>
        <v>0</v>
      </c>
      <c r="G152" s="174">
        <f>'3.XT-C TT(CA2)'!K12</f>
        <v>0</v>
      </c>
      <c r="H152" s="174">
        <f>'3.XT-C TT(CA2)'!O12</f>
        <v>0</v>
      </c>
      <c r="I152" s="218">
        <f>'3.XT-C TT(CA2)'!S12</f>
        <v>0</v>
      </c>
    </row>
    <row r="153" spans="1:9" ht="21.75" hidden="1" customHeight="1">
      <c r="A153" s="2288"/>
      <c r="B153" s="2290"/>
      <c r="C153" s="261" t="s">
        <v>112</v>
      </c>
      <c r="D153" s="217">
        <f>'3.XT-C TT'!K13</f>
        <v>0</v>
      </c>
      <c r="E153" s="174">
        <f>'3.XT-C TT'!O13</f>
        <v>0</v>
      </c>
      <c r="F153" s="174">
        <f>'3.XT-C TT'!S13</f>
        <v>0</v>
      </c>
      <c r="G153" s="174">
        <f>'3.XT-C TT(CA2)'!K13</f>
        <v>0</v>
      </c>
      <c r="H153" s="174">
        <f>'3.XT-C TT(CA2)'!O13</f>
        <v>0</v>
      </c>
      <c r="I153" s="218">
        <f>'3.XT-C TT(CA2)'!S13</f>
        <v>0</v>
      </c>
    </row>
    <row r="154" spans="1:9" ht="21.75" hidden="1" customHeight="1">
      <c r="A154" s="2280">
        <v>5</v>
      </c>
      <c r="B154" s="2358" t="s">
        <v>121</v>
      </c>
      <c r="C154" s="262"/>
      <c r="D154" s="217">
        <f>'3.XT-C TT'!K14</f>
        <v>84.905599999999694</v>
      </c>
      <c r="E154" s="174">
        <f>'3.XT-C TT'!O14</f>
        <v>0</v>
      </c>
      <c r="F154" s="174">
        <f>'3.XT-C TT'!S14</f>
        <v>0</v>
      </c>
      <c r="G154" s="174">
        <f>'3.XT-C TT(CA2)'!K14</f>
        <v>0</v>
      </c>
      <c r="H154" s="174">
        <f>'3.XT-C TT(CA2)'!O14</f>
        <v>0</v>
      </c>
      <c r="I154" s="218">
        <f>'3.XT-C TT(CA2)'!S14</f>
        <v>0</v>
      </c>
    </row>
    <row r="155" spans="1:9" ht="21.75" hidden="1" customHeight="1">
      <c r="A155" s="2288"/>
      <c r="B155" s="2359"/>
      <c r="C155" s="262"/>
      <c r="D155" s="217">
        <f>'3.XT-C TT'!K15</f>
        <v>61.025899999999972</v>
      </c>
      <c r="E155" s="174">
        <f>'3.XT-C TT'!O15</f>
        <v>0</v>
      </c>
      <c r="F155" s="174">
        <f>'3.XT-C TT'!S15</f>
        <v>0</v>
      </c>
      <c r="G155" s="174">
        <f>'3.XT-C TT(CA2)'!K15</f>
        <v>0</v>
      </c>
      <c r="H155" s="174">
        <f>'3.XT-C TT(CA2)'!O15</f>
        <v>0</v>
      </c>
      <c r="I155" s="218">
        <f>'3.XT-C TT(CA2)'!S15</f>
        <v>0</v>
      </c>
    </row>
    <row r="156" spans="1:9" ht="21.75" hidden="1" customHeight="1">
      <c r="A156" s="2280">
        <v>6</v>
      </c>
      <c r="B156" s="2352" t="s">
        <v>40</v>
      </c>
      <c r="C156" s="2353"/>
      <c r="D156" s="217">
        <f>'3.XT-C TT'!K16</f>
        <v>0</v>
      </c>
      <c r="E156" s="174">
        <f>'3.XT-C TT'!O16</f>
        <v>0</v>
      </c>
      <c r="F156" s="174">
        <f>'3.XT-C TT'!S16</f>
        <v>0</v>
      </c>
      <c r="G156" s="174">
        <f>'3.XT-C TT(CA2)'!K16</f>
        <v>0</v>
      </c>
      <c r="H156" s="174">
        <f>'3.XT-C TT(CA2)'!O16</f>
        <v>0</v>
      </c>
      <c r="I156" s="218">
        <f>'3.XT-C TT(CA2)'!S16</f>
        <v>0</v>
      </c>
    </row>
    <row r="157" spans="1:9" ht="21.75" hidden="1" customHeight="1">
      <c r="A157" s="2288"/>
      <c r="B157" s="2354"/>
      <c r="C157" s="2355"/>
      <c r="D157" s="217">
        <f>'3.XT-C TT'!K17</f>
        <v>0</v>
      </c>
      <c r="E157" s="174">
        <f>'3.XT-C TT'!O17</f>
        <v>0</v>
      </c>
      <c r="F157" s="174">
        <f>'3.XT-C TT'!S17</f>
        <v>0</v>
      </c>
      <c r="G157" s="174">
        <f>'3.XT-C TT(CA2)'!K17</f>
        <v>0</v>
      </c>
      <c r="H157" s="174">
        <f>'3.XT-C TT(CA2)'!O17</f>
        <v>0</v>
      </c>
      <c r="I157" s="218">
        <f>'3.XT-C TT(CA2)'!S17</f>
        <v>0</v>
      </c>
    </row>
    <row r="158" spans="1:9" ht="21.75" hidden="1" customHeight="1">
      <c r="A158" s="264">
        <v>7</v>
      </c>
      <c r="B158" s="2243" t="s">
        <v>38</v>
      </c>
      <c r="C158" s="2244"/>
      <c r="D158" s="217">
        <f>'3.XT-C TT'!K18</f>
        <v>356.73918750000007</v>
      </c>
      <c r="E158" s="174">
        <f>'3.XT-C TT'!O18</f>
        <v>0</v>
      </c>
      <c r="F158" s="174">
        <f>'3.XT-C TT'!S18</f>
        <v>0</v>
      </c>
      <c r="G158" s="174">
        <f>'3.XT-C TT(CA2)'!K18</f>
        <v>0</v>
      </c>
      <c r="H158" s="174">
        <f>'3.XT-C TT(CA2)'!O18</f>
        <v>0</v>
      </c>
      <c r="I158" s="218">
        <f>'3.XT-C TT(CA2)'!S18</f>
        <v>0</v>
      </c>
    </row>
    <row r="159" spans="1:9" ht="21.75" hidden="1" customHeight="1">
      <c r="A159" s="264">
        <v>8</v>
      </c>
      <c r="B159" s="2243" t="s">
        <v>39</v>
      </c>
      <c r="C159" s="2244"/>
      <c r="D159" s="217">
        <f>'3.XT-C TT'!K19</f>
        <v>0</v>
      </c>
      <c r="E159" s="174">
        <f>'3.XT-C TT'!O19</f>
        <v>0</v>
      </c>
      <c r="F159" s="174">
        <f>'3.XT-C TT'!S19</f>
        <v>0</v>
      </c>
      <c r="G159" s="174">
        <f>'3.XT-C TT(CA2)'!K19</f>
        <v>0</v>
      </c>
      <c r="H159" s="174">
        <f>'3.XT-C TT(CA2)'!O19</f>
        <v>0</v>
      </c>
      <c r="I159" s="218">
        <f>'3.XT-C TT(CA2)'!S19</f>
        <v>0</v>
      </c>
    </row>
    <row r="160" spans="1:9" ht="21.75" hidden="1" customHeight="1">
      <c r="A160" s="264">
        <v>9</v>
      </c>
      <c r="B160" s="2234" t="s">
        <v>86</v>
      </c>
      <c r="C160" s="2235"/>
      <c r="D160" s="217">
        <f>'3.XT-C TT'!K20</f>
        <v>704.6077499999999</v>
      </c>
      <c r="E160" s="174">
        <f>'3.XT-C TT'!O20</f>
        <v>0</v>
      </c>
      <c r="F160" s="174">
        <f>'3.XT-C TT'!S20</f>
        <v>0</v>
      </c>
      <c r="G160" s="174">
        <f>'3.XT-C TT(CA2)'!K20</f>
        <v>0</v>
      </c>
      <c r="H160" s="174">
        <f>'3.XT-C TT(CA2)'!O20</f>
        <v>0</v>
      </c>
      <c r="I160" s="218">
        <f>'3.XT-C TT(CA2)'!S20</f>
        <v>0</v>
      </c>
    </row>
    <row r="161" spans="1:9" ht="21.75" hidden="1" customHeight="1">
      <c r="A161" s="264">
        <v>10</v>
      </c>
      <c r="B161" s="2234" t="s">
        <v>120</v>
      </c>
      <c r="C161" s="2235" t="s">
        <v>120</v>
      </c>
      <c r="D161" s="217">
        <f>'3.XT-C TT'!K21</f>
        <v>0</v>
      </c>
      <c r="E161" s="174">
        <f>'3.XT-C TT'!O21</f>
        <v>0</v>
      </c>
      <c r="F161" s="174">
        <f>'3.XT-C TT'!S21</f>
        <v>0</v>
      </c>
      <c r="G161" s="174">
        <f>'3.XT-C TT(CA2)'!K21</f>
        <v>0</v>
      </c>
      <c r="H161" s="174">
        <f>'3.XT-C TT(CA2)'!O21</f>
        <v>0</v>
      </c>
      <c r="I161" s="218">
        <f>'3.XT-C TT(CA2)'!S21</f>
        <v>0</v>
      </c>
    </row>
    <row r="162" spans="1:9" ht="21.75" customHeight="1" thickBot="1">
      <c r="D162" s="219"/>
      <c r="E162" s="220"/>
      <c r="F162" s="220"/>
      <c r="G162" s="220"/>
      <c r="H162" s="220"/>
      <c r="I162" s="221"/>
    </row>
  </sheetData>
  <mergeCells count="88">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 ref="B36:C36"/>
    <mergeCell ref="B25:C25"/>
    <mergeCell ref="B26:C26"/>
    <mergeCell ref="B27:C27"/>
    <mergeCell ref="B28:C28"/>
    <mergeCell ref="B29:C29"/>
    <mergeCell ref="B30:C30"/>
    <mergeCell ref="B31:C31"/>
    <mergeCell ref="B32:C32"/>
    <mergeCell ref="A33:C33"/>
    <mergeCell ref="B34:C34"/>
    <mergeCell ref="B35:C35"/>
    <mergeCell ref="A39:A41"/>
    <mergeCell ref="B39:B41"/>
    <mergeCell ref="A42:A44"/>
    <mergeCell ref="B42:B44"/>
    <mergeCell ref="A45:A46"/>
    <mergeCell ref="B45:B46"/>
    <mergeCell ref="B53:C53"/>
    <mergeCell ref="B54:C54"/>
    <mergeCell ref="B55:C55"/>
    <mergeCell ref="B56:C56"/>
    <mergeCell ref="A47:A48"/>
    <mergeCell ref="B47:B48"/>
    <mergeCell ref="A49:A50"/>
    <mergeCell ref="B49:B50"/>
    <mergeCell ref="A51:A52"/>
    <mergeCell ref="B51:C52"/>
    <mergeCell ref="A114:A115"/>
    <mergeCell ref="B114:B115"/>
    <mergeCell ref="A116:A117"/>
    <mergeCell ref="B116:B117"/>
    <mergeCell ref="A118:A119"/>
    <mergeCell ref="B118:B119"/>
    <mergeCell ref="A120:A121"/>
    <mergeCell ref="B120:B121"/>
    <mergeCell ref="A122:A123"/>
    <mergeCell ref="B122:B123"/>
    <mergeCell ref="A124:A125"/>
    <mergeCell ref="B124:C125"/>
    <mergeCell ref="B139:C139"/>
    <mergeCell ref="B126:C126"/>
    <mergeCell ref="B127:C127"/>
    <mergeCell ref="B128:C128"/>
    <mergeCell ref="B129:C129"/>
    <mergeCell ref="B132:C132"/>
    <mergeCell ref="B133:C133"/>
    <mergeCell ref="B134:C134"/>
    <mergeCell ref="B135:C135"/>
    <mergeCell ref="B136:C136"/>
    <mergeCell ref="B137:C137"/>
    <mergeCell ref="B138:C138"/>
    <mergeCell ref="B142:C142"/>
    <mergeCell ref="B143:C143"/>
    <mergeCell ref="A146:A147"/>
    <mergeCell ref="B146:B147"/>
    <mergeCell ref="A148:A149"/>
    <mergeCell ref="B148:B149"/>
    <mergeCell ref="B161:C161"/>
    <mergeCell ref="A150:A151"/>
    <mergeCell ref="B150:B151"/>
    <mergeCell ref="A152:A153"/>
    <mergeCell ref="B152:B153"/>
    <mergeCell ref="A154:A155"/>
    <mergeCell ref="B154:B155"/>
    <mergeCell ref="A156:A157"/>
    <mergeCell ref="B156:C157"/>
    <mergeCell ref="B158:C158"/>
    <mergeCell ref="B159:C159"/>
    <mergeCell ref="B160:C160"/>
  </mergeCells>
  <phoneticPr fontId="6" type="noConversion"/>
  <pageMargins left="0.7" right="0.7" top="0.75" bottom="0.75" header="0.3" footer="0.3"/>
  <pageSetup paperSize="9" orientation="portrait" verticalDpi="0" r:id="rId1"/>
  <drawing r:id="rId2"/>
</worksheet>
</file>

<file path=xl/worksheets/sheet29.xml><?xml version="1.0" encoding="utf-8"?>
<worksheet xmlns="http://schemas.openxmlformats.org/spreadsheetml/2006/main" xmlns:r="http://schemas.openxmlformats.org/officeDocument/2006/relationships">
  <sheetPr>
    <tabColor rgb="FFFF0000"/>
  </sheetPr>
  <dimension ref="A1:AM26"/>
  <sheetViews>
    <sheetView showGridLines="0" zoomScale="70" zoomScaleNormal="70" workbookViewId="0">
      <selection activeCell="T1" sqref="T1"/>
    </sheetView>
  </sheetViews>
  <sheetFormatPr defaultRowHeight="16.5"/>
  <cols>
    <col min="1" max="1" width="5" style="8" customWidth="1"/>
    <col min="2" max="2" width="11.25" style="31" customWidth="1"/>
    <col min="3" max="3" width="3.375" style="31" customWidth="1"/>
    <col min="4" max="4" width="8.625" style="31" customWidth="1"/>
    <col min="5" max="5" width="5.5" style="31" customWidth="1"/>
    <col min="6" max="6" width="6.375" style="31" customWidth="1"/>
    <col min="7" max="18" width="6.125" style="7" customWidth="1"/>
    <col min="19" max="21" width="6.125" style="8" customWidth="1"/>
    <col min="22" max="33" width="6.125" style="7" customWidth="1"/>
    <col min="34" max="36" width="6.125" style="8" customWidth="1"/>
    <col min="37" max="37" width="5.375" style="71" customWidth="1"/>
    <col min="38" max="39" width="8.125" style="1909" customWidth="1"/>
    <col min="40" max="16384" width="9" style="8"/>
  </cols>
  <sheetData>
    <row r="1" spans="1:39" ht="28.5" customHeight="1">
      <c r="A1" s="1915" t="s">
        <v>151</v>
      </c>
      <c r="B1" s="1915"/>
      <c r="C1" s="1915"/>
      <c r="D1" s="1915"/>
      <c r="E1" s="1915"/>
      <c r="F1" s="1915"/>
      <c r="G1" s="1915"/>
      <c r="H1" s="1915"/>
      <c r="I1" s="1915"/>
      <c r="J1" s="1915"/>
      <c r="K1" s="1915"/>
      <c r="L1" s="1915"/>
      <c r="M1" s="1915"/>
      <c r="N1" s="1915"/>
      <c r="O1" s="1915"/>
      <c r="P1" s="1915"/>
      <c r="Q1" s="1915"/>
      <c r="R1" s="1915"/>
      <c r="S1" s="1915"/>
      <c r="T1" s="1915"/>
      <c r="U1" s="1915"/>
      <c r="V1" s="1915"/>
      <c r="W1" s="1915"/>
      <c r="X1" s="1915"/>
      <c r="Y1" s="1915"/>
      <c r="Z1" s="1915"/>
      <c r="AA1" s="1915"/>
      <c r="AB1" s="1915"/>
      <c r="AC1" s="1915"/>
      <c r="AD1" s="1915"/>
      <c r="AE1" s="1915"/>
      <c r="AF1" s="1915"/>
      <c r="AG1" s="1915"/>
      <c r="AH1" s="1915"/>
      <c r="AI1" s="1915"/>
      <c r="AJ1" s="1915"/>
      <c r="AK1" s="1905"/>
    </row>
    <row r="2" spans="1:39" ht="26.25" customHeight="1">
      <c r="A2" s="1916" t="s">
        <v>1561</v>
      </c>
      <c r="B2" s="1916"/>
      <c r="C2" s="1916"/>
      <c r="D2" s="1916"/>
      <c r="E2" s="1916"/>
      <c r="F2" s="1916"/>
      <c r="G2" s="1916"/>
      <c r="H2" s="1916"/>
      <c r="I2" s="1916"/>
      <c r="J2" s="1916"/>
      <c r="K2" s="1916"/>
      <c r="L2" s="1916"/>
      <c r="M2" s="1916"/>
      <c r="N2" s="1916"/>
      <c r="O2" s="1916"/>
      <c r="P2" s="1916"/>
      <c r="Q2" s="1916"/>
      <c r="R2" s="1916"/>
      <c r="S2" s="1916"/>
      <c r="T2" s="1916"/>
      <c r="U2" s="1916"/>
      <c r="V2" s="1916"/>
      <c r="W2" s="1916"/>
      <c r="X2" s="1916"/>
      <c r="Y2" s="1916"/>
      <c r="Z2" s="1916"/>
      <c r="AA2" s="1916"/>
      <c r="AB2" s="1916"/>
      <c r="AC2" s="1916"/>
      <c r="AD2" s="1916"/>
      <c r="AE2" s="1916"/>
      <c r="AF2" s="1916"/>
      <c r="AG2" s="1916"/>
      <c r="AH2" s="1916"/>
      <c r="AI2" s="1916"/>
      <c r="AJ2" s="1916"/>
      <c r="AK2" s="1902"/>
    </row>
    <row r="3" spans="1:39" ht="24.75" customHeight="1">
      <c r="A3" s="1900"/>
      <c r="B3" s="2412" t="str">
        <f>MENU!AC9</f>
        <v>2023/03/21</v>
      </c>
      <c r="C3" s="2412"/>
      <c r="D3" s="2412"/>
      <c r="E3" s="2412"/>
      <c r="F3" s="1901"/>
      <c r="H3" s="1899"/>
      <c r="I3" s="1899"/>
      <c r="J3" s="29"/>
      <c r="K3" s="29"/>
      <c r="L3" s="29"/>
      <c r="M3" s="29"/>
      <c r="N3" s="29"/>
      <c r="O3" s="29"/>
      <c r="P3" s="29"/>
      <c r="Q3" s="1898"/>
      <c r="R3" s="1898"/>
      <c r="W3" s="1899"/>
      <c r="X3" s="1899"/>
      <c r="Y3" s="29"/>
      <c r="Z3" s="29"/>
      <c r="AA3" s="29"/>
      <c r="AB3" s="29"/>
      <c r="AC3" s="29"/>
      <c r="AD3" s="29"/>
      <c r="AE3" s="29"/>
      <c r="AF3" s="1898"/>
      <c r="AG3" s="1898"/>
    </row>
    <row r="4" spans="1:39" s="71" customFormat="1" ht="24.75" customHeight="1">
      <c r="A4" s="2413" t="s">
        <v>7</v>
      </c>
      <c r="B4" s="1913"/>
      <c r="C4" s="1914"/>
      <c r="D4" s="2416" t="s">
        <v>1560</v>
      </c>
      <c r="E4" s="2289" t="s">
        <v>1563</v>
      </c>
      <c r="F4" s="2289" t="s">
        <v>1564</v>
      </c>
      <c r="G4" s="2128">
        <v>0.26041666666666669</v>
      </c>
      <c r="H4" s="2410"/>
      <c r="I4" s="2410"/>
      <c r="J4" s="2410"/>
      <c r="K4" s="2332"/>
      <c r="L4" s="2128">
        <v>0.42708333333333331</v>
      </c>
      <c r="M4" s="2410"/>
      <c r="N4" s="2410"/>
      <c r="O4" s="2410"/>
      <c r="P4" s="2410"/>
      <c r="Q4" s="2411">
        <v>0.59375</v>
      </c>
      <c r="R4" s="2411"/>
      <c r="S4" s="2411"/>
      <c r="T4" s="2411"/>
      <c r="U4" s="2411"/>
      <c r="V4" s="2128">
        <v>0.76041666666666663</v>
      </c>
      <c r="W4" s="2410"/>
      <c r="X4" s="2410"/>
      <c r="Y4" s="2410"/>
      <c r="Z4" s="2332"/>
      <c r="AA4" s="2128">
        <v>0.92708333333333337</v>
      </c>
      <c r="AB4" s="2410"/>
      <c r="AC4" s="2410"/>
      <c r="AD4" s="2410"/>
      <c r="AE4" s="2410"/>
      <c r="AF4" s="2411">
        <v>9.375E-2</v>
      </c>
      <c r="AG4" s="2411"/>
      <c r="AH4" s="2411"/>
      <c r="AI4" s="2411"/>
      <c r="AJ4" s="2411"/>
      <c r="AK4" s="1903"/>
      <c r="AL4" s="1910"/>
      <c r="AM4" s="1910"/>
    </row>
    <row r="5" spans="1:39" s="71" customFormat="1" ht="64.5" customHeight="1">
      <c r="A5" s="2413"/>
      <c r="B5" s="2414" t="s">
        <v>1559</v>
      </c>
      <c r="C5" s="2415"/>
      <c r="D5" s="2417"/>
      <c r="E5" s="2289"/>
      <c r="F5" s="2289"/>
      <c r="G5" s="1895" t="s">
        <v>1558</v>
      </c>
      <c r="H5" s="1897" t="s">
        <v>1566</v>
      </c>
      <c r="I5" s="1897" t="s">
        <v>1557</v>
      </c>
      <c r="J5" s="1897" t="s">
        <v>1556</v>
      </c>
      <c r="K5" s="1896" t="s">
        <v>1555</v>
      </c>
      <c r="L5" s="1895" t="s">
        <v>1558</v>
      </c>
      <c r="M5" s="1897" t="s">
        <v>1566</v>
      </c>
      <c r="N5" s="1897" t="s">
        <v>1557</v>
      </c>
      <c r="O5" s="1897" t="s">
        <v>1556</v>
      </c>
      <c r="P5" s="1896" t="s">
        <v>1555</v>
      </c>
      <c r="Q5" s="1895" t="s">
        <v>1558</v>
      </c>
      <c r="R5" s="1897" t="s">
        <v>1566</v>
      </c>
      <c r="S5" s="1897" t="s">
        <v>1557</v>
      </c>
      <c r="T5" s="1897" t="s">
        <v>1556</v>
      </c>
      <c r="U5" s="1896" t="s">
        <v>1555</v>
      </c>
      <c r="V5" s="1895" t="s">
        <v>1558</v>
      </c>
      <c r="W5" s="1897" t="s">
        <v>1566</v>
      </c>
      <c r="X5" s="1897" t="s">
        <v>1557</v>
      </c>
      <c r="Y5" s="1897" t="s">
        <v>1556</v>
      </c>
      <c r="Z5" s="1896" t="s">
        <v>1555</v>
      </c>
      <c r="AA5" s="1895" t="s">
        <v>1558</v>
      </c>
      <c r="AB5" s="1897" t="s">
        <v>1566</v>
      </c>
      <c r="AC5" s="1897" t="s">
        <v>1557</v>
      </c>
      <c r="AD5" s="1897" t="s">
        <v>1556</v>
      </c>
      <c r="AE5" s="1896" t="s">
        <v>1555</v>
      </c>
      <c r="AF5" s="1895" t="s">
        <v>1558</v>
      </c>
      <c r="AG5" s="1897" t="s">
        <v>1566</v>
      </c>
      <c r="AH5" s="1897" t="s">
        <v>1557</v>
      </c>
      <c r="AI5" s="1897" t="s">
        <v>1556</v>
      </c>
      <c r="AJ5" s="1896" t="s">
        <v>1555</v>
      </c>
      <c r="AK5" s="1906"/>
      <c r="AL5" s="1912" t="s">
        <v>1567</v>
      </c>
      <c r="AM5" s="1912" t="s">
        <v>1568</v>
      </c>
    </row>
    <row r="6" spans="1:39" ht="44.25" customHeight="1">
      <c r="A6" s="1809">
        <v>1</v>
      </c>
      <c r="B6" s="2289" t="s">
        <v>1554</v>
      </c>
      <c r="C6" s="2290"/>
      <c r="D6" s="1886" t="s">
        <v>258</v>
      </c>
      <c r="E6" s="1885" t="s">
        <v>4</v>
      </c>
      <c r="F6" s="1886" t="s">
        <v>1403</v>
      </c>
      <c r="G6" s="1895"/>
      <c r="H6" s="1894"/>
      <c r="I6" s="1894"/>
      <c r="J6" s="1894"/>
      <c r="K6" s="1893"/>
      <c r="L6" s="1895"/>
      <c r="M6" s="1894"/>
      <c r="N6" s="1894"/>
      <c r="O6" s="1894"/>
      <c r="P6" s="1893"/>
      <c r="Q6" s="1895"/>
      <c r="R6" s="1894"/>
      <c r="S6" s="1894"/>
      <c r="T6" s="1894"/>
      <c r="U6" s="1893"/>
      <c r="V6" s="1895"/>
      <c r="W6" s="1894"/>
      <c r="X6" s="1894"/>
      <c r="Y6" s="1894"/>
      <c r="Z6" s="1893"/>
      <c r="AA6" s="1895"/>
      <c r="AB6" s="1894"/>
      <c r="AC6" s="1894"/>
      <c r="AD6" s="1894"/>
      <c r="AE6" s="1893"/>
      <c r="AF6" s="1895"/>
      <c r="AG6" s="1894"/>
      <c r="AH6" s="1894"/>
      <c r="AI6" s="1894"/>
      <c r="AJ6" s="1893"/>
      <c r="AK6" s="1907"/>
      <c r="AL6" s="1911">
        <f>H6+M6+R6+W6+AB6+AG6</f>
        <v>0</v>
      </c>
      <c r="AM6" s="1911">
        <f>I6+N6+S6+X6+AC6+AH6</f>
        <v>0</v>
      </c>
    </row>
    <row r="7" spans="1:39" ht="44.25" customHeight="1">
      <c r="A7" s="1809">
        <v>2</v>
      </c>
      <c r="B7" s="2290"/>
      <c r="C7" s="2290"/>
      <c r="D7" s="1886" t="s">
        <v>259</v>
      </c>
      <c r="E7" s="1132"/>
      <c r="F7" s="1886" t="s">
        <v>10</v>
      </c>
      <c r="G7" s="1895"/>
      <c r="H7" s="1894"/>
      <c r="I7" s="1894"/>
      <c r="J7" s="1894"/>
      <c r="K7" s="1893"/>
      <c r="L7" s="1895"/>
      <c r="M7" s="1894"/>
      <c r="N7" s="1894"/>
      <c r="O7" s="1894"/>
      <c r="P7" s="1893"/>
      <c r="Q7" s="1895"/>
      <c r="R7" s="1894"/>
      <c r="S7" s="1894"/>
      <c r="T7" s="1894"/>
      <c r="U7" s="1893"/>
      <c r="V7" s="1895"/>
      <c r="W7" s="1894"/>
      <c r="X7" s="1894"/>
      <c r="Y7" s="1894"/>
      <c r="Z7" s="1893"/>
      <c r="AA7" s="1895"/>
      <c r="AB7" s="1894"/>
      <c r="AC7" s="1894"/>
      <c r="AD7" s="1894"/>
      <c r="AE7" s="1893"/>
      <c r="AF7" s="1895"/>
      <c r="AG7" s="1894"/>
      <c r="AH7" s="1894"/>
      <c r="AI7" s="1894"/>
      <c r="AJ7" s="1893"/>
      <c r="AK7" s="1907"/>
      <c r="AL7" s="1911">
        <f t="shared" ref="AL7:AL25" si="0">H7+M7+R7+W7+AB7+AG7</f>
        <v>0</v>
      </c>
      <c r="AM7" s="1911">
        <f t="shared" ref="AM7:AM25" si="1">I7+N7+S7+X7+AC7+AH7</f>
        <v>0</v>
      </c>
    </row>
    <row r="8" spans="1:39" ht="44.25" customHeight="1">
      <c r="A8" s="1809">
        <v>3</v>
      </c>
      <c r="B8" s="2289" t="s">
        <v>1553</v>
      </c>
      <c r="C8" s="2290"/>
      <c r="D8" s="1886" t="s">
        <v>258</v>
      </c>
      <c r="E8" s="1885" t="s">
        <v>4</v>
      </c>
      <c r="F8" s="1886" t="s">
        <v>1403</v>
      </c>
      <c r="G8" s="1895"/>
      <c r="H8" s="1894"/>
      <c r="I8" s="1894"/>
      <c r="J8" s="1894"/>
      <c r="K8" s="1893"/>
      <c r="L8" s="1895"/>
      <c r="M8" s="1894"/>
      <c r="N8" s="1894"/>
      <c r="O8" s="1894"/>
      <c r="P8" s="1893"/>
      <c r="Q8" s="1895"/>
      <c r="R8" s="1894"/>
      <c r="S8" s="1894"/>
      <c r="T8" s="1894"/>
      <c r="U8" s="1893"/>
      <c r="V8" s="1895"/>
      <c r="W8" s="1894"/>
      <c r="X8" s="1894"/>
      <c r="Y8" s="1894"/>
      <c r="Z8" s="1893"/>
      <c r="AA8" s="1895"/>
      <c r="AB8" s="1894"/>
      <c r="AC8" s="1894"/>
      <c r="AD8" s="1894"/>
      <c r="AE8" s="1893"/>
      <c r="AF8" s="1895"/>
      <c r="AG8" s="1894"/>
      <c r="AH8" s="1894"/>
      <c r="AI8" s="1894"/>
      <c r="AJ8" s="1893"/>
      <c r="AK8" s="1907"/>
      <c r="AL8" s="1911">
        <f t="shared" si="0"/>
        <v>0</v>
      </c>
      <c r="AM8" s="1911">
        <f t="shared" si="1"/>
        <v>0</v>
      </c>
    </row>
    <row r="9" spans="1:39" ht="44.25" customHeight="1">
      <c r="A9" s="1809">
        <v>4</v>
      </c>
      <c r="B9" s="2290"/>
      <c r="C9" s="2290"/>
      <c r="D9" s="1886" t="s">
        <v>259</v>
      </c>
      <c r="E9" s="1132"/>
      <c r="F9" s="1886" t="s">
        <v>10</v>
      </c>
      <c r="G9" s="1895"/>
      <c r="H9" s="1894"/>
      <c r="I9" s="1894"/>
      <c r="J9" s="1894"/>
      <c r="K9" s="1893"/>
      <c r="L9" s="1895"/>
      <c r="M9" s="1894"/>
      <c r="N9" s="1894"/>
      <c r="O9" s="1894"/>
      <c r="P9" s="1893"/>
      <c r="Q9" s="1895"/>
      <c r="R9" s="1894"/>
      <c r="S9" s="1894"/>
      <c r="T9" s="1894"/>
      <c r="U9" s="1893"/>
      <c r="V9" s="1895"/>
      <c r="W9" s="1894"/>
      <c r="X9" s="1894"/>
      <c r="Y9" s="1894"/>
      <c r="Z9" s="1893"/>
      <c r="AA9" s="1895"/>
      <c r="AB9" s="1894"/>
      <c r="AC9" s="1894"/>
      <c r="AD9" s="1894"/>
      <c r="AE9" s="1893"/>
      <c r="AF9" s="1895"/>
      <c r="AG9" s="1894"/>
      <c r="AH9" s="1894"/>
      <c r="AI9" s="1894"/>
      <c r="AJ9" s="1893"/>
      <c r="AK9" s="1907"/>
      <c r="AL9" s="1911">
        <f t="shared" si="0"/>
        <v>0</v>
      </c>
      <c r="AM9" s="1911">
        <f t="shared" si="1"/>
        <v>0</v>
      </c>
    </row>
    <row r="10" spans="1:39" ht="44.25" customHeight="1">
      <c r="A10" s="1809">
        <v>5</v>
      </c>
      <c r="B10" s="2289" t="s">
        <v>1552</v>
      </c>
      <c r="C10" s="2290"/>
      <c r="D10" s="1887" t="s">
        <v>260</v>
      </c>
      <c r="E10" s="1885" t="s">
        <v>4</v>
      </c>
      <c r="F10" s="1886" t="s">
        <v>1403</v>
      </c>
      <c r="G10" s="1895"/>
      <c r="H10" s="1894"/>
      <c r="I10" s="1894"/>
      <c r="J10" s="1894"/>
      <c r="K10" s="1893"/>
      <c r="L10" s="1895"/>
      <c r="M10" s="1894"/>
      <c r="N10" s="1894"/>
      <c r="O10" s="1894"/>
      <c r="P10" s="1893"/>
      <c r="Q10" s="1895"/>
      <c r="R10" s="1894"/>
      <c r="S10" s="1894"/>
      <c r="T10" s="1894"/>
      <c r="U10" s="1893"/>
      <c r="V10" s="1895"/>
      <c r="W10" s="1894"/>
      <c r="X10" s="1894"/>
      <c r="Y10" s="1894"/>
      <c r="Z10" s="1893"/>
      <c r="AA10" s="1895"/>
      <c r="AB10" s="1894"/>
      <c r="AC10" s="1894"/>
      <c r="AD10" s="1894"/>
      <c r="AE10" s="1893"/>
      <c r="AF10" s="1895"/>
      <c r="AG10" s="1894"/>
      <c r="AH10" s="1894"/>
      <c r="AI10" s="1894"/>
      <c r="AJ10" s="1893"/>
      <c r="AK10" s="1907"/>
      <c r="AL10" s="1911">
        <f t="shared" si="0"/>
        <v>0</v>
      </c>
      <c r="AM10" s="1911">
        <f t="shared" si="1"/>
        <v>0</v>
      </c>
    </row>
    <row r="11" spans="1:39" ht="44.25" customHeight="1">
      <c r="A11" s="1809">
        <v>6</v>
      </c>
      <c r="B11" s="2290"/>
      <c r="C11" s="2290"/>
      <c r="D11" s="1887" t="s">
        <v>261</v>
      </c>
      <c r="E11" s="1132"/>
      <c r="F11" s="1886" t="s">
        <v>10</v>
      </c>
      <c r="G11" s="1895"/>
      <c r="H11" s="1894"/>
      <c r="I11" s="1894"/>
      <c r="J11" s="1894"/>
      <c r="K11" s="1893"/>
      <c r="L11" s="1895"/>
      <c r="M11" s="1894"/>
      <c r="N11" s="1894"/>
      <c r="O11" s="1894"/>
      <c r="P11" s="1893"/>
      <c r="Q11" s="1895"/>
      <c r="R11" s="1894"/>
      <c r="S11" s="1894"/>
      <c r="T11" s="1894"/>
      <c r="U11" s="1893"/>
      <c r="V11" s="1895"/>
      <c r="W11" s="1894"/>
      <c r="X11" s="1894"/>
      <c r="Y11" s="1894"/>
      <c r="Z11" s="1893"/>
      <c r="AA11" s="1895"/>
      <c r="AB11" s="1894"/>
      <c r="AC11" s="1894"/>
      <c r="AD11" s="1894"/>
      <c r="AE11" s="1893"/>
      <c r="AF11" s="1895"/>
      <c r="AG11" s="1894"/>
      <c r="AH11" s="1894"/>
      <c r="AI11" s="1894"/>
      <c r="AJ11" s="1893"/>
      <c r="AK11" s="1907"/>
      <c r="AL11" s="1911">
        <f t="shared" si="0"/>
        <v>0</v>
      </c>
      <c r="AM11" s="1911">
        <f t="shared" si="1"/>
        <v>0</v>
      </c>
    </row>
    <row r="12" spans="1:39" ht="44.25" customHeight="1">
      <c r="A12" s="1809">
        <v>7</v>
      </c>
      <c r="B12" s="2289" t="s">
        <v>157</v>
      </c>
      <c r="C12" s="2290"/>
      <c r="D12" s="1887" t="s">
        <v>260</v>
      </c>
      <c r="E12" s="1885" t="s">
        <v>4</v>
      </c>
      <c r="F12" s="1886" t="s">
        <v>1403</v>
      </c>
      <c r="G12" s="1895"/>
      <c r="H12" s="1894"/>
      <c r="I12" s="1894"/>
      <c r="J12" s="1894"/>
      <c r="K12" s="1893"/>
      <c r="L12" s="1895"/>
      <c r="M12" s="1894"/>
      <c r="N12" s="1894"/>
      <c r="O12" s="1894"/>
      <c r="P12" s="1893"/>
      <c r="Q12" s="1895"/>
      <c r="R12" s="1894"/>
      <c r="S12" s="1894"/>
      <c r="T12" s="1894"/>
      <c r="U12" s="1893"/>
      <c r="V12" s="1895"/>
      <c r="W12" s="1894"/>
      <c r="X12" s="1894"/>
      <c r="Y12" s="1894"/>
      <c r="Z12" s="1893"/>
      <c r="AA12" s="1895"/>
      <c r="AB12" s="1894"/>
      <c r="AC12" s="1894"/>
      <c r="AD12" s="1894"/>
      <c r="AE12" s="1893"/>
      <c r="AF12" s="1895"/>
      <c r="AG12" s="1894"/>
      <c r="AH12" s="1894"/>
      <c r="AI12" s="1894"/>
      <c r="AJ12" s="1893"/>
      <c r="AK12" s="1907"/>
      <c r="AL12" s="1911">
        <f t="shared" si="0"/>
        <v>0</v>
      </c>
      <c r="AM12" s="1911">
        <f t="shared" si="1"/>
        <v>0</v>
      </c>
    </row>
    <row r="13" spans="1:39" ht="44.25" customHeight="1">
      <c r="A13" s="1809">
        <v>8</v>
      </c>
      <c r="B13" s="2290"/>
      <c r="C13" s="2290"/>
      <c r="D13" s="1887" t="s">
        <v>261</v>
      </c>
      <c r="E13" s="1132"/>
      <c r="F13" s="1886" t="s">
        <v>10</v>
      </c>
      <c r="G13" s="1895"/>
      <c r="H13" s="1894"/>
      <c r="I13" s="1894"/>
      <c r="J13" s="1894"/>
      <c r="K13" s="1893"/>
      <c r="L13" s="1895"/>
      <c r="M13" s="1894"/>
      <c r="N13" s="1894"/>
      <c r="O13" s="1894"/>
      <c r="P13" s="1893"/>
      <c r="Q13" s="1895"/>
      <c r="R13" s="1894"/>
      <c r="S13" s="1894"/>
      <c r="T13" s="1894"/>
      <c r="U13" s="1893"/>
      <c r="V13" s="1895"/>
      <c r="W13" s="1894"/>
      <c r="X13" s="1894"/>
      <c r="Y13" s="1894"/>
      <c r="Z13" s="1893"/>
      <c r="AA13" s="1895"/>
      <c r="AB13" s="1894"/>
      <c r="AC13" s="1894"/>
      <c r="AD13" s="1894"/>
      <c r="AE13" s="1893"/>
      <c r="AF13" s="1895"/>
      <c r="AG13" s="1894"/>
      <c r="AH13" s="1894"/>
      <c r="AI13" s="1894"/>
      <c r="AJ13" s="1893"/>
      <c r="AK13" s="1907"/>
      <c r="AL13" s="1911">
        <f t="shared" si="0"/>
        <v>0</v>
      </c>
      <c r="AM13" s="1911">
        <f t="shared" si="1"/>
        <v>0</v>
      </c>
    </row>
    <row r="14" spans="1:39" ht="44.25" customHeight="1">
      <c r="A14" s="1809">
        <v>9</v>
      </c>
      <c r="B14" s="2208" t="s">
        <v>1551</v>
      </c>
      <c r="C14" s="2360" t="s">
        <v>1550</v>
      </c>
      <c r="D14" s="2361"/>
      <c r="E14" s="1885" t="s">
        <v>4</v>
      </c>
      <c r="F14" s="1886" t="s">
        <v>1403</v>
      </c>
      <c r="G14" s="1895"/>
      <c r="H14" s="1894"/>
      <c r="I14" s="1894"/>
      <c r="J14" s="1894"/>
      <c r="K14" s="1893"/>
      <c r="L14" s="1895"/>
      <c r="M14" s="1894"/>
      <c r="N14" s="1894"/>
      <c r="O14" s="1894"/>
      <c r="P14" s="1893"/>
      <c r="Q14" s="1895"/>
      <c r="R14" s="1894"/>
      <c r="S14" s="1894"/>
      <c r="T14" s="1894"/>
      <c r="U14" s="1893"/>
      <c r="V14" s="1895"/>
      <c r="W14" s="1894"/>
      <c r="X14" s="1894"/>
      <c r="Y14" s="1894"/>
      <c r="Z14" s="1893"/>
      <c r="AA14" s="1895"/>
      <c r="AB14" s="1894"/>
      <c r="AC14" s="1894"/>
      <c r="AD14" s="1894"/>
      <c r="AE14" s="1893"/>
      <c r="AF14" s="1895"/>
      <c r="AG14" s="1894"/>
      <c r="AH14" s="1894"/>
      <c r="AI14" s="1894"/>
      <c r="AJ14" s="1893"/>
      <c r="AK14" s="1907"/>
      <c r="AL14" s="1911">
        <f t="shared" si="0"/>
        <v>0</v>
      </c>
      <c r="AM14" s="1911">
        <f t="shared" si="1"/>
        <v>0</v>
      </c>
    </row>
    <row r="15" spans="1:39" ht="44.25" customHeight="1">
      <c r="A15" s="1809">
        <v>10</v>
      </c>
      <c r="B15" s="2422"/>
      <c r="C15" s="2360" t="s">
        <v>1549</v>
      </c>
      <c r="D15" s="2361"/>
      <c r="E15" s="1885" t="s">
        <v>4</v>
      </c>
      <c r="F15" s="1886" t="s">
        <v>1403</v>
      </c>
      <c r="G15" s="1895"/>
      <c r="H15" s="1894"/>
      <c r="I15" s="1894"/>
      <c r="J15" s="1894"/>
      <c r="K15" s="1893"/>
      <c r="L15" s="1895"/>
      <c r="M15" s="1894"/>
      <c r="N15" s="1894"/>
      <c r="O15" s="1894"/>
      <c r="P15" s="1893"/>
      <c r="Q15" s="1895"/>
      <c r="R15" s="1894"/>
      <c r="S15" s="1894"/>
      <c r="T15" s="1894"/>
      <c r="U15" s="1893"/>
      <c r="V15" s="1895"/>
      <c r="W15" s="1894"/>
      <c r="X15" s="1894"/>
      <c r="Y15" s="1894"/>
      <c r="Z15" s="1893"/>
      <c r="AA15" s="1895"/>
      <c r="AB15" s="1894"/>
      <c r="AC15" s="1894"/>
      <c r="AD15" s="1894"/>
      <c r="AE15" s="1893"/>
      <c r="AF15" s="1895"/>
      <c r="AG15" s="1894"/>
      <c r="AH15" s="1894"/>
      <c r="AI15" s="1894"/>
      <c r="AJ15" s="1893"/>
      <c r="AK15" s="1907"/>
      <c r="AL15" s="1911">
        <f t="shared" si="0"/>
        <v>0</v>
      </c>
      <c r="AM15" s="1911">
        <f t="shared" si="1"/>
        <v>0</v>
      </c>
    </row>
    <row r="16" spans="1:39" s="7" customFormat="1" ht="44.25" customHeight="1">
      <c r="A16" s="1809">
        <v>11</v>
      </c>
      <c r="B16" s="2282" t="s">
        <v>1548</v>
      </c>
      <c r="C16" s="2423"/>
      <c r="D16" s="2423"/>
      <c r="E16" s="1886" t="s">
        <v>3</v>
      </c>
      <c r="F16" s="1886" t="s">
        <v>10</v>
      </c>
      <c r="G16" s="1895"/>
      <c r="H16" s="1894"/>
      <c r="I16" s="1894"/>
      <c r="J16" s="1894"/>
      <c r="K16" s="1893"/>
      <c r="L16" s="1895"/>
      <c r="M16" s="1894"/>
      <c r="N16" s="1894"/>
      <c r="O16" s="1894"/>
      <c r="P16" s="1893"/>
      <c r="Q16" s="1895"/>
      <c r="R16" s="1894"/>
      <c r="S16" s="1894"/>
      <c r="T16" s="1894"/>
      <c r="U16" s="1893"/>
      <c r="V16" s="1895"/>
      <c r="W16" s="1894"/>
      <c r="X16" s="1894"/>
      <c r="Y16" s="1894"/>
      <c r="Z16" s="1893"/>
      <c r="AA16" s="1895"/>
      <c r="AB16" s="1894"/>
      <c r="AC16" s="1894"/>
      <c r="AD16" s="1894"/>
      <c r="AE16" s="1893"/>
      <c r="AF16" s="1895"/>
      <c r="AG16" s="1894"/>
      <c r="AH16" s="1894"/>
      <c r="AI16" s="1894"/>
      <c r="AJ16" s="1893"/>
      <c r="AK16" s="1907"/>
      <c r="AL16" s="1911">
        <f t="shared" si="0"/>
        <v>0</v>
      </c>
      <c r="AM16" s="1911">
        <f t="shared" si="1"/>
        <v>0</v>
      </c>
    </row>
    <row r="17" spans="1:39" ht="44.25" customHeight="1">
      <c r="A17" s="1809">
        <v>13</v>
      </c>
      <c r="B17" s="2293" t="s">
        <v>1547</v>
      </c>
      <c r="C17" s="2294"/>
      <c r="D17" s="2294"/>
      <c r="E17" s="1886" t="s">
        <v>1565</v>
      </c>
      <c r="F17" s="1886" t="s">
        <v>10</v>
      </c>
      <c r="G17" s="1895"/>
      <c r="H17" s="1894"/>
      <c r="I17" s="1894"/>
      <c r="J17" s="1894"/>
      <c r="K17" s="1893"/>
      <c r="L17" s="1895"/>
      <c r="M17" s="1894"/>
      <c r="N17" s="1894"/>
      <c r="O17" s="1894"/>
      <c r="P17" s="1893"/>
      <c r="Q17" s="1895"/>
      <c r="R17" s="1894"/>
      <c r="S17" s="1894"/>
      <c r="T17" s="1894"/>
      <c r="U17" s="1893"/>
      <c r="V17" s="1895"/>
      <c r="W17" s="1894"/>
      <c r="X17" s="1894"/>
      <c r="Y17" s="1894"/>
      <c r="Z17" s="1893"/>
      <c r="AA17" s="1895"/>
      <c r="AB17" s="1894"/>
      <c r="AC17" s="1894"/>
      <c r="AD17" s="1894"/>
      <c r="AE17" s="1893"/>
      <c r="AF17" s="1895"/>
      <c r="AG17" s="1894"/>
      <c r="AH17" s="1894"/>
      <c r="AI17" s="1894"/>
      <c r="AJ17" s="1893"/>
      <c r="AK17" s="1907"/>
      <c r="AL17" s="1911">
        <f t="shared" si="0"/>
        <v>0</v>
      </c>
      <c r="AM17" s="1911">
        <f t="shared" si="1"/>
        <v>0</v>
      </c>
    </row>
    <row r="18" spans="1:39" ht="44.25" customHeight="1">
      <c r="A18" s="1809">
        <v>14</v>
      </c>
      <c r="B18" s="2293" t="s">
        <v>1546</v>
      </c>
      <c r="C18" s="2294"/>
      <c r="D18" s="2294"/>
      <c r="E18" s="1886" t="s">
        <v>1565</v>
      </c>
      <c r="F18" s="1886" t="s">
        <v>10</v>
      </c>
      <c r="G18" s="1895"/>
      <c r="H18" s="1894"/>
      <c r="I18" s="1894"/>
      <c r="J18" s="1894"/>
      <c r="K18" s="1893"/>
      <c r="L18" s="1895"/>
      <c r="M18" s="1894"/>
      <c r="N18" s="1894"/>
      <c r="O18" s="1894"/>
      <c r="P18" s="1893"/>
      <c r="Q18" s="1895"/>
      <c r="R18" s="1894"/>
      <c r="S18" s="1894"/>
      <c r="T18" s="1894"/>
      <c r="U18" s="1893"/>
      <c r="V18" s="1895"/>
      <c r="W18" s="1894"/>
      <c r="X18" s="1894"/>
      <c r="Y18" s="1894"/>
      <c r="Z18" s="1893"/>
      <c r="AA18" s="1895"/>
      <c r="AB18" s="1894"/>
      <c r="AC18" s="1894"/>
      <c r="AD18" s="1894"/>
      <c r="AE18" s="1893"/>
      <c r="AF18" s="1895"/>
      <c r="AG18" s="1894"/>
      <c r="AH18" s="1894"/>
      <c r="AI18" s="1894"/>
      <c r="AJ18" s="1893"/>
      <c r="AK18" s="1907"/>
      <c r="AL18" s="1911">
        <f t="shared" si="0"/>
        <v>0</v>
      </c>
      <c r="AM18" s="1911">
        <f t="shared" si="1"/>
        <v>0</v>
      </c>
    </row>
    <row r="19" spans="1:39" ht="44.25" customHeight="1">
      <c r="A19" s="1809">
        <v>15</v>
      </c>
      <c r="B19" s="2293" t="s">
        <v>1545</v>
      </c>
      <c r="C19" s="2294"/>
      <c r="D19" s="2294"/>
      <c r="E19" s="1886" t="s">
        <v>1565</v>
      </c>
      <c r="F19" s="1886" t="s">
        <v>10</v>
      </c>
      <c r="G19" s="1895"/>
      <c r="H19" s="1894"/>
      <c r="I19" s="1894"/>
      <c r="J19" s="1894"/>
      <c r="K19" s="1893"/>
      <c r="L19" s="1895"/>
      <c r="M19" s="1894"/>
      <c r="N19" s="1894"/>
      <c r="O19" s="1894"/>
      <c r="P19" s="1893"/>
      <c r="Q19" s="1895"/>
      <c r="R19" s="1894"/>
      <c r="S19" s="1894"/>
      <c r="T19" s="1894"/>
      <c r="U19" s="1893"/>
      <c r="V19" s="1895"/>
      <c r="W19" s="1894"/>
      <c r="X19" s="1894"/>
      <c r="Y19" s="1894"/>
      <c r="Z19" s="1893"/>
      <c r="AA19" s="1895"/>
      <c r="AB19" s="1894"/>
      <c r="AC19" s="1894"/>
      <c r="AD19" s="1894"/>
      <c r="AE19" s="1893"/>
      <c r="AF19" s="1895"/>
      <c r="AG19" s="1894"/>
      <c r="AH19" s="1894"/>
      <c r="AI19" s="1894"/>
      <c r="AJ19" s="1893"/>
      <c r="AK19" s="1907"/>
      <c r="AL19" s="1911">
        <f t="shared" si="0"/>
        <v>0</v>
      </c>
      <c r="AM19" s="1911">
        <f t="shared" si="1"/>
        <v>0</v>
      </c>
    </row>
    <row r="20" spans="1:39" ht="44.25" customHeight="1">
      <c r="A20" s="1809">
        <v>16</v>
      </c>
      <c r="B20" s="2293" t="s">
        <v>1544</v>
      </c>
      <c r="C20" s="2294" t="s">
        <v>1038</v>
      </c>
      <c r="D20" s="2294" t="s">
        <v>1038</v>
      </c>
      <c r="E20" s="1886" t="s">
        <v>1565</v>
      </c>
      <c r="F20" s="1886" t="s">
        <v>10</v>
      </c>
      <c r="G20" s="1895"/>
      <c r="H20" s="1894"/>
      <c r="I20" s="1894"/>
      <c r="J20" s="1894"/>
      <c r="K20" s="1893"/>
      <c r="L20" s="1895"/>
      <c r="M20" s="1894"/>
      <c r="N20" s="1894"/>
      <c r="O20" s="1894"/>
      <c r="P20" s="1893"/>
      <c r="Q20" s="1895"/>
      <c r="R20" s="1894"/>
      <c r="S20" s="1894"/>
      <c r="T20" s="1894"/>
      <c r="U20" s="1893"/>
      <c r="V20" s="1895"/>
      <c r="W20" s="1894"/>
      <c r="X20" s="1894"/>
      <c r="Y20" s="1894"/>
      <c r="Z20" s="1893"/>
      <c r="AA20" s="1895"/>
      <c r="AB20" s="1894"/>
      <c r="AC20" s="1894"/>
      <c r="AD20" s="1894"/>
      <c r="AE20" s="1893"/>
      <c r="AF20" s="1895"/>
      <c r="AG20" s="1894"/>
      <c r="AH20" s="1894"/>
      <c r="AI20" s="1894"/>
      <c r="AJ20" s="1893"/>
      <c r="AK20" s="1907"/>
      <c r="AL20" s="1911">
        <f t="shared" si="0"/>
        <v>0</v>
      </c>
      <c r="AM20" s="1911">
        <f t="shared" si="1"/>
        <v>0</v>
      </c>
    </row>
    <row r="21" spans="1:39" s="19" customFormat="1" ht="44.25" customHeight="1">
      <c r="A21" s="1809">
        <v>17</v>
      </c>
      <c r="B21" s="2272" t="s">
        <v>1543</v>
      </c>
      <c r="C21" s="2273"/>
      <c r="D21" s="2273"/>
      <c r="E21" s="1886" t="s">
        <v>3</v>
      </c>
      <c r="F21" s="1886" t="s">
        <v>10</v>
      </c>
      <c r="G21" s="1895"/>
      <c r="H21" s="1894"/>
      <c r="I21" s="1894"/>
      <c r="J21" s="1894"/>
      <c r="K21" s="1893"/>
      <c r="L21" s="1895"/>
      <c r="M21" s="1894"/>
      <c r="N21" s="1894"/>
      <c r="O21" s="1894"/>
      <c r="P21" s="1893"/>
      <c r="Q21" s="1895"/>
      <c r="R21" s="1894"/>
      <c r="S21" s="1894"/>
      <c r="T21" s="1894"/>
      <c r="U21" s="1893"/>
      <c r="V21" s="1895"/>
      <c r="W21" s="1894"/>
      <c r="X21" s="1894"/>
      <c r="Y21" s="1894"/>
      <c r="Z21" s="1893"/>
      <c r="AA21" s="1895"/>
      <c r="AB21" s="1894"/>
      <c r="AC21" s="1894"/>
      <c r="AD21" s="1894"/>
      <c r="AE21" s="1893"/>
      <c r="AF21" s="1895"/>
      <c r="AG21" s="1894"/>
      <c r="AH21" s="1894"/>
      <c r="AI21" s="1894"/>
      <c r="AJ21" s="1893"/>
      <c r="AK21" s="1907"/>
      <c r="AL21" s="1911">
        <f t="shared" si="0"/>
        <v>0</v>
      </c>
      <c r="AM21" s="1911">
        <f t="shared" si="1"/>
        <v>0</v>
      </c>
    </row>
    <row r="22" spans="1:39" s="19" customFormat="1" ht="44.25" customHeight="1">
      <c r="A22" s="1809">
        <v>19</v>
      </c>
      <c r="B22" s="2419" t="s">
        <v>1542</v>
      </c>
      <c r="C22" s="2420"/>
      <c r="D22" s="2420"/>
      <c r="E22" s="1886" t="s">
        <v>3</v>
      </c>
      <c r="F22" s="1886" t="s">
        <v>10</v>
      </c>
      <c r="G22" s="1895"/>
      <c r="H22" s="1894"/>
      <c r="I22" s="1894"/>
      <c r="J22" s="1894"/>
      <c r="K22" s="1893"/>
      <c r="L22" s="1895"/>
      <c r="M22" s="1894"/>
      <c r="N22" s="1894"/>
      <c r="O22" s="1894"/>
      <c r="P22" s="1893"/>
      <c r="Q22" s="1895"/>
      <c r="R22" s="1894"/>
      <c r="S22" s="1894"/>
      <c r="T22" s="1894"/>
      <c r="U22" s="1893"/>
      <c r="V22" s="1895"/>
      <c r="W22" s="1894"/>
      <c r="X22" s="1894"/>
      <c r="Y22" s="1894"/>
      <c r="Z22" s="1893"/>
      <c r="AA22" s="1895"/>
      <c r="AB22" s="1894"/>
      <c r="AC22" s="1894"/>
      <c r="AD22" s="1894"/>
      <c r="AE22" s="1893"/>
      <c r="AF22" s="1895"/>
      <c r="AG22" s="1894"/>
      <c r="AH22" s="1894"/>
      <c r="AI22" s="1894"/>
      <c r="AJ22" s="1893"/>
      <c r="AK22" s="1907"/>
      <c r="AL22" s="1911">
        <f t="shared" si="0"/>
        <v>0</v>
      </c>
      <c r="AM22" s="1911">
        <f t="shared" si="1"/>
        <v>0</v>
      </c>
    </row>
    <row r="23" spans="1:39" ht="44.25" customHeight="1">
      <c r="A23" s="1809">
        <v>21</v>
      </c>
      <c r="B23" s="2303" t="s">
        <v>1541</v>
      </c>
      <c r="C23" s="2304"/>
      <c r="D23" s="1888" t="s">
        <v>124</v>
      </c>
      <c r="E23" s="1885" t="s">
        <v>4</v>
      </c>
      <c r="F23" s="1886" t="s">
        <v>1403</v>
      </c>
      <c r="G23" s="1892"/>
      <c r="H23" s="1891"/>
      <c r="I23" s="1891"/>
      <c r="J23" s="1891"/>
      <c r="K23" s="1890"/>
      <c r="L23" s="1892"/>
      <c r="M23" s="1891"/>
      <c r="N23" s="1891"/>
      <c r="O23" s="1891"/>
      <c r="P23" s="1890"/>
      <c r="Q23" s="1892"/>
      <c r="R23" s="1891"/>
      <c r="S23" s="1891"/>
      <c r="T23" s="1891"/>
      <c r="U23" s="1890"/>
      <c r="V23" s="1892"/>
      <c r="W23" s="1891"/>
      <c r="X23" s="1891"/>
      <c r="Y23" s="1891"/>
      <c r="Z23" s="1890"/>
      <c r="AA23" s="1892"/>
      <c r="AB23" s="1891"/>
      <c r="AC23" s="1891"/>
      <c r="AD23" s="1891"/>
      <c r="AE23" s="1890"/>
      <c r="AF23" s="1892"/>
      <c r="AG23" s="1891"/>
      <c r="AH23" s="1891"/>
      <c r="AI23" s="1891"/>
      <c r="AJ23" s="1890"/>
      <c r="AK23" s="1908"/>
      <c r="AL23" s="1911">
        <f t="shared" si="0"/>
        <v>0</v>
      </c>
      <c r="AM23" s="1911">
        <f t="shared" si="1"/>
        <v>0</v>
      </c>
    </row>
    <row r="24" spans="1:39" ht="44.25" customHeight="1">
      <c r="A24" s="1809">
        <v>22</v>
      </c>
      <c r="B24" s="2305"/>
      <c r="C24" s="2306"/>
      <c r="D24" s="1888" t="s">
        <v>108</v>
      </c>
      <c r="E24" s="1885" t="s">
        <v>4</v>
      </c>
      <c r="F24" s="1886" t="s">
        <v>1403</v>
      </c>
      <c r="G24" s="1892"/>
      <c r="H24" s="1891"/>
      <c r="I24" s="1891"/>
      <c r="J24" s="1891"/>
      <c r="K24" s="1890"/>
      <c r="L24" s="1892"/>
      <c r="M24" s="1891"/>
      <c r="N24" s="1891"/>
      <c r="O24" s="1891"/>
      <c r="P24" s="1890"/>
      <c r="Q24" s="1892"/>
      <c r="R24" s="1891"/>
      <c r="S24" s="1891"/>
      <c r="T24" s="1891"/>
      <c r="U24" s="1890"/>
      <c r="V24" s="1892"/>
      <c r="W24" s="1891"/>
      <c r="X24" s="1891"/>
      <c r="Y24" s="1891"/>
      <c r="Z24" s="1890"/>
      <c r="AA24" s="1892"/>
      <c r="AB24" s="1891"/>
      <c r="AC24" s="1891"/>
      <c r="AD24" s="1891"/>
      <c r="AE24" s="1890"/>
      <c r="AF24" s="1892"/>
      <c r="AG24" s="1891"/>
      <c r="AH24" s="1891"/>
      <c r="AI24" s="1891"/>
      <c r="AJ24" s="1890"/>
      <c r="AK24" s="1908"/>
      <c r="AL24" s="1911">
        <f t="shared" si="0"/>
        <v>0</v>
      </c>
      <c r="AM24" s="1911">
        <f t="shared" si="1"/>
        <v>0</v>
      </c>
    </row>
    <row r="25" spans="1:39" ht="44.25" customHeight="1">
      <c r="A25" s="1809">
        <v>23</v>
      </c>
      <c r="B25" s="2291" t="s">
        <v>1540</v>
      </c>
      <c r="C25" s="2312"/>
      <c r="D25" s="2292"/>
      <c r="E25" s="1886" t="s">
        <v>3</v>
      </c>
      <c r="F25" s="1886" t="s">
        <v>10</v>
      </c>
      <c r="G25" s="1892"/>
      <c r="H25" s="1891"/>
      <c r="I25" s="1891"/>
      <c r="J25" s="1891"/>
      <c r="K25" s="1890"/>
      <c r="L25" s="1892"/>
      <c r="M25" s="1891"/>
      <c r="N25" s="1891"/>
      <c r="O25" s="1891"/>
      <c r="P25" s="1890"/>
      <c r="Q25" s="1892"/>
      <c r="R25" s="1891"/>
      <c r="S25" s="1891"/>
      <c r="T25" s="1891"/>
      <c r="U25" s="1890"/>
      <c r="V25" s="1892"/>
      <c r="W25" s="1891"/>
      <c r="X25" s="1891"/>
      <c r="Y25" s="1891"/>
      <c r="Z25" s="1890"/>
      <c r="AA25" s="1892"/>
      <c r="AB25" s="1891"/>
      <c r="AC25" s="1891"/>
      <c r="AD25" s="1891"/>
      <c r="AE25" s="1890"/>
      <c r="AF25" s="1892"/>
      <c r="AG25" s="1891"/>
      <c r="AH25" s="1891"/>
      <c r="AI25" s="1891"/>
      <c r="AJ25" s="1890"/>
      <c r="AK25" s="1908"/>
      <c r="AL25" s="1911">
        <f t="shared" si="0"/>
        <v>0</v>
      </c>
      <c r="AM25" s="1911">
        <f t="shared" si="1"/>
        <v>0</v>
      </c>
    </row>
    <row r="26" spans="1:39" ht="36" customHeight="1">
      <c r="A26" s="2421" t="s">
        <v>1539</v>
      </c>
      <c r="B26" s="2418"/>
      <c r="C26" s="2418"/>
      <c r="D26" s="2418"/>
      <c r="E26" s="2418"/>
      <c r="F26" s="2418"/>
      <c r="G26" s="2418"/>
      <c r="H26" s="2418"/>
      <c r="I26" s="2418"/>
      <c r="J26" s="2418"/>
      <c r="K26" s="2418"/>
      <c r="L26" s="2418"/>
      <c r="M26" s="2418"/>
      <c r="N26" s="2418"/>
      <c r="O26" s="2418"/>
      <c r="P26" s="2418"/>
      <c r="Q26" s="2418"/>
      <c r="R26" s="2418"/>
      <c r="S26" s="2418"/>
      <c r="T26" s="2418"/>
      <c r="U26" s="2418"/>
      <c r="V26" s="2418"/>
      <c r="W26" s="2418"/>
      <c r="X26" s="2418"/>
      <c r="Y26" s="2418"/>
      <c r="Z26" s="2418"/>
      <c r="AA26" s="2418"/>
      <c r="AB26" s="2418"/>
      <c r="AC26" s="2418"/>
      <c r="AD26" s="2418"/>
      <c r="AE26" s="2418"/>
      <c r="AF26" s="2418"/>
      <c r="AG26" s="2418"/>
      <c r="AH26" s="2418"/>
      <c r="AI26" s="2418"/>
      <c r="AJ26" s="2418"/>
      <c r="AK26" s="1904"/>
    </row>
  </sheetData>
  <sheetProtection selectLockedCells="1"/>
  <mergeCells count="30">
    <mergeCell ref="B21:D21"/>
    <mergeCell ref="B6:C7"/>
    <mergeCell ref="B8:C9"/>
    <mergeCell ref="B10:C11"/>
    <mergeCell ref="B12:C13"/>
    <mergeCell ref="B14:B15"/>
    <mergeCell ref="C14:D14"/>
    <mergeCell ref="C15:D15"/>
    <mergeCell ref="B16:D16"/>
    <mergeCell ref="B17:D17"/>
    <mergeCell ref="B18:D18"/>
    <mergeCell ref="B19:D19"/>
    <mergeCell ref="B20:D20"/>
    <mergeCell ref="V26:AJ26"/>
    <mergeCell ref="B22:D22"/>
    <mergeCell ref="B23:C24"/>
    <mergeCell ref="B25:D25"/>
    <mergeCell ref="A26:U26"/>
    <mergeCell ref="A4:A5"/>
    <mergeCell ref="E4:E5"/>
    <mergeCell ref="G4:K4"/>
    <mergeCell ref="L4:P4"/>
    <mergeCell ref="B5:C5"/>
    <mergeCell ref="D4:D5"/>
    <mergeCell ref="F4:F5"/>
    <mergeCell ref="V4:Z4"/>
    <mergeCell ref="AA4:AE4"/>
    <mergeCell ref="AF4:AJ4"/>
    <mergeCell ref="Q4:U4"/>
    <mergeCell ref="B3:E3"/>
  </mergeCells>
  <pageMargins left="0.3" right="0" top="0" bottom="0" header="0" footer="0"/>
  <pageSetup paperSize="9" scale="55" orientation="landscape" verticalDpi="300" r:id="rId1"/>
  <headerFooter scaleWithDoc="0" alignWithMargins="0"/>
  <drawing r:id="rId2"/>
</worksheet>
</file>

<file path=xl/worksheets/sheet30.xml><?xml version="1.0" encoding="utf-8"?>
<worksheet xmlns="http://schemas.openxmlformats.org/spreadsheetml/2006/main" xmlns:r="http://schemas.openxmlformats.org/officeDocument/2006/relationships">
  <sheetPr codeName="Sheet18">
    <tabColor rgb="FF7030A0"/>
  </sheetPr>
  <dimension ref="A1:O33"/>
  <sheetViews>
    <sheetView zoomScale="70" zoomScaleNormal="70" workbookViewId="0"/>
  </sheetViews>
  <sheetFormatPr defaultRowHeight="28.5" customHeight="1"/>
  <cols>
    <col min="1" max="1" width="6.375" style="371" customWidth="1"/>
    <col min="2" max="2" width="15.375" style="371" customWidth="1"/>
    <col min="3" max="3" width="16.5" style="371" customWidth="1"/>
    <col min="4" max="4" width="15.375" style="371" customWidth="1"/>
    <col min="5" max="5" width="12.125" style="371" customWidth="1"/>
    <col min="6" max="6" width="15.375" style="371" customWidth="1"/>
    <col min="7" max="7" width="4.875" style="371" customWidth="1"/>
    <col min="8" max="8" width="6.75" style="422" customWidth="1"/>
    <col min="9" max="9" width="14.625" style="422" customWidth="1"/>
    <col min="10" max="10" width="14.125" style="422" customWidth="1"/>
    <col min="11" max="11" width="16.5" style="422" customWidth="1"/>
    <col min="12" max="12" width="11.875" style="422" customWidth="1"/>
    <col min="13" max="13" width="9.875" style="422" customWidth="1"/>
    <col min="14" max="16384" width="9" style="371"/>
  </cols>
  <sheetData>
    <row r="1" spans="1:14" ht="28.5" customHeight="1">
      <c r="A1" s="370" t="s">
        <v>393</v>
      </c>
      <c r="H1" s="372" t="s">
        <v>394</v>
      </c>
      <c r="I1" s="373"/>
      <c r="J1" s="373"/>
      <c r="K1" s="373"/>
      <c r="L1" s="373"/>
      <c r="M1" s="373"/>
      <c r="N1" s="373"/>
    </row>
    <row r="2" spans="1:14" ht="28.5" customHeight="1">
      <c r="A2" s="374"/>
      <c r="B2" s="375" t="s">
        <v>395</v>
      </c>
      <c r="C2" s="376"/>
      <c r="D2" s="376"/>
      <c r="E2" s="376"/>
      <c r="F2" s="376"/>
      <c r="H2" s="373"/>
      <c r="I2" s="377"/>
      <c r="J2" s="373"/>
      <c r="K2" s="373"/>
      <c r="L2" s="373"/>
      <c r="M2" s="373"/>
      <c r="N2" s="373"/>
    </row>
    <row r="3" spans="1:14" s="381" customFormat="1" ht="33" customHeight="1">
      <c r="A3" s="378" t="s">
        <v>396</v>
      </c>
      <c r="B3" s="379" t="s">
        <v>397</v>
      </c>
      <c r="C3" s="379" t="s">
        <v>398</v>
      </c>
      <c r="D3" s="379" t="s">
        <v>399</v>
      </c>
      <c r="E3" s="379" t="s">
        <v>400</v>
      </c>
      <c r="F3" s="380" t="s">
        <v>3</v>
      </c>
      <c r="H3" s="382" t="s">
        <v>396</v>
      </c>
      <c r="I3" s="383" t="s">
        <v>397</v>
      </c>
      <c r="J3" s="383" t="s">
        <v>398</v>
      </c>
      <c r="K3" s="383" t="s">
        <v>399</v>
      </c>
      <c r="L3" s="383" t="s">
        <v>400</v>
      </c>
      <c r="M3" s="50" t="s">
        <v>3</v>
      </c>
      <c r="N3" s="384"/>
    </row>
    <row r="4" spans="1:14" ht="25.5" customHeight="1">
      <c r="A4" s="385">
        <v>1</v>
      </c>
      <c r="B4" s="386"/>
      <c r="C4" s="386"/>
      <c r="D4" s="386"/>
      <c r="E4" s="385">
        <f>D4-B4</f>
        <v>0</v>
      </c>
      <c r="F4" s="387" t="e">
        <f>E4/C4</f>
        <v>#DIV/0!</v>
      </c>
      <c r="H4" s="388">
        <v>1</v>
      </c>
      <c r="I4" s="389"/>
      <c r="J4" s="389"/>
      <c r="K4" s="389"/>
      <c r="L4" s="388">
        <f>K4-I4</f>
        <v>0</v>
      </c>
      <c r="M4" s="390" t="e">
        <f>L4/J4</f>
        <v>#DIV/0!</v>
      </c>
      <c r="N4" s="373"/>
    </row>
    <row r="5" spans="1:14" ht="25.5" customHeight="1">
      <c r="A5" s="385">
        <v>2</v>
      </c>
      <c r="B5" s="386"/>
      <c r="C5" s="386"/>
      <c r="D5" s="386"/>
      <c r="E5" s="385">
        <f>D5-B5</f>
        <v>0</v>
      </c>
      <c r="F5" s="387"/>
      <c r="H5" s="388">
        <v>2</v>
      </c>
      <c r="I5" s="389"/>
      <c r="J5" s="389"/>
      <c r="K5" s="389"/>
      <c r="L5" s="388">
        <f>K5-I5</f>
        <v>0</v>
      </c>
      <c r="M5" s="390"/>
      <c r="N5" s="373"/>
    </row>
    <row r="6" spans="1:14" ht="28.5" customHeight="1">
      <c r="A6" s="391"/>
      <c r="B6" s="391"/>
      <c r="C6" s="391"/>
      <c r="D6" s="391"/>
      <c r="E6" s="391"/>
      <c r="F6" s="392" t="e">
        <f>AVERAGE(F4:F5)</f>
        <v>#DIV/0!</v>
      </c>
      <c r="H6" s="393"/>
      <c r="I6" s="393"/>
      <c r="J6" s="393"/>
      <c r="K6" s="393"/>
      <c r="L6" s="393"/>
      <c r="M6" s="394" t="e">
        <f>AVERAGE(M4:M5)</f>
        <v>#DIV/0!</v>
      </c>
      <c r="N6" s="373"/>
    </row>
    <row r="7" spans="1:14" s="398" customFormat="1" ht="28.5" customHeight="1">
      <c r="A7" s="395"/>
      <c r="B7" s="396" t="s">
        <v>401</v>
      </c>
      <c r="C7" s="395"/>
      <c r="D7" s="395"/>
      <c r="E7" s="395"/>
      <c r="F7" s="397"/>
      <c r="H7" s="372" t="s">
        <v>402</v>
      </c>
      <c r="I7" s="377"/>
      <c r="J7" s="399"/>
      <c r="K7" s="399"/>
      <c r="L7" s="399"/>
      <c r="M7" s="400"/>
      <c r="N7" s="401"/>
    </row>
    <row r="8" spans="1:14" ht="36" customHeight="1">
      <c r="A8" s="402" t="s">
        <v>396</v>
      </c>
      <c r="B8" s="403" t="s">
        <v>397</v>
      </c>
      <c r="C8" s="403" t="s">
        <v>398</v>
      </c>
      <c r="D8" s="403" t="s">
        <v>399</v>
      </c>
      <c r="E8" s="403" t="s">
        <v>400</v>
      </c>
      <c r="F8" s="305" t="s">
        <v>3</v>
      </c>
      <c r="H8" s="382" t="s">
        <v>396</v>
      </c>
      <c r="I8" s="383" t="s">
        <v>397</v>
      </c>
      <c r="J8" s="383" t="s">
        <v>398</v>
      </c>
      <c r="K8" s="383" t="s">
        <v>399</v>
      </c>
      <c r="L8" s="383" t="s">
        <v>400</v>
      </c>
      <c r="M8" s="50" t="s">
        <v>3</v>
      </c>
      <c r="N8" s="373"/>
    </row>
    <row r="9" spans="1:14" ht="25.5" customHeight="1">
      <c r="A9" s="404">
        <v>1</v>
      </c>
      <c r="B9" s="405"/>
      <c r="C9" s="405"/>
      <c r="D9" s="405"/>
      <c r="E9" s="404">
        <f>D9-B9</f>
        <v>0</v>
      </c>
      <c r="F9" s="406" t="e">
        <f>E9/C9</f>
        <v>#DIV/0!</v>
      </c>
      <c r="H9" s="388">
        <v>1</v>
      </c>
      <c r="I9" s="389"/>
      <c r="J9" s="389"/>
      <c r="K9" s="389"/>
      <c r="L9" s="388">
        <f>K9-I9</f>
        <v>0</v>
      </c>
      <c r="M9" s="390" t="e">
        <f>L9/J9</f>
        <v>#DIV/0!</v>
      </c>
      <c r="N9" s="373"/>
    </row>
    <row r="10" spans="1:14" ht="25.5" customHeight="1">
      <c r="A10" s="404">
        <v>2</v>
      </c>
      <c r="B10" s="405"/>
      <c r="C10" s="405"/>
      <c r="D10" s="405"/>
      <c r="E10" s="404">
        <f>D10-B10</f>
        <v>0</v>
      </c>
      <c r="F10" s="406"/>
      <c r="H10" s="388">
        <v>2</v>
      </c>
      <c r="I10" s="389"/>
      <c r="J10" s="389"/>
      <c r="K10" s="389"/>
      <c r="L10" s="388">
        <f>K10-I10</f>
        <v>0</v>
      </c>
      <c r="M10" s="390"/>
      <c r="N10" s="373"/>
    </row>
    <row r="11" spans="1:14" ht="28.5" customHeight="1">
      <c r="A11" s="407"/>
      <c r="B11" s="407"/>
      <c r="C11" s="407"/>
      <c r="D11" s="407"/>
      <c r="E11" s="407"/>
      <c r="F11" s="408" t="e">
        <f>AVERAGE(F9:F10)</f>
        <v>#DIV/0!</v>
      </c>
      <c r="H11" s="393"/>
      <c r="I11" s="393"/>
      <c r="J11" s="393"/>
      <c r="K11" s="393"/>
      <c r="L11" s="393"/>
      <c r="M11" s="400" t="e">
        <f>AVERAGE(M9:M10)</f>
        <v>#DIV/0!</v>
      </c>
      <c r="N11" s="409" t="e">
        <f>IF(M11&lt;0,0,M11)</f>
        <v>#DIV/0!</v>
      </c>
    </row>
    <row r="12" spans="1:14" ht="28.5" customHeight="1">
      <c r="A12" s="370" t="s">
        <v>403</v>
      </c>
      <c r="H12" s="373"/>
      <c r="I12" s="373"/>
      <c r="J12" s="373"/>
      <c r="K12" s="373"/>
      <c r="L12" s="373"/>
      <c r="M12" s="373"/>
      <c r="N12" s="373"/>
    </row>
    <row r="13" spans="1:14" ht="28.5" customHeight="1">
      <c r="A13" s="376"/>
      <c r="B13" s="375" t="s">
        <v>404</v>
      </c>
      <c r="C13" s="376"/>
      <c r="D13" s="376"/>
      <c r="E13" s="376"/>
      <c r="F13" s="376"/>
      <c r="H13" s="371"/>
      <c r="I13" s="371"/>
      <c r="J13" s="371"/>
      <c r="K13" s="371"/>
      <c r="L13" s="371"/>
      <c r="M13" s="371"/>
    </row>
    <row r="14" spans="1:14" ht="33.75" customHeight="1">
      <c r="A14" s="378" t="s">
        <v>396</v>
      </c>
      <c r="B14" s="379" t="s">
        <v>397</v>
      </c>
      <c r="C14" s="379" t="s">
        <v>405</v>
      </c>
      <c r="D14" s="379" t="s">
        <v>399</v>
      </c>
      <c r="E14" s="379" t="s">
        <v>400</v>
      </c>
      <c r="F14" s="380" t="s">
        <v>3</v>
      </c>
      <c r="H14" s="371"/>
      <c r="I14" s="410" t="str">
        <f>'1.xi den'!G3</f>
        <v>2023/03/21</v>
      </c>
      <c r="J14" s="411"/>
      <c r="K14" s="411"/>
      <c r="L14" s="412"/>
      <c r="M14" s="371"/>
    </row>
    <row r="15" spans="1:14" ht="28.5" customHeight="1">
      <c r="A15" s="385">
        <v>1</v>
      </c>
      <c r="B15" s="386"/>
      <c r="C15" s="386"/>
      <c r="D15" s="386"/>
      <c r="E15" s="385">
        <f>D15-B15</f>
        <v>0</v>
      </c>
      <c r="F15" s="387" t="e">
        <f>E15/C15</f>
        <v>#DIV/0!</v>
      </c>
      <c r="H15" s="371"/>
      <c r="I15" s="2426" t="s">
        <v>406</v>
      </c>
      <c r="J15" s="2427"/>
      <c r="K15" s="413" t="s">
        <v>407</v>
      </c>
      <c r="L15" s="414" t="str">
        <f>IFERROR(IF(F6&lt;0,"",F6),"")</f>
        <v/>
      </c>
      <c r="M15" s="371"/>
    </row>
    <row r="16" spans="1:14" ht="28.5" customHeight="1">
      <c r="A16" s="385">
        <v>2</v>
      </c>
      <c r="B16" s="386"/>
      <c r="C16" s="386"/>
      <c r="D16" s="386"/>
      <c r="E16" s="385">
        <f>D16-B16</f>
        <v>0</v>
      </c>
      <c r="F16" s="387" t="e">
        <f>E16/C16</f>
        <v>#DIV/0!</v>
      </c>
      <c r="H16" s="371"/>
      <c r="I16" s="2426" t="s">
        <v>408</v>
      </c>
      <c r="J16" s="2427"/>
      <c r="K16" s="413" t="s">
        <v>409</v>
      </c>
      <c r="L16" s="414" t="str">
        <f>IFERROR(IF(F19&lt;0,"",F19),"")</f>
        <v/>
      </c>
      <c r="M16" s="371"/>
    </row>
    <row r="17" spans="1:15" ht="28.5" hidden="1" customHeight="1">
      <c r="A17" s="385">
        <v>3</v>
      </c>
      <c r="B17" s="386"/>
      <c r="C17" s="386"/>
      <c r="D17" s="386"/>
      <c r="E17" s="385">
        <f>D17-B17</f>
        <v>0</v>
      </c>
      <c r="F17" s="387"/>
      <c r="H17" s="371"/>
      <c r="I17" s="2428" t="s">
        <v>410</v>
      </c>
      <c r="J17" s="2429"/>
      <c r="K17" s="415" t="s">
        <v>407</v>
      </c>
      <c r="L17" s="416" t="str">
        <f>IFERROR(IF(F11&lt;0,"",F11),"")</f>
        <v/>
      </c>
      <c r="M17" s="371"/>
    </row>
    <row r="18" spans="1:15" ht="28.5" hidden="1" customHeight="1">
      <c r="A18" s="417"/>
      <c r="B18" s="417"/>
      <c r="C18" s="417"/>
      <c r="D18" s="417"/>
      <c r="E18" s="417"/>
      <c r="F18" s="418" t="e">
        <f>AVERAGE(F15:F17)/0.8095</f>
        <v>#DIV/0!</v>
      </c>
      <c r="H18" s="371"/>
      <c r="I18" s="2428" t="s">
        <v>411</v>
      </c>
      <c r="J18" s="2429"/>
      <c r="K18" s="415" t="s">
        <v>409</v>
      </c>
      <c r="L18" s="416" t="str">
        <f>IFERROR(IF(F26&lt;0,"",F26),"")</f>
        <v/>
      </c>
      <c r="M18" s="371"/>
    </row>
    <row r="19" spans="1:15" ht="28.5" customHeight="1">
      <c r="A19" s="391"/>
      <c r="B19" s="419"/>
      <c r="C19" s="419"/>
      <c r="D19" s="419"/>
      <c r="E19" s="391"/>
      <c r="F19" s="392" t="e">
        <f>F18/(F6-F18)</f>
        <v>#DIV/0!</v>
      </c>
      <c r="H19" s="371"/>
      <c r="I19" s="2424" t="s">
        <v>412</v>
      </c>
      <c r="J19" s="2425"/>
      <c r="K19" s="420" t="s">
        <v>413</v>
      </c>
      <c r="L19" s="421" t="str">
        <f>IFERROR(M6,"")</f>
        <v/>
      </c>
      <c r="M19" s="371"/>
    </row>
    <row r="20" spans="1:15" ht="28.5" customHeight="1">
      <c r="A20" s="422"/>
      <c r="B20" s="423" t="s">
        <v>414</v>
      </c>
      <c r="C20" s="424"/>
      <c r="D20" s="424"/>
      <c r="E20" s="422"/>
      <c r="F20" s="422"/>
      <c r="I20" s="2424" t="s">
        <v>415</v>
      </c>
      <c r="J20" s="2425"/>
      <c r="K20" s="420" t="s">
        <v>416</v>
      </c>
      <c r="L20" s="421" t="str">
        <f>IFERROR(N11,"")</f>
        <v/>
      </c>
    </row>
    <row r="21" spans="1:15" ht="36.75" customHeight="1">
      <c r="A21" s="402" t="s">
        <v>396</v>
      </c>
      <c r="B21" s="403" t="s">
        <v>397</v>
      </c>
      <c r="C21" s="403" t="s">
        <v>405</v>
      </c>
      <c r="D21" s="425" t="s">
        <v>399</v>
      </c>
      <c r="E21" s="403" t="s">
        <v>400</v>
      </c>
      <c r="F21" s="305" t="s">
        <v>3</v>
      </c>
    </row>
    <row r="22" spans="1:15" ht="24" customHeight="1">
      <c r="A22" s="404">
        <v>1</v>
      </c>
      <c r="B22" s="405"/>
      <c r="C22" s="405"/>
      <c r="D22" s="405"/>
      <c r="E22" s="404">
        <f>D22-B22</f>
        <v>0</v>
      </c>
      <c r="F22" s="406" t="e">
        <f>E22/C22</f>
        <v>#DIV/0!</v>
      </c>
    </row>
    <row r="23" spans="1:15" ht="24" customHeight="1">
      <c r="A23" s="404">
        <v>2</v>
      </c>
      <c r="B23" s="405"/>
      <c r="C23" s="405"/>
      <c r="D23" s="405"/>
      <c r="E23" s="404">
        <f>D23-B23</f>
        <v>0</v>
      </c>
      <c r="F23" s="406" t="e">
        <f>E23/C23</f>
        <v>#DIV/0!</v>
      </c>
    </row>
    <row r="24" spans="1:15" ht="24" customHeight="1">
      <c r="A24" s="404">
        <v>3</v>
      </c>
      <c r="B24" s="405"/>
      <c r="C24" s="405"/>
      <c r="D24" s="405"/>
      <c r="E24" s="404">
        <f>D24-B24</f>
        <v>0</v>
      </c>
      <c r="F24" s="406"/>
    </row>
    <row r="25" spans="1:15" ht="26.25" customHeight="1">
      <c r="A25" s="426"/>
      <c r="B25" s="426"/>
      <c r="C25" s="426"/>
      <c r="D25" s="426"/>
      <c r="E25" s="426"/>
      <c r="F25" s="427" t="e">
        <f>AVERAGE(F22:F24)/0.8095</f>
        <v>#DIV/0!</v>
      </c>
    </row>
    <row r="26" spans="1:15" ht="28.5" customHeight="1">
      <c r="A26" s="407"/>
      <c r="B26" s="407"/>
      <c r="C26" s="407"/>
      <c r="D26" s="407"/>
      <c r="E26" s="407"/>
      <c r="F26" s="408" t="e">
        <f>F25/(F11-F25)</f>
        <v>#DIV/0!</v>
      </c>
      <c r="O26" s="407"/>
    </row>
    <row r="27" spans="1:15" ht="28.5" customHeight="1">
      <c r="A27" s="428"/>
    </row>
    <row r="31" spans="1:15" ht="28.5" customHeight="1">
      <c r="G31" s="422"/>
    </row>
    <row r="32" spans="1:15" ht="28.5" customHeight="1">
      <c r="G32" s="422"/>
    </row>
    <row r="33" spans="7:7" ht="28.5" customHeight="1">
      <c r="G33" s="422"/>
    </row>
  </sheetData>
  <sheetProtection sheet="1" objects="1" scenarios="1" formatCells="0" formatColumns="0" formatRows="0" insertColumns="0" insertRows="0" insertHyperlinks="0" deleteColumns="0" deleteRows="0" selectLockedCells="1" sort="0" autoFilter="0" pivotTables="0"/>
  <mergeCells count="6">
    <mergeCell ref="I20:J20"/>
    <mergeCell ref="I15:J15"/>
    <mergeCell ref="I16:J16"/>
    <mergeCell ref="I17:J17"/>
    <mergeCell ref="I18:J18"/>
    <mergeCell ref="I19:J19"/>
  </mergeCells>
  <phoneticPr fontId="6" type="noConversion"/>
  <pageMargins left="0.7" right="0.7" top="0.75" bottom="0.75" header="0.3" footer="0.3"/>
  <pageSetup paperSize="9" scale="85" orientation="landscape" verticalDpi="0" r:id="rId1"/>
  <drawing r:id="rId2"/>
</worksheet>
</file>

<file path=xl/worksheets/sheet31.xml><?xml version="1.0" encoding="utf-8"?>
<worksheet xmlns="http://schemas.openxmlformats.org/spreadsheetml/2006/main" xmlns:r="http://schemas.openxmlformats.org/officeDocument/2006/relationships">
  <sheetPr codeName="Sheet19">
    <tabColor rgb="FF7030A0"/>
  </sheetPr>
  <dimension ref="A1:H62"/>
  <sheetViews>
    <sheetView topLeftCell="A8" workbookViewId="0">
      <selection activeCell="C16" sqref="C16:C22"/>
    </sheetView>
  </sheetViews>
  <sheetFormatPr defaultRowHeight="15" customHeight="1"/>
  <cols>
    <col min="1" max="1" width="31.875" style="1" customWidth="1"/>
    <col min="2" max="2" width="3.625" style="1" customWidth="1"/>
    <col min="3" max="3" width="6.25" style="1222" customWidth="1"/>
    <col min="4" max="8" width="6.25" style="1" customWidth="1"/>
    <col min="9" max="16384" width="9" style="1217"/>
  </cols>
  <sheetData>
    <row r="1" spans="1:8" ht="18" customHeight="1">
      <c r="A1" s="1210" t="s">
        <v>417</v>
      </c>
      <c r="B1" s="1210"/>
      <c r="C1" s="1215" t="s">
        <v>418</v>
      </c>
      <c r="D1" s="1216" t="s">
        <v>419</v>
      </c>
      <c r="E1" s="1216" t="s">
        <v>420</v>
      </c>
      <c r="F1" s="1216" t="s">
        <v>421</v>
      </c>
      <c r="G1" s="1216" t="s">
        <v>422</v>
      </c>
      <c r="H1" s="1216" t="s">
        <v>423</v>
      </c>
    </row>
    <row r="2" spans="1:8" ht="15" customHeight="1">
      <c r="A2" s="2430" t="s">
        <v>1096</v>
      </c>
      <c r="B2" s="2431"/>
      <c r="C2" s="429"/>
      <c r="D2" s="429"/>
      <c r="E2" s="429"/>
      <c r="F2" s="429"/>
      <c r="G2" s="429"/>
      <c r="H2" s="429"/>
    </row>
    <row r="3" spans="1:8" ht="15" hidden="1" customHeight="1">
      <c r="A3" s="2430" t="s">
        <v>424</v>
      </c>
      <c r="B3" s="2431"/>
      <c r="C3" s="430"/>
      <c r="D3" s="430"/>
      <c r="E3" s="430"/>
      <c r="F3" s="430"/>
      <c r="G3" s="430"/>
      <c r="H3" s="430"/>
    </row>
    <row r="4" spans="1:8" ht="15" customHeight="1">
      <c r="A4" s="431" t="s">
        <v>425</v>
      </c>
      <c r="B4" s="2436">
        <v>3</v>
      </c>
      <c r="C4" s="430"/>
      <c r="D4" s="430"/>
      <c r="E4" s="430"/>
      <c r="F4" s="430"/>
      <c r="G4" s="430"/>
      <c r="H4" s="430"/>
    </row>
    <row r="5" spans="1:8" ht="15" customHeight="1">
      <c r="A5" s="432" t="s">
        <v>426</v>
      </c>
      <c r="B5" s="2437"/>
      <c r="C5" s="430"/>
      <c r="D5" s="430"/>
      <c r="E5" s="430"/>
      <c r="F5" s="430"/>
      <c r="G5" s="430"/>
      <c r="H5" s="430"/>
    </row>
    <row r="6" spans="1:8" ht="15" customHeight="1">
      <c r="A6" s="433" t="s">
        <v>427</v>
      </c>
      <c r="B6" s="2438"/>
      <c r="C6" s="430"/>
      <c r="D6" s="430"/>
      <c r="E6" s="430"/>
      <c r="F6" s="430"/>
      <c r="G6" s="430"/>
      <c r="H6" s="430"/>
    </row>
    <row r="7" spans="1:8" ht="15" customHeight="1">
      <c r="A7" s="434" t="s">
        <v>425</v>
      </c>
      <c r="B7" s="2436">
        <v>4</v>
      </c>
      <c r="C7" s="430"/>
      <c r="D7" s="430"/>
      <c r="E7" s="430"/>
      <c r="F7" s="430"/>
      <c r="G7" s="430"/>
      <c r="H7" s="430"/>
    </row>
    <row r="8" spans="1:8" ht="15" customHeight="1">
      <c r="A8" s="435" t="s">
        <v>426</v>
      </c>
      <c r="B8" s="2437"/>
      <c r="C8" s="430"/>
      <c r="D8" s="430"/>
      <c r="E8" s="430"/>
      <c r="F8" s="430"/>
      <c r="G8" s="430"/>
      <c r="H8" s="430"/>
    </row>
    <row r="9" spans="1:8" ht="15" customHeight="1">
      <c r="A9" s="436" t="s">
        <v>427</v>
      </c>
      <c r="B9" s="2438"/>
      <c r="C9" s="430"/>
      <c r="D9" s="430"/>
      <c r="E9" s="430"/>
      <c r="F9" s="430"/>
      <c r="G9" s="430"/>
      <c r="H9" s="430"/>
    </row>
    <row r="10" spans="1:8" ht="15" customHeight="1">
      <c r="A10" s="2434" t="s">
        <v>428</v>
      </c>
      <c r="B10" s="2435"/>
      <c r="C10" s="430"/>
      <c r="D10" s="430"/>
      <c r="E10" s="430"/>
      <c r="F10" s="430"/>
      <c r="G10" s="430"/>
      <c r="H10" s="430"/>
    </row>
    <row r="11" spans="1:8" ht="15" customHeight="1">
      <c r="A11" s="2432" t="s">
        <v>1097</v>
      </c>
      <c r="B11" s="2433"/>
      <c r="C11" s="430"/>
      <c r="D11" s="430"/>
      <c r="E11" s="430"/>
      <c r="F11" s="430"/>
      <c r="G11" s="430"/>
      <c r="H11" s="430"/>
    </row>
    <row r="12" spans="1:8" ht="15" customHeight="1">
      <c r="A12" s="2439" t="s">
        <v>429</v>
      </c>
      <c r="B12" s="2439"/>
      <c r="C12" s="437">
        <f>B4</f>
        <v>3</v>
      </c>
      <c r="D12" s="437">
        <f>B4</f>
        <v>3</v>
      </c>
      <c r="E12" s="437">
        <f>B4</f>
        <v>3</v>
      </c>
      <c r="F12" s="438">
        <f>B4</f>
        <v>3</v>
      </c>
      <c r="G12" s="438">
        <f>B4</f>
        <v>3</v>
      </c>
      <c r="H12" s="438">
        <f>B4</f>
        <v>3</v>
      </c>
    </row>
    <row r="13" spans="1:8" ht="15" customHeight="1">
      <c r="A13" s="2439" t="s">
        <v>429</v>
      </c>
      <c r="B13" s="2439"/>
      <c r="C13" s="437">
        <f>B7</f>
        <v>4</v>
      </c>
      <c r="D13" s="437">
        <f>B7</f>
        <v>4</v>
      </c>
      <c r="E13" s="437">
        <f>B7</f>
        <v>4</v>
      </c>
      <c r="F13" s="438">
        <f>B7</f>
        <v>4</v>
      </c>
      <c r="G13" s="438">
        <f>B7</f>
        <v>4</v>
      </c>
      <c r="H13" s="438">
        <f>B7</f>
        <v>4</v>
      </c>
    </row>
    <row r="14" spans="1:8" ht="15" customHeight="1">
      <c r="A14" s="439"/>
      <c r="B14" s="439"/>
      <c r="C14" s="440"/>
      <c r="D14" s="441"/>
      <c r="E14" s="441"/>
      <c r="F14" s="441"/>
      <c r="G14" s="441"/>
      <c r="H14" s="441"/>
    </row>
    <row r="15" spans="1:8" ht="21" customHeight="1">
      <c r="A15" s="1211" t="s">
        <v>1098</v>
      </c>
      <c r="B15" s="1211"/>
      <c r="C15" s="1216" t="s">
        <v>418</v>
      </c>
      <c r="D15" s="1216" t="s">
        <v>419</v>
      </c>
      <c r="E15" s="1216" t="s">
        <v>420</v>
      </c>
      <c r="F15" s="1216" t="s">
        <v>421</v>
      </c>
      <c r="G15" s="1216" t="s">
        <v>422</v>
      </c>
      <c r="H15" s="1216" t="s">
        <v>423</v>
      </c>
    </row>
    <row r="16" spans="1:8" ht="15" customHeight="1">
      <c r="A16" s="2430" t="s">
        <v>1099</v>
      </c>
      <c r="B16" s="2431"/>
      <c r="C16" s="3"/>
      <c r="D16" s="442"/>
      <c r="E16" s="430"/>
      <c r="F16" s="430"/>
      <c r="G16" s="430"/>
      <c r="H16" s="430"/>
    </row>
    <row r="17" spans="1:8" ht="15" customHeight="1">
      <c r="A17" s="2430" t="s">
        <v>1096</v>
      </c>
      <c r="B17" s="2431"/>
      <c r="C17" s="3"/>
      <c r="D17" s="3"/>
      <c r="E17" s="3"/>
      <c r="F17" s="3"/>
      <c r="G17" s="3"/>
      <c r="H17" s="3"/>
    </row>
    <row r="18" spans="1:8" ht="15" customHeight="1">
      <c r="A18" s="2440" t="s">
        <v>430</v>
      </c>
      <c r="B18" s="2440"/>
      <c r="C18" s="443"/>
      <c r="D18" s="1191"/>
      <c r="E18" s="430"/>
      <c r="F18" s="430"/>
      <c r="G18" s="430"/>
      <c r="H18" s="430"/>
    </row>
    <row r="19" spans="1:8" ht="15" customHeight="1">
      <c r="A19" s="2440" t="s">
        <v>431</v>
      </c>
      <c r="B19" s="2440"/>
      <c r="C19" s="443"/>
      <c r="D19" s="1191"/>
      <c r="E19" s="430"/>
      <c r="F19" s="430"/>
      <c r="G19" s="430"/>
      <c r="H19" s="430"/>
    </row>
    <row r="20" spans="1:8" ht="15" customHeight="1">
      <c r="A20" s="2432" t="s">
        <v>432</v>
      </c>
      <c r="B20" s="2433"/>
      <c r="C20" s="3"/>
      <c r="D20" s="1191"/>
      <c r="E20" s="430"/>
      <c r="F20" s="430"/>
      <c r="G20" s="430"/>
      <c r="H20" s="430"/>
    </row>
    <row r="21" spans="1:8" ht="15" customHeight="1">
      <c r="A21" s="2434" t="s">
        <v>428</v>
      </c>
      <c r="B21" s="2435"/>
      <c r="C21" s="3"/>
      <c r="D21" s="443"/>
      <c r="E21" s="443"/>
      <c r="F21" s="443"/>
      <c r="G21" s="443"/>
      <c r="H21" s="443"/>
    </row>
    <row r="22" spans="1:8" ht="15" customHeight="1">
      <c r="A22" s="2432" t="s">
        <v>1097</v>
      </c>
      <c r="B22" s="2433"/>
      <c r="C22" s="443"/>
      <c r="D22" s="1191"/>
      <c r="E22" s="430"/>
      <c r="F22" s="430"/>
      <c r="G22" s="430"/>
      <c r="H22" s="430"/>
    </row>
    <row r="24" spans="1:8" ht="15" customHeight="1">
      <c r="A24" s="1212" t="s">
        <v>1100</v>
      </c>
      <c r="B24" s="1213"/>
      <c r="C24" s="1215" t="s">
        <v>418</v>
      </c>
      <c r="D24" s="1216" t="s">
        <v>419</v>
      </c>
      <c r="E24" s="1216" t="s">
        <v>420</v>
      </c>
      <c r="F24" s="1216" t="s">
        <v>421</v>
      </c>
      <c r="G24" s="1216" t="s">
        <v>422</v>
      </c>
      <c r="H24" s="1216" t="s">
        <v>423</v>
      </c>
    </row>
    <row r="25" spans="1:8" ht="15" customHeight="1">
      <c r="A25" s="2430" t="s">
        <v>1099</v>
      </c>
      <c r="B25" s="2431"/>
      <c r="C25" s="442"/>
      <c r="D25" s="442"/>
      <c r="E25" s="442"/>
      <c r="F25" s="442"/>
      <c r="G25" s="442"/>
      <c r="H25" s="442"/>
    </row>
    <row r="26" spans="1:8" ht="16.5" customHeight="1">
      <c r="A26" s="2430" t="s">
        <v>1096</v>
      </c>
      <c r="B26" s="2431"/>
      <c r="C26" s="442"/>
      <c r="D26" s="442"/>
      <c r="E26" s="442"/>
      <c r="F26" s="442"/>
      <c r="G26" s="442"/>
      <c r="H26" s="442"/>
    </row>
    <row r="27" spans="1:8" ht="15" customHeight="1">
      <c r="A27" s="434" t="s">
        <v>425</v>
      </c>
      <c r="B27" s="2436"/>
      <c r="C27" s="442"/>
      <c r="D27" s="3"/>
      <c r="E27" s="3"/>
      <c r="F27" s="430"/>
      <c r="G27" s="3"/>
      <c r="H27" s="430"/>
    </row>
    <row r="28" spans="1:8" ht="15" customHeight="1">
      <c r="A28" s="435" t="s">
        <v>426</v>
      </c>
      <c r="B28" s="2437"/>
      <c r="C28" s="442"/>
      <c r="D28" s="3"/>
      <c r="E28" s="3"/>
      <c r="F28" s="430"/>
      <c r="G28" s="3"/>
      <c r="H28" s="430"/>
    </row>
    <row r="29" spans="1:8" ht="15" customHeight="1">
      <c r="A29" s="436" t="s">
        <v>427</v>
      </c>
      <c r="B29" s="2438"/>
      <c r="C29" s="442"/>
      <c r="D29" s="3"/>
      <c r="E29" s="3"/>
      <c r="F29" s="430"/>
      <c r="G29" s="3"/>
      <c r="H29" s="430"/>
    </row>
    <row r="30" spans="1:8" ht="15" hidden="1" customHeight="1">
      <c r="A30" s="434" t="s">
        <v>425</v>
      </c>
      <c r="B30" s="2436"/>
      <c r="C30" s="442"/>
      <c r="D30" s="1191"/>
      <c r="E30" s="430"/>
      <c r="F30" s="430"/>
      <c r="G30" s="430"/>
      <c r="H30" s="430"/>
    </row>
    <row r="31" spans="1:8" ht="15" hidden="1" customHeight="1">
      <c r="A31" s="435" t="s">
        <v>426</v>
      </c>
      <c r="B31" s="2437"/>
      <c r="C31" s="442"/>
      <c r="D31" s="1191"/>
      <c r="E31" s="430"/>
      <c r="F31" s="430"/>
      <c r="G31" s="430"/>
      <c r="H31" s="430"/>
    </row>
    <row r="32" spans="1:8" ht="15" hidden="1" customHeight="1">
      <c r="A32" s="436" t="s">
        <v>427</v>
      </c>
      <c r="B32" s="2438"/>
      <c r="C32" s="442"/>
      <c r="D32" s="1191"/>
      <c r="E32" s="430"/>
      <c r="F32" s="430"/>
      <c r="G32" s="430"/>
      <c r="H32" s="430"/>
    </row>
    <row r="33" spans="1:8" ht="15.75" customHeight="1">
      <c r="A33" s="2434" t="s">
        <v>428</v>
      </c>
      <c r="B33" s="2435"/>
      <c r="C33" s="442"/>
      <c r="D33" s="443"/>
      <c r="E33" s="443"/>
      <c r="F33" s="443"/>
      <c r="G33" s="443"/>
      <c r="H33" s="443"/>
    </row>
    <row r="34" spans="1:8" ht="15" customHeight="1">
      <c r="A34" s="2432" t="s">
        <v>1097</v>
      </c>
      <c r="B34" s="2433"/>
      <c r="C34" s="442"/>
      <c r="D34" s="1191"/>
      <c r="E34" s="430"/>
      <c r="F34" s="430"/>
      <c r="G34" s="430"/>
      <c r="H34" s="430"/>
    </row>
    <row r="35" spans="1:8" ht="15" customHeight="1">
      <c r="A35" s="2439" t="s">
        <v>429</v>
      </c>
      <c r="B35" s="2439"/>
      <c r="C35" s="437">
        <f>B27</f>
        <v>0</v>
      </c>
      <c r="D35" s="437">
        <f>B27</f>
        <v>0</v>
      </c>
      <c r="E35" s="437">
        <f>B27</f>
        <v>0</v>
      </c>
      <c r="F35" s="438">
        <f>B27</f>
        <v>0</v>
      </c>
      <c r="G35" s="438">
        <f>B27</f>
        <v>0</v>
      </c>
      <c r="H35" s="438">
        <f>B27</f>
        <v>0</v>
      </c>
    </row>
    <row r="36" spans="1:8" ht="15" customHeight="1">
      <c r="A36" s="2439" t="s">
        <v>429</v>
      </c>
      <c r="B36" s="2439"/>
      <c r="C36" s="437">
        <f>B30</f>
        <v>0</v>
      </c>
      <c r="D36" s="437">
        <f>B30</f>
        <v>0</v>
      </c>
      <c r="E36" s="437">
        <f>B30</f>
        <v>0</v>
      </c>
      <c r="F36" s="438">
        <f>B30</f>
        <v>0</v>
      </c>
      <c r="G36" s="438">
        <f>B30</f>
        <v>0</v>
      </c>
      <c r="H36" s="438">
        <f>B30</f>
        <v>0</v>
      </c>
    </row>
    <row r="38" spans="1:8" ht="15" customHeight="1">
      <c r="A38" s="1212" t="s">
        <v>435</v>
      </c>
      <c r="B38" s="1213"/>
      <c r="C38" s="1211" t="s">
        <v>436</v>
      </c>
      <c r="D38" s="1211" t="s">
        <v>437</v>
      </c>
      <c r="E38" s="1211"/>
      <c r="F38" s="1211"/>
      <c r="G38" s="1211"/>
      <c r="H38" s="1211"/>
    </row>
    <row r="39" spans="1:8" ht="15" customHeight="1">
      <c r="A39" s="2430" t="s">
        <v>438</v>
      </c>
      <c r="B39" s="2431"/>
      <c r="C39" s="442"/>
      <c r="D39" s="444"/>
      <c r="E39" s="1218"/>
      <c r="F39" s="445"/>
      <c r="G39" s="1218"/>
      <c r="H39" s="445"/>
    </row>
    <row r="40" spans="1:8" ht="15" customHeight="1">
      <c r="A40" s="2430" t="s">
        <v>439</v>
      </c>
      <c r="B40" s="2431"/>
      <c r="C40" s="442"/>
      <c r="D40" s="445"/>
      <c r="E40" s="1219"/>
      <c r="F40" s="445"/>
      <c r="G40" s="1219"/>
      <c r="H40" s="445"/>
    </row>
    <row r="41" spans="1:8" ht="15" customHeight="1">
      <c r="A41" s="2430" t="s">
        <v>440</v>
      </c>
      <c r="B41" s="2431"/>
      <c r="C41" s="442"/>
      <c r="D41" s="445"/>
      <c r="E41" s="1219"/>
      <c r="F41" s="445"/>
      <c r="G41" s="1219"/>
      <c r="H41" s="445"/>
    </row>
    <row r="42" spans="1:8" ht="15" hidden="1" customHeight="1">
      <c r="A42" s="2430" t="s">
        <v>441</v>
      </c>
      <c r="B42" s="2431"/>
      <c r="C42" s="442"/>
      <c r="D42" s="445"/>
      <c r="E42" s="1219"/>
      <c r="F42" s="445"/>
      <c r="G42" s="1219"/>
      <c r="H42" s="445"/>
    </row>
    <row r="43" spans="1:8" ht="15" customHeight="1">
      <c r="A43" s="2430" t="s">
        <v>442</v>
      </c>
      <c r="B43" s="2431"/>
      <c r="C43" s="442"/>
      <c r="D43" s="445"/>
      <c r="E43" s="1219"/>
      <c r="F43" s="445"/>
      <c r="G43" s="1219"/>
      <c r="H43" s="445"/>
    </row>
    <row r="44" spans="1:8" ht="15" customHeight="1">
      <c r="A44" s="2430" t="s">
        <v>443</v>
      </c>
      <c r="B44" s="2431"/>
      <c r="C44" s="442"/>
      <c r="D44" s="445"/>
      <c r="E44" s="1219"/>
      <c r="F44" s="445"/>
      <c r="G44" s="1219"/>
      <c r="H44" s="445"/>
    </row>
    <row r="45" spans="1:8" ht="15" customHeight="1">
      <c r="A45" s="2430" t="s">
        <v>444</v>
      </c>
      <c r="B45" s="2431"/>
      <c r="C45" s="442"/>
      <c r="D45" s="445"/>
      <c r="E45" s="1219"/>
      <c r="F45" s="445"/>
      <c r="G45" s="1219"/>
      <c r="H45" s="445"/>
    </row>
    <row r="46" spans="1:8" ht="15" customHeight="1">
      <c r="A46" s="2430" t="s">
        <v>445</v>
      </c>
      <c r="B46" s="2431"/>
      <c r="C46" s="442"/>
      <c r="D46" s="445"/>
      <c r="E46" s="1219"/>
      <c r="F46" s="445"/>
      <c r="G46" s="1219"/>
      <c r="H46" s="445"/>
    </row>
    <row r="47" spans="1:8" ht="15" customHeight="1">
      <c r="A47" s="2430" t="s">
        <v>446</v>
      </c>
      <c r="B47" s="2431"/>
      <c r="C47" s="442"/>
      <c r="D47" s="430"/>
      <c r="E47" s="430"/>
      <c r="F47" s="430"/>
      <c r="G47" s="430"/>
      <c r="H47" s="430"/>
    </row>
    <row r="48" spans="1:8" ht="15" customHeight="1">
      <c r="A48" s="2430" t="s">
        <v>447</v>
      </c>
      <c r="B48" s="2431"/>
      <c r="C48" s="442"/>
      <c r="D48" s="430"/>
      <c r="E48" s="430"/>
      <c r="F48" s="430"/>
      <c r="G48" s="430"/>
      <c r="H48" s="430"/>
    </row>
    <row r="50" spans="1:8" ht="15" customHeight="1">
      <c r="A50" s="1212" t="s">
        <v>1101</v>
      </c>
      <c r="B50" s="1213"/>
      <c r="C50" s="1214">
        <v>0.33333333333333331</v>
      </c>
      <c r="D50" s="1214">
        <v>0.83333333333333337</v>
      </c>
      <c r="E50" s="1211"/>
      <c r="F50" s="1211"/>
      <c r="G50" s="1211"/>
      <c r="H50" s="1211"/>
    </row>
    <row r="51" spans="1:8" ht="15" customHeight="1">
      <c r="A51" s="2430" t="s">
        <v>1102</v>
      </c>
      <c r="B51" s="2431"/>
      <c r="C51" s="1518"/>
      <c r="D51" s="1518"/>
      <c r="E51" s="443"/>
      <c r="F51" s="443"/>
      <c r="G51" s="443"/>
      <c r="H51" s="443"/>
    </row>
    <row r="52" spans="1:8" ht="15" customHeight="1">
      <c r="A52" s="2430" t="s">
        <v>448</v>
      </c>
      <c r="B52" s="2431"/>
      <c r="C52" s="1518"/>
      <c r="D52" s="1518"/>
      <c r="E52" s="443"/>
      <c r="F52" s="443"/>
      <c r="G52" s="443"/>
      <c r="H52" s="443"/>
    </row>
    <row r="53" spans="1:8" ht="15" customHeight="1">
      <c r="A53" s="2430" t="s">
        <v>1103</v>
      </c>
      <c r="B53" s="2431"/>
      <c r="C53" s="1518"/>
      <c r="D53" s="1518"/>
      <c r="E53" s="443"/>
      <c r="F53" s="443"/>
      <c r="G53" s="443"/>
      <c r="H53" s="443"/>
    </row>
    <row r="54" spans="1:8" ht="15" customHeight="1">
      <c r="A54" s="2430" t="s">
        <v>449</v>
      </c>
      <c r="B54" s="2431"/>
      <c r="C54" s="1518"/>
      <c r="D54" s="1518"/>
      <c r="E54" s="443"/>
      <c r="F54" s="443"/>
      <c r="G54" s="443"/>
      <c r="H54" s="443"/>
    </row>
    <row r="55" spans="1:8" ht="15.75" customHeight="1">
      <c r="A55" s="2430" t="s">
        <v>450</v>
      </c>
      <c r="B55" s="2431"/>
      <c r="C55" s="1518"/>
      <c r="D55" s="1518"/>
      <c r="E55" s="443"/>
      <c r="F55" s="443"/>
      <c r="G55" s="443"/>
      <c r="H55" s="443"/>
    </row>
    <row r="56" spans="1:8" ht="15.75" customHeight="1">
      <c r="A56" s="2430" t="s">
        <v>451</v>
      </c>
      <c r="B56" s="2431"/>
      <c r="C56" s="1518"/>
      <c r="D56" s="1518"/>
      <c r="E56" s="443"/>
      <c r="F56" s="443"/>
      <c r="G56" s="443"/>
      <c r="H56" s="443"/>
    </row>
    <row r="57" spans="1:8" ht="15.75" customHeight="1">
      <c r="A57" s="2430" t="s">
        <v>452</v>
      </c>
      <c r="B57" s="2431"/>
      <c r="C57" s="1518"/>
      <c r="D57" s="1518"/>
      <c r="E57" s="443"/>
      <c r="F57" s="443"/>
      <c r="G57" s="443"/>
      <c r="H57" s="443"/>
    </row>
    <row r="58" spans="1:8" ht="15.75" customHeight="1">
      <c r="A58" s="2430" t="s">
        <v>453</v>
      </c>
      <c r="B58" s="2431"/>
      <c r="C58" s="1518"/>
      <c r="D58" s="1518"/>
      <c r="E58" s="443"/>
      <c r="F58" s="443"/>
      <c r="G58" s="443"/>
      <c r="H58" s="443"/>
    </row>
    <row r="59" spans="1:8" ht="15.75" customHeight="1">
      <c r="A59" s="2430" t="s">
        <v>454</v>
      </c>
      <c r="B59" s="2431"/>
      <c r="C59" s="1518"/>
      <c r="D59" s="1518"/>
      <c r="E59" s="443"/>
      <c r="F59" s="443"/>
      <c r="G59" s="443"/>
      <c r="H59" s="443"/>
    </row>
    <row r="60" spans="1:8" ht="15" customHeight="1">
      <c r="A60" s="2430" t="s">
        <v>1104</v>
      </c>
      <c r="B60" s="2431"/>
      <c r="C60" s="1518"/>
      <c r="D60" s="1518"/>
      <c r="E60" s="443"/>
      <c r="F60" s="443"/>
      <c r="G60" s="443"/>
      <c r="H60" s="443"/>
    </row>
    <row r="61" spans="1:8" ht="15" hidden="1" customHeight="1">
      <c r="A61" s="2" t="s">
        <v>1105</v>
      </c>
      <c r="B61" s="2"/>
      <c r="C61" s="1220"/>
      <c r="D61" s="1220"/>
      <c r="E61" s="443"/>
      <c r="F61" s="443"/>
      <c r="G61" s="443"/>
      <c r="H61" s="443"/>
    </row>
    <row r="62" spans="1:8" ht="15" customHeight="1">
      <c r="A62" s="825"/>
      <c r="B62" s="825"/>
      <c r="C62" s="1221"/>
      <c r="D62" s="1221"/>
      <c r="E62" s="59"/>
      <c r="F62" s="59"/>
      <c r="G62" s="59"/>
      <c r="H62" s="59"/>
    </row>
  </sheetData>
  <sheetProtection sheet="1" objects="1" scenarios="1" formatCells="0" formatColumns="0" formatRows="0" insertColumns="0" insertRows="0" insertHyperlinks="0" deleteColumns="0" deleteRows="0" selectLockedCells="1" sort="0" autoFilter="0" pivotTables="0"/>
  <mergeCells count="43">
    <mergeCell ref="A19:B19"/>
    <mergeCell ref="A2:B2"/>
    <mergeCell ref="A3:B3"/>
    <mergeCell ref="B4:B6"/>
    <mergeCell ref="B7:B9"/>
    <mergeCell ref="A10:B10"/>
    <mergeCell ref="A11:B11"/>
    <mergeCell ref="A12:B12"/>
    <mergeCell ref="A13:B13"/>
    <mergeCell ref="A16:B16"/>
    <mergeCell ref="A17:B17"/>
    <mergeCell ref="A18:B18"/>
    <mergeCell ref="A39:B39"/>
    <mergeCell ref="A20:B20"/>
    <mergeCell ref="A21:B21"/>
    <mergeCell ref="A22:B22"/>
    <mergeCell ref="A25:B25"/>
    <mergeCell ref="A26:B26"/>
    <mergeCell ref="B27:B29"/>
    <mergeCell ref="B30:B32"/>
    <mergeCell ref="A33:B33"/>
    <mergeCell ref="A34:B34"/>
    <mergeCell ref="A35:B35"/>
    <mergeCell ref="A36:B36"/>
    <mergeCell ref="A53:B53"/>
    <mergeCell ref="A40:B40"/>
    <mergeCell ref="A41:B41"/>
    <mergeCell ref="A42:B42"/>
    <mergeCell ref="A43:B43"/>
    <mergeCell ref="A44:B44"/>
    <mergeCell ref="A45:B45"/>
    <mergeCell ref="A46:B46"/>
    <mergeCell ref="A47:B47"/>
    <mergeCell ref="A48:B48"/>
    <mergeCell ref="A51:B51"/>
    <mergeCell ref="A52:B52"/>
    <mergeCell ref="A60:B60"/>
    <mergeCell ref="A54:B54"/>
    <mergeCell ref="A55:B55"/>
    <mergeCell ref="A56:B56"/>
    <mergeCell ref="A57:B57"/>
    <mergeCell ref="A58:B58"/>
    <mergeCell ref="A59:B59"/>
  </mergeCells>
  <phoneticPr fontId="6" type="noConversion"/>
  <pageMargins left="0.46" right="0.16" top="0.98" bottom="1" header="0.41" footer="0.5"/>
  <pageSetup paperSize="9" scale="88"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sheetPr codeName="Sheet20">
    <tabColor rgb="FFFFFF00"/>
  </sheetPr>
  <dimension ref="A1:AR115"/>
  <sheetViews>
    <sheetView topLeftCell="A16" zoomScale="55" zoomScaleNormal="55" workbookViewId="0">
      <selection activeCell="K34" sqref="K34:L36"/>
    </sheetView>
  </sheetViews>
  <sheetFormatPr defaultRowHeight="15.75"/>
  <cols>
    <col min="1" max="1" width="20" style="292" customWidth="1"/>
    <col min="2" max="2" width="28.5" style="292" customWidth="1"/>
    <col min="3" max="3" width="7.625" style="292" customWidth="1"/>
    <col min="4" max="4" width="8.625" style="48" customWidth="1"/>
    <col min="5" max="5" width="20" style="292" customWidth="1"/>
    <col min="6" max="6" width="12" style="292" hidden="1" customWidth="1"/>
    <col min="7" max="7" width="8" style="292" hidden="1" customWidth="1"/>
    <col min="8" max="8" width="10" style="292" customWidth="1"/>
    <col min="9" max="9" width="6.375" style="292" hidden="1" customWidth="1"/>
    <col min="10" max="10" width="2.5" style="292" customWidth="1"/>
    <col min="11" max="11" width="7.875" style="292" customWidth="1"/>
    <col min="12" max="12" width="4.75" style="292" customWidth="1"/>
    <col min="13" max="13" width="6.25" style="292" hidden="1" customWidth="1"/>
    <col min="14" max="14" width="10.625" style="292" customWidth="1"/>
    <col min="15" max="15" width="11.25" style="292" hidden="1" customWidth="1"/>
    <col min="16" max="16" width="3" style="292" customWidth="1"/>
    <col min="17" max="17" width="8.75" style="292" customWidth="1"/>
    <col min="18" max="18" width="6.5" style="292" customWidth="1"/>
    <col min="19" max="19" width="9" style="292" hidden="1" customWidth="1"/>
    <col min="20" max="20" width="8.375" style="292" customWidth="1"/>
    <col min="21" max="21" width="9" style="292" hidden="1" customWidth="1"/>
    <col min="22" max="22" width="3.75" style="292" customWidth="1"/>
    <col min="23" max="23" width="8.125" style="292" customWidth="1"/>
    <col min="24" max="24" width="4" style="292" customWidth="1"/>
    <col min="25" max="25" width="9" style="292" hidden="1" customWidth="1"/>
    <col min="26" max="26" width="7.75" style="292" customWidth="1"/>
    <col min="27" max="27" width="9" style="292" hidden="1" customWidth="1"/>
    <col min="28" max="28" width="4" style="292" customWidth="1"/>
    <col min="29" max="29" width="7.875" style="292" customWidth="1"/>
    <col min="30" max="30" width="4.875" style="48" customWidth="1"/>
    <col min="31" max="31" width="9" style="292" hidden="1" customWidth="1"/>
    <col min="32" max="32" width="8.375" style="292" customWidth="1"/>
    <col min="33" max="33" width="9" style="292" hidden="1" customWidth="1"/>
    <col min="34" max="34" width="3.75" style="292" customWidth="1"/>
    <col min="35" max="35" width="8.125" style="292" customWidth="1"/>
    <col min="36" max="36" width="4" style="292" customWidth="1"/>
    <col min="37" max="37" width="9" style="292" hidden="1" customWidth="1"/>
    <col min="38" max="38" width="7.75" style="292" customWidth="1"/>
    <col min="39" max="39" width="9" style="292" hidden="1" customWidth="1"/>
    <col min="40" max="40" width="4" style="292" customWidth="1"/>
    <col min="41" max="41" width="7.875" style="292" customWidth="1"/>
    <col min="42" max="42" width="4.875" style="48" customWidth="1"/>
    <col min="43" max="43" width="15" style="292" hidden="1" customWidth="1"/>
    <col min="44" max="44" width="17" style="292" customWidth="1"/>
    <col min="45" max="16384" width="9" style="292"/>
  </cols>
  <sheetData>
    <row r="1" spans="1:44" ht="48.75" customHeight="1">
      <c r="A1" s="1389" t="s">
        <v>266</v>
      </c>
      <c r="B1" s="1390"/>
      <c r="C1" s="1390"/>
      <c r="D1" s="1390"/>
      <c r="E1" s="1390"/>
      <c r="F1" s="1390"/>
      <c r="G1" s="1390"/>
      <c r="H1" s="1390"/>
      <c r="I1" s="1390"/>
      <c r="J1" s="1390"/>
      <c r="K1" s="1390"/>
      <c r="L1" s="1390"/>
      <c r="M1" s="1390"/>
      <c r="N1" s="1390"/>
      <c r="O1" s="1390"/>
      <c r="P1" s="1390"/>
      <c r="Q1" s="1390"/>
      <c r="R1" s="1390"/>
      <c r="S1" s="1390"/>
      <c r="T1" s="1390"/>
      <c r="U1" s="1390"/>
      <c r="V1" s="1390"/>
      <c r="W1" s="1390"/>
      <c r="X1" s="1390"/>
      <c r="Y1" s="1390"/>
      <c r="Z1" s="1390"/>
      <c r="AA1" s="1390"/>
      <c r="AB1" s="1390"/>
      <c r="AC1" s="1390"/>
      <c r="AD1" s="1390"/>
      <c r="AF1" s="222"/>
      <c r="AH1" s="223" t="s">
        <v>189</v>
      </c>
      <c r="AI1" s="1391"/>
      <c r="AJ1" s="1391"/>
      <c r="AK1" s="1391"/>
      <c r="AL1" s="1391"/>
      <c r="AM1" s="1391"/>
      <c r="AN1" s="1391"/>
      <c r="AO1" s="1391"/>
      <c r="AP1" s="1391"/>
      <c r="AQ1" s="1391"/>
    </row>
    <row r="2" spans="1:44" ht="48.75" customHeight="1">
      <c r="A2" s="1389" t="s">
        <v>252</v>
      </c>
      <c r="B2" s="1390"/>
      <c r="C2" s="1390"/>
      <c r="D2" s="1390"/>
      <c r="E2" s="1390"/>
      <c r="F2" s="1390"/>
      <c r="G2" s="1390"/>
      <c r="H2" s="1390"/>
      <c r="I2" s="1390"/>
      <c r="J2" s="1390"/>
      <c r="K2" s="1390"/>
      <c r="L2" s="1390"/>
      <c r="M2" s="1390"/>
      <c r="N2" s="1390"/>
      <c r="O2" s="1390"/>
      <c r="P2" s="1390"/>
      <c r="Q2" s="1390"/>
      <c r="R2" s="1390"/>
      <c r="S2" s="1390"/>
      <c r="T2" s="1390"/>
      <c r="U2" s="1390"/>
      <c r="V2" s="1390"/>
      <c r="W2" s="1390"/>
      <c r="X2" s="1390"/>
      <c r="Y2" s="1390"/>
      <c r="Z2" s="1390"/>
      <c r="AA2" s="1390"/>
      <c r="AB2" s="1390"/>
      <c r="AC2" s="1390"/>
      <c r="AD2" s="1390"/>
      <c r="AF2" s="1392"/>
      <c r="AH2" s="223" t="s">
        <v>190</v>
      </c>
      <c r="AI2" s="1391"/>
      <c r="AJ2" s="1391"/>
      <c r="AK2" s="1391"/>
      <c r="AL2" s="1391"/>
      <c r="AM2" s="1391"/>
      <c r="AN2" s="1391"/>
      <c r="AO2" s="1391"/>
      <c r="AP2" s="1391"/>
      <c r="AQ2" s="1391"/>
    </row>
    <row r="3" spans="1:44" ht="41.25" customHeight="1">
      <c r="A3" s="94" t="s">
        <v>455</v>
      </c>
      <c r="B3" s="306"/>
      <c r="C3" s="95"/>
      <c r="D3" s="95"/>
      <c r="E3" s="297"/>
      <c r="F3" s="96" t="s">
        <v>75</v>
      </c>
      <c r="G3" s="97"/>
      <c r="H3" s="449" t="s">
        <v>75</v>
      </c>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R3" s="879" t="str">
        <f>MENU!$AC$9</f>
        <v>2023/03/21</v>
      </c>
    </row>
    <row r="4" spans="1:44" s="48" customFormat="1" ht="33" customHeight="1">
      <c r="A4" s="468"/>
      <c r="B4" s="2448" t="s">
        <v>79</v>
      </c>
      <c r="C4" s="2449"/>
      <c r="D4" s="2452" t="s">
        <v>136</v>
      </c>
      <c r="E4" s="2454" t="s">
        <v>67</v>
      </c>
      <c r="F4" s="1393"/>
      <c r="G4" s="98"/>
      <c r="H4" s="2474" t="s">
        <v>456</v>
      </c>
      <c r="I4" s="2474"/>
      <c r="J4" s="2474"/>
      <c r="K4" s="2474"/>
      <c r="L4" s="2474"/>
      <c r="M4" s="1394"/>
      <c r="N4" s="2475" t="s">
        <v>419</v>
      </c>
      <c r="O4" s="2475"/>
      <c r="P4" s="2475"/>
      <c r="Q4" s="2475"/>
      <c r="R4" s="2475"/>
      <c r="S4" s="1394"/>
      <c r="T4" s="2474" t="s">
        <v>420</v>
      </c>
      <c r="U4" s="2474"/>
      <c r="V4" s="2474"/>
      <c r="W4" s="2474"/>
      <c r="X4" s="2474"/>
      <c r="Y4" s="1394"/>
      <c r="Z4" s="2474" t="s">
        <v>421</v>
      </c>
      <c r="AA4" s="2474"/>
      <c r="AB4" s="2474"/>
      <c r="AC4" s="2474"/>
      <c r="AD4" s="2474"/>
      <c r="AE4" s="1394"/>
      <c r="AF4" s="2474" t="s">
        <v>422</v>
      </c>
      <c r="AG4" s="2474"/>
      <c r="AH4" s="2474"/>
      <c r="AI4" s="2474"/>
      <c r="AJ4" s="2474"/>
      <c r="AK4" s="1394"/>
      <c r="AL4" s="2474" t="s">
        <v>423</v>
      </c>
      <c r="AM4" s="2474"/>
      <c r="AN4" s="2474"/>
      <c r="AO4" s="2474"/>
      <c r="AP4" s="2474"/>
      <c r="AQ4" s="468"/>
    </row>
    <row r="5" spans="1:44" s="48" customFormat="1" ht="33" customHeight="1">
      <c r="A5" s="454" t="s">
        <v>267</v>
      </c>
      <c r="B5" s="2450"/>
      <c r="C5" s="2451"/>
      <c r="D5" s="2453"/>
      <c r="E5" s="2455"/>
      <c r="F5" s="1395" t="s">
        <v>457</v>
      </c>
      <c r="G5" s="20"/>
      <c r="H5" s="1365" t="s">
        <v>145</v>
      </c>
      <c r="I5" s="34" t="s">
        <v>1</v>
      </c>
      <c r="J5" s="316" t="s">
        <v>1</v>
      </c>
      <c r="K5" s="316"/>
      <c r="L5" s="317"/>
      <c r="M5" s="100"/>
      <c r="N5" s="1365" t="s">
        <v>145</v>
      </c>
      <c r="O5" s="34" t="s">
        <v>1</v>
      </c>
      <c r="P5" s="316" t="s">
        <v>1</v>
      </c>
      <c r="Q5" s="316"/>
      <c r="R5" s="317"/>
      <c r="S5" s="20"/>
      <c r="T5" s="1365" t="s">
        <v>145</v>
      </c>
      <c r="U5" s="34" t="s">
        <v>1</v>
      </c>
      <c r="V5" s="316" t="s">
        <v>1</v>
      </c>
      <c r="W5" s="316"/>
      <c r="X5" s="317"/>
      <c r="Y5" s="100"/>
      <c r="Z5" s="1365" t="s">
        <v>145</v>
      </c>
      <c r="AA5" s="34" t="s">
        <v>1</v>
      </c>
      <c r="AB5" s="316" t="s">
        <v>1</v>
      </c>
      <c r="AC5" s="316"/>
      <c r="AD5" s="317"/>
      <c r="AE5" s="100"/>
      <c r="AF5" s="1365" t="s">
        <v>145</v>
      </c>
      <c r="AG5" s="34" t="s">
        <v>1</v>
      </c>
      <c r="AH5" s="316" t="s">
        <v>1</v>
      </c>
      <c r="AI5" s="316"/>
      <c r="AJ5" s="317"/>
      <c r="AK5" s="100"/>
      <c r="AL5" s="1365" t="s">
        <v>145</v>
      </c>
      <c r="AM5" s="34" t="s">
        <v>1</v>
      </c>
      <c r="AN5" s="316" t="s">
        <v>1</v>
      </c>
      <c r="AO5" s="316"/>
      <c r="AP5" s="317"/>
      <c r="AQ5" s="454" t="s">
        <v>458</v>
      </c>
    </row>
    <row r="6" spans="1:44" ht="33.75" customHeight="1">
      <c r="A6" s="1371" t="s">
        <v>459</v>
      </c>
      <c r="B6" s="2333" t="s">
        <v>880</v>
      </c>
      <c r="C6" s="2335"/>
      <c r="D6" s="1166" t="s">
        <v>3</v>
      </c>
      <c r="E6" s="119" t="s">
        <v>461</v>
      </c>
      <c r="F6" s="1396">
        <v>12.5</v>
      </c>
      <c r="G6" s="1397">
        <f>R.HN!C2</f>
        <v>0</v>
      </c>
      <c r="H6" s="35">
        <f>(1*G6*36.5)/(1*10)</f>
        <v>0</v>
      </c>
      <c r="I6" s="35">
        <f>($F$6-H6)*748/32</f>
        <v>292.1875</v>
      </c>
      <c r="J6" s="43" t="s">
        <v>8</v>
      </c>
      <c r="K6" s="44">
        <f>IF(I6&lt;0,0,I6)</f>
        <v>292.1875</v>
      </c>
      <c r="L6" s="237" t="s">
        <v>10</v>
      </c>
      <c r="M6" s="270">
        <f>R.HN!D2</f>
        <v>0</v>
      </c>
      <c r="N6" s="35">
        <f>(1*M6*36.5)/(1*10)</f>
        <v>0</v>
      </c>
      <c r="O6" s="35">
        <f>($F$6-N6)*748/32</f>
        <v>292.1875</v>
      </c>
      <c r="P6" s="43" t="s">
        <v>8</v>
      </c>
      <c r="Q6" s="44">
        <f>IF(O6&lt;0,0,O6)</f>
        <v>292.1875</v>
      </c>
      <c r="R6" s="45" t="s">
        <v>10</v>
      </c>
      <c r="S6" s="103">
        <f>R.HN!E2</f>
        <v>0</v>
      </c>
      <c r="T6" s="35">
        <f>(1*S6*36.5)/(1*10)</f>
        <v>0</v>
      </c>
      <c r="U6" s="35">
        <f>($F$6-T6)*748/32</f>
        <v>292.1875</v>
      </c>
      <c r="V6" s="43" t="s">
        <v>8</v>
      </c>
      <c r="W6" s="44">
        <f>IF(U6&lt;0,0,U6)</f>
        <v>292.1875</v>
      </c>
      <c r="X6" s="45" t="s">
        <v>10</v>
      </c>
      <c r="Y6" s="103">
        <f>R.HN!F2</f>
        <v>0</v>
      </c>
      <c r="Z6" s="35">
        <f>(1*Y6*36.5)/(1*10)</f>
        <v>0</v>
      </c>
      <c r="AA6" s="35">
        <f>($F$6-Z6)*748/32</f>
        <v>292.1875</v>
      </c>
      <c r="AB6" s="43" t="s">
        <v>8</v>
      </c>
      <c r="AC6" s="44">
        <f>IF(AA6&lt;0,0,AA6)</f>
        <v>292.1875</v>
      </c>
      <c r="AD6" s="45" t="s">
        <v>10</v>
      </c>
      <c r="AE6" s="103">
        <f>R.HN!G2</f>
        <v>0</v>
      </c>
      <c r="AF6" s="35">
        <f>(1*AE6*36.5)/(1*10)</f>
        <v>0</v>
      </c>
      <c r="AG6" s="35">
        <f>($F$6-AF6)*748/32</f>
        <v>292.1875</v>
      </c>
      <c r="AH6" s="43" t="s">
        <v>8</v>
      </c>
      <c r="AI6" s="44">
        <f>IF(AG6&lt;0,0,AG6)</f>
        <v>292.1875</v>
      </c>
      <c r="AJ6" s="45" t="s">
        <v>10</v>
      </c>
      <c r="AK6" s="103">
        <f>R.HN!H2</f>
        <v>0</v>
      </c>
      <c r="AL6" s="35">
        <f>(1*AK6*36.5)/(1*10)</f>
        <v>0</v>
      </c>
      <c r="AM6" s="35">
        <f>($F$6-AL6)*748/32</f>
        <v>292.1875</v>
      </c>
      <c r="AN6" s="43" t="s">
        <v>8</v>
      </c>
      <c r="AO6" s="44">
        <f>IF(AM6&lt;0,0,AM6)</f>
        <v>292.1875</v>
      </c>
      <c r="AP6" s="45" t="s">
        <v>10</v>
      </c>
      <c r="AQ6" s="292" t="s">
        <v>462</v>
      </c>
    </row>
    <row r="7" spans="1:44" ht="33.75" customHeight="1">
      <c r="A7" s="1371" t="s">
        <v>463</v>
      </c>
      <c r="B7" s="2333" t="s">
        <v>881</v>
      </c>
      <c r="C7" s="2335"/>
      <c r="D7" s="1166" t="s">
        <v>3</v>
      </c>
      <c r="E7" s="119" t="s">
        <v>461</v>
      </c>
      <c r="F7" s="1396">
        <v>12.5</v>
      </c>
      <c r="G7" s="1397">
        <f>R.HN!C3</f>
        <v>0</v>
      </c>
      <c r="H7" s="35">
        <f>(1*G7*36.5)/(1*10)</f>
        <v>0</v>
      </c>
      <c r="I7" s="35">
        <f>($F$6-H7)*748/32</f>
        <v>292.1875</v>
      </c>
      <c r="J7" s="43" t="s">
        <v>8</v>
      </c>
      <c r="K7" s="44">
        <f>IF(I7&lt;0,0,I7)</f>
        <v>292.1875</v>
      </c>
      <c r="L7" s="237" t="s">
        <v>10</v>
      </c>
      <c r="M7" s="270">
        <f>R.HN!D3</f>
        <v>0</v>
      </c>
      <c r="N7" s="35">
        <f>(1*M7*36.5)/(1*10)</f>
        <v>0</v>
      </c>
      <c r="O7" s="35">
        <f>($F$6-N7)*748/32</f>
        <v>292.1875</v>
      </c>
      <c r="P7" s="43" t="s">
        <v>8</v>
      </c>
      <c r="Q7" s="44">
        <f>IF(O7&lt;0,0,O7)</f>
        <v>292.1875</v>
      </c>
      <c r="R7" s="45" t="s">
        <v>10</v>
      </c>
      <c r="S7" s="103">
        <f>R.HN!E3</f>
        <v>0</v>
      </c>
      <c r="T7" s="35">
        <f>(1*S7*36.5)/(1*10)</f>
        <v>0</v>
      </c>
      <c r="U7" s="35">
        <f>($F$6-T7)*748/32</f>
        <v>292.1875</v>
      </c>
      <c r="V7" s="43" t="s">
        <v>8</v>
      </c>
      <c r="W7" s="44">
        <f>IF(U7&lt;0,0,U7)</f>
        <v>292.1875</v>
      </c>
      <c r="X7" s="45" t="s">
        <v>10</v>
      </c>
      <c r="Y7" s="103">
        <f>R.HN!F3</f>
        <v>0</v>
      </c>
      <c r="Z7" s="35">
        <f>(1*Y7*36.5)/(1*10)</f>
        <v>0</v>
      </c>
      <c r="AA7" s="35">
        <f>($F$6-Z7)*748/32</f>
        <v>292.1875</v>
      </c>
      <c r="AB7" s="43" t="s">
        <v>8</v>
      </c>
      <c r="AC7" s="44">
        <f>IF(AA7&lt;0,0,AA7)</f>
        <v>292.1875</v>
      </c>
      <c r="AD7" s="45" t="s">
        <v>10</v>
      </c>
      <c r="AE7" s="103">
        <f>R.HN!G3</f>
        <v>0</v>
      </c>
      <c r="AF7" s="35">
        <f>(1*AE7*36.5)/(1*10)</f>
        <v>0</v>
      </c>
      <c r="AG7" s="35">
        <f>($F$6-AF7)*748/32</f>
        <v>292.1875</v>
      </c>
      <c r="AH7" s="43" t="s">
        <v>8</v>
      </c>
      <c r="AI7" s="44">
        <f>IF(AG7&lt;0,0,AG7)</f>
        <v>292.1875</v>
      </c>
      <c r="AJ7" s="45" t="s">
        <v>10</v>
      </c>
      <c r="AK7" s="103">
        <f>R.HN!H3</f>
        <v>0</v>
      </c>
      <c r="AL7" s="35">
        <f>(1*AK7*36.5)/(1*10)</f>
        <v>0</v>
      </c>
      <c r="AM7" s="35">
        <f>($F$6-AL7)*748/32</f>
        <v>292.1875</v>
      </c>
      <c r="AN7" s="43" t="s">
        <v>8</v>
      </c>
      <c r="AO7" s="44">
        <f>IF(AM7&lt;0,0,AM7)</f>
        <v>292.1875</v>
      </c>
      <c r="AP7" s="45" t="s">
        <v>10</v>
      </c>
      <c r="AQ7" s="292" t="s">
        <v>462</v>
      </c>
    </row>
    <row r="8" spans="1:44" ht="33.75" customHeight="1">
      <c r="A8" s="1371" t="s">
        <v>464</v>
      </c>
      <c r="B8" s="2465" t="s">
        <v>465</v>
      </c>
      <c r="C8" s="2468">
        <f>R.HN!B4</f>
        <v>3</v>
      </c>
      <c r="D8" s="2471" t="s">
        <v>466</v>
      </c>
      <c r="E8" s="119" t="s">
        <v>1134</v>
      </c>
      <c r="F8" s="1398">
        <v>50</v>
      </c>
      <c r="G8" s="1397">
        <f>R.HN!C4</f>
        <v>0</v>
      </c>
      <c r="H8" s="35">
        <f>G8*10</f>
        <v>0</v>
      </c>
      <c r="I8" s="35">
        <f>($F$8-H8)*2*694/1000</f>
        <v>69.400000000000006</v>
      </c>
      <c r="J8" s="43" t="s">
        <v>8</v>
      </c>
      <c r="K8" s="44">
        <f>IF(I8&lt;0,0,I8)</f>
        <v>69.400000000000006</v>
      </c>
      <c r="L8" s="237" t="s">
        <v>9</v>
      </c>
      <c r="M8" s="270">
        <f>R.HN!D4</f>
        <v>0</v>
      </c>
      <c r="N8" s="35">
        <f>M8*10</f>
        <v>0</v>
      </c>
      <c r="O8" s="35">
        <f>($F$8-N8)*2*694/1000</f>
        <v>69.400000000000006</v>
      </c>
      <c r="P8" s="43" t="s">
        <v>8</v>
      </c>
      <c r="Q8" s="44">
        <f>IF(O8&lt;0,0,O8)</f>
        <v>69.400000000000006</v>
      </c>
      <c r="R8" s="45" t="s">
        <v>9</v>
      </c>
      <c r="S8" s="103">
        <f>R.HN!E4</f>
        <v>0</v>
      </c>
      <c r="T8" s="35">
        <f>S8*10</f>
        <v>0</v>
      </c>
      <c r="U8" s="35">
        <f>($F$8-T8)*2*694/1000</f>
        <v>69.400000000000006</v>
      </c>
      <c r="V8" s="43" t="s">
        <v>8</v>
      </c>
      <c r="W8" s="44">
        <f>IF(U8&lt;0,0,U8)</f>
        <v>69.400000000000006</v>
      </c>
      <c r="X8" s="45" t="s">
        <v>9</v>
      </c>
      <c r="Y8" s="103">
        <f>R.HN!F4</f>
        <v>0</v>
      </c>
      <c r="Z8" s="35">
        <f>Y8*10</f>
        <v>0</v>
      </c>
      <c r="AA8" s="35">
        <f>($F$8-Z8)*2*694/1000</f>
        <v>69.400000000000006</v>
      </c>
      <c r="AB8" s="43" t="s">
        <v>8</v>
      </c>
      <c r="AC8" s="44">
        <f>IF(AA8&lt;0,0,AA8)</f>
        <v>69.400000000000006</v>
      </c>
      <c r="AD8" s="45" t="s">
        <v>9</v>
      </c>
      <c r="AE8" s="103">
        <f>R.HN!G4</f>
        <v>0</v>
      </c>
      <c r="AF8" s="35">
        <f>AE8*10</f>
        <v>0</v>
      </c>
      <c r="AG8" s="35">
        <f>($F$8-AF8)*2*694/1000</f>
        <v>69.400000000000006</v>
      </c>
      <c r="AH8" s="43" t="s">
        <v>8</v>
      </c>
      <c r="AI8" s="44">
        <f>IF(AG8&lt;0,0,AG8)</f>
        <v>69.400000000000006</v>
      </c>
      <c r="AJ8" s="45" t="s">
        <v>9</v>
      </c>
      <c r="AK8" s="103">
        <f>R.HN!H4</f>
        <v>0</v>
      </c>
      <c r="AL8" s="35">
        <f>AK8*10</f>
        <v>0</v>
      </c>
      <c r="AM8" s="35">
        <f>($F$8-AL8)*2*694/1000</f>
        <v>69.400000000000006</v>
      </c>
      <c r="AN8" s="43" t="s">
        <v>8</v>
      </c>
      <c r="AO8" s="44">
        <f>IF(AM8&lt;0,0,AM8)</f>
        <v>69.400000000000006</v>
      </c>
      <c r="AP8" s="45" t="s">
        <v>9</v>
      </c>
      <c r="AQ8" s="292" t="s">
        <v>462</v>
      </c>
    </row>
    <row r="9" spans="1:44" ht="33.75" customHeight="1">
      <c r="A9" s="1371" t="s">
        <v>467</v>
      </c>
      <c r="B9" s="2466"/>
      <c r="C9" s="2469"/>
      <c r="D9" s="2471"/>
      <c r="E9" s="119" t="s">
        <v>1135</v>
      </c>
      <c r="F9" s="1399">
        <v>6.5</v>
      </c>
      <c r="G9" s="1397">
        <f>R.HN!C5</f>
        <v>0</v>
      </c>
      <c r="H9" s="35">
        <f>IFERROR(H8/G9,0)</f>
        <v>0</v>
      </c>
      <c r="I9" s="35">
        <f>($F$9-H9)*694/1000</f>
        <v>4.5110000000000001</v>
      </c>
      <c r="J9" s="43"/>
      <c r="K9" s="44">
        <f>IF(I9&lt;0,0,I9)</f>
        <v>4.5110000000000001</v>
      </c>
      <c r="L9" s="237" t="s">
        <v>9</v>
      </c>
      <c r="M9" s="270">
        <f>R.HN!D5</f>
        <v>0</v>
      </c>
      <c r="N9" s="35">
        <f>IFERROR(N8/M9,0)</f>
        <v>0</v>
      </c>
      <c r="O9" s="35">
        <f>($F$9-N9)*694/1000</f>
        <v>4.5110000000000001</v>
      </c>
      <c r="P9" s="43"/>
      <c r="Q9" s="44">
        <f>IF(O9&lt;0,0,O9)</f>
        <v>4.5110000000000001</v>
      </c>
      <c r="R9" s="45" t="s">
        <v>9</v>
      </c>
      <c r="S9" s="103">
        <f>R.HN!E5</f>
        <v>0</v>
      </c>
      <c r="T9" s="35">
        <f>IFERROR(T8/S9,0)</f>
        <v>0</v>
      </c>
      <c r="U9" s="35">
        <f>($F$9-T9)*694/1000</f>
        <v>4.5110000000000001</v>
      </c>
      <c r="V9" s="43"/>
      <c r="W9" s="44">
        <f>IF(U9&lt;0,0,U9)</f>
        <v>4.5110000000000001</v>
      </c>
      <c r="X9" s="45" t="s">
        <v>9</v>
      </c>
      <c r="Y9" s="103">
        <f>R.HN!F5</f>
        <v>0</v>
      </c>
      <c r="Z9" s="35">
        <f>IFERROR(Z8/Y9,0)</f>
        <v>0</v>
      </c>
      <c r="AA9" s="35">
        <f>($F$9-Z9)*694/1000</f>
        <v>4.5110000000000001</v>
      </c>
      <c r="AB9" s="43"/>
      <c r="AC9" s="44">
        <f>IF(AA9&lt;0,0,AA9)</f>
        <v>4.5110000000000001</v>
      </c>
      <c r="AD9" s="45" t="s">
        <v>9</v>
      </c>
      <c r="AE9" s="103">
        <f>R.HN!G5</f>
        <v>0</v>
      </c>
      <c r="AF9" s="35">
        <f>IFERROR(AF8/AE9,0)</f>
        <v>0</v>
      </c>
      <c r="AG9" s="35">
        <f>($F$9-AF9)*694/1000</f>
        <v>4.5110000000000001</v>
      </c>
      <c r="AH9" s="43"/>
      <c r="AI9" s="44">
        <f>IF(AG9&lt;0,0,AG9)</f>
        <v>4.5110000000000001</v>
      </c>
      <c r="AJ9" s="45" t="s">
        <v>9</v>
      </c>
      <c r="AK9" s="103">
        <f>R.HN!H5</f>
        <v>0</v>
      </c>
      <c r="AL9" s="35">
        <f>IFERROR(AL8/AK9,0)</f>
        <v>0</v>
      </c>
      <c r="AM9" s="35">
        <f>($F$9-AL9)*694/1000</f>
        <v>4.5110000000000001</v>
      </c>
      <c r="AN9" s="43"/>
      <c r="AO9" s="44">
        <f>IF(AM9&lt;0,0,AM9)</f>
        <v>4.5110000000000001</v>
      </c>
      <c r="AP9" s="45" t="s">
        <v>9</v>
      </c>
      <c r="AQ9" s="292" t="s">
        <v>462</v>
      </c>
    </row>
    <row r="10" spans="1:44" ht="33.75" customHeight="1">
      <c r="A10" s="1371" t="s">
        <v>468</v>
      </c>
      <c r="B10" s="2467"/>
      <c r="C10" s="2470"/>
      <c r="D10" s="2471"/>
      <c r="E10" s="119" t="s">
        <v>1136</v>
      </c>
      <c r="F10" s="1396">
        <v>0.4</v>
      </c>
      <c r="G10" s="1397">
        <f>R.HN!C6</f>
        <v>0</v>
      </c>
      <c r="H10" s="1400">
        <f>G10</f>
        <v>0</v>
      </c>
      <c r="I10" s="35">
        <f>($F$10-H10)*5</f>
        <v>2</v>
      </c>
      <c r="J10" s="43"/>
      <c r="K10" s="46"/>
      <c r="L10" s="237" t="s">
        <v>9</v>
      </c>
      <c r="M10" s="270">
        <f>R.HN!D6</f>
        <v>0</v>
      </c>
      <c r="N10" s="1400">
        <f>M10</f>
        <v>0</v>
      </c>
      <c r="O10" s="35">
        <f>($F$10-N10)*5</f>
        <v>2</v>
      </c>
      <c r="P10" s="43"/>
      <c r="Q10" s="46"/>
      <c r="R10" s="45" t="s">
        <v>9</v>
      </c>
      <c r="S10" s="103">
        <f>R.HN!E6</f>
        <v>0</v>
      </c>
      <c r="T10" s="1400">
        <f>S10</f>
        <v>0</v>
      </c>
      <c r="U10" s="35">
        <f>($F$10-T10)*5</f>
        <v>2</v>
      </c>
      <c r="V10" s="43"/>
      <c r="W10" s="46"/>
      <c r="X10" s="45" t="s">
        <v>9</v>
      </c>
      <c r="Y10" s="103">
        <f>R.HN!F6</f>
        <v>0</v>
      </c>
      <c r="Z10" s="1400">
        <f>Y10</f>
        <v>0</v>
      </c>
      <c r="AA10" s="35">
        <f>($F$10-Z10)*5</f>
        <v>2</v>
      </c>
      <c r="AB10" s="43"/>
      <c r="AC10" s="46"/>
      <c r="AD10" s="45" t="s">
        <v>9</v>
      </c>
      <c r="AE10" s="103">
        <f>R.HN!G6</f>
        <v>0</v>
      </c>
      <c r="AF10" s="1400">
        <f>AE10</f>
        <v>0</v>
      </c>
      <c r="AG10" s="35">
        <f>($F$10-AF10)*5</f>
        <v>2</v>
      </c>
      <c r="AH10" s="43"/>
      <c r="AI10" s="46"/>
      <c r="AJ10" s="45" t="s">
        <v>9</v>
      </c>
      <c r="AK10" s="103">
        <f>R.HN!H6</f>
        <v>0</v>
      </c>
      <c r="AL10" s="1400">
        <f>AK10</f>
        <v>0</v>
      </c>
      <c r="AM10" s="35">
        <f>($F$10-AL10)*5</f>
        <v>2</v>
      </c>
      <c r="AN10" s="43"/>
      <c r="AO10" s="46" t="s">
        <v>469</v>
      </c>
      <c r="AP10" s="45" t="s">
        <v>9</v>
      </c>
      <c r="AQ10" s="292" t="s">
        <v>462</v>
      </c>
    </row>
    <row r="11" spans="1:44" ht="33.75" customHeight="1">
      <c r="A11" s="1371" t="s">
        <v>470</v>
      </c>
      <c r="B11" s="2465" t="s">
        <v>471</v>
      </c>
      <c r="C11" s="2468">
        <f>R.HN!B7</f>
        <v>4</v>
      </c>
      <c r="D11" s="2471" t="s">
        <v>466</v>
      </c>
      <c r="E11" s="119" t="s">
        <v>1134</v>
      </c>
      <c r="F11" s="1398">
        <v>50</v>
      </c>
      <c r="G11" s="1397">
        <f>R.HN!C7</f>
        <v>0</v>
      </c>
      <c r="H11" s="35">
        <f>G11*10</f>
        <v>0</v>
      </c>
      <c r="I11" s="35">
        <f>($F$8-H11)*2*694/1000</f>
        <v>69.400000000000006</v>
      </c>
      <c r="J11" s="43" t="s">
        <v>8</v>
      </c>
      <c r="K11" s="44">
        <f>IF(I11&lt;0,0,I11)</f>
        <v>69.400000000000006</v>
      </c>
      <c r="L11" s="237" t="s">
        <v>9</v>
      </c>
      <c r="M11" s="270">
        <f>R.HN!D7</f>
        <v>0</v>
      </c>
      <c r="N11" s="35">
        <f>M11*10</f>
        <v>0</v>
      </c>
      <c r="O11" s="35">
        <f>($F$8-N11)*2*694/1000</f>
        <v>69.400000000000006</v>
      </c>
      <c r="P11" s="43" t="s">
        <v>8</v>
      </c>
      <c r="Q11" s="44">
        <f>IF(O11&lt;0,0,O11)</f>
        <v>69.400000000000006</v>
      </c>
      <c r="R11" s="45" t="s">
        <v>9</v>
      </c>
      <c r="S11" s="103">
        <f>R.HN!E7</f>
        <v>0</v>
      </c>
      <c r="T11" s="35">
        <f>S11*10</f>
        <v>0</v>
      </c>
      <c r="U11" s="35">
        <f>($F$8-T11)*2*694/1000</f>
        <v>69.400000000000006</v>
      </c>
      <c r="V11" s="43" t="s">
        <v>8</v>
      </c>
      <c r="W11" s="44">
        <f>IF(U11&lt;0,0,U11)</f>
        <v>69.400000000000006</v>
      </c>
      <c r="X11" s="45" t="s">
        <v>9</v>
      </c>
      <c r="Y11" s="103">
        <f>R.HN!F7</f>
        <v>0</v>
      </c>
      <c r="Z11" s="35">
        <f>Y11*10</f>
        <v>0</v>
      </c>
      <c r="AA11" s="35">
        <f>($F$8-Z11)*2*694/1000</f>
        <v>69.400000000000006</v>
      </c>
      <c r="AB11" s="43" t="s">
        <v>8</v>
      </c>
      <c r="AC11" s="44">
        <f>IF(AA11&lt;0,0,AA11)</f>
        <v>69.400000000000006</v>
      </c>
      <c r="AD11" s="45" t="s">
        <v>9</v>
      </c>
      <c r="AE11" s="103">
        <f>R.HN!G7</f>
        <v>0</v>
      </c>
      <c r="AF11" s="35">
        <f>AE11*10</f>
        <v>0</v>
      </c>
      <c r="AG11" s="35">
        <f>($F$8-AF11)*2*694/1000</f>
        <v>69.400000000000006</v>
      </c>
      <c r="AH11" s="43" t="s">
        <v>8</v>
      </c>
      <c r="AI11" s="44">
        <f>IF(AG11&lt;0,0,AG11)</f>
        <v>69.400000000000006</v>
      </c>
      <c r="AJ11" s="45" t="s">
        <v>9</v>
      </c>
      <c r="AK11" s="103">
        <f>R.HN!H7</f>
        <v>0</v>
      </c>
      <c r="AL11" s="35">
        <f>AK11*10</f>
        <v>0</v>
      </c>
      <c r="AM11" s="35">
        <f>($F$8-AL11)*2*694/1000</f>
        <v>69.400000000000006</v>
      </c>
      <c r="AN11" s="43" t="s">
        <v>8</v>
      </c>
      <c r="AO11" s="44">
        <f>IF(AM11&lt;0,0,AM11)</f>
        <v>69.400000000000006</v>
      </c>
      <c r="AP11" s="45" t="s">
        <v>9</v>
      </c>
      <c r="AQ11" s="292" t="s">
        <v>462</v>
      </c>
    </row>
    <row r="12" spans="1:44" ht="33.75" customHeight="1">
      <c r="A12" s="1371" t="s">
        <v>472</v>
      </c>
      <c r="B12" s="2466"/>
      <c r="C12" s="2469"/>
      <c r="D12" s="2471"/>
      <c r="E12" s="119" t="s">
        <v>1135</v>
      </c>
      <c r="F12" s="1399">
        <v>6.5</v>
      </c>
      <c r="G12" s="1397">
        <f>R.HN!C8</f>
        <v>0</v>
      </c>
      <c r="H12" s="35">
        <f>IFERROR(H11/G12,0)</f>
        <v>0</v>
      </c>
      <c r="I12" s="35">
        <f>($F$9-H12)*694/1000</f>
        <v>4.5110000000000001</v>
      </c>
      <c r="J12" s="43"/>
      <c r="K12" s="44">
        <f>IF(I12&lt;0,0,I12)</f>
        <v>4.5110000000000001</v>
      </c>
      <c r="L12" s="237" t="s">
        <v>9</v>
      </c>
      <c r="M12" s="270">
        <f>R.HN!D8</f>
        <v>0</v>
      </c>
      <c r="N12" s="35">
        <f>IFERROR(N11/M12,0)</f>
        <v>0</v>
      </c>
      <c r="O12" s="35">
        <f>($F$9-N12)*694/1000</f>
        <v>4.5110000000000001</v>
      </c>
      <c r="P12" s="43"/>
      <c r="Q12" s="44">
        <f>IF(O12&lt;0,0,O12)</f>
        <v>4.5110000000000001</v>
      </c>
      <c r="R12" s="45" t="s">
        <v>9</v>
      </c>
      <c r="S12" s="103">
        <f>R.HN!E8</f>
        <v>0</v>
      </c>
      <c r="T12" s="35">
        <f>IFERROR(T11/S12,0)</f>
        <v>0</v>
      </c>
      <c r="U12" s="35">
        <f>($F$9-T12)*694/1000</f>
        <v>4.5110000000000001</v>
      </c>
      <c r="V12" s="43"/>
      <c r="W12" s="44">
        <f>IF(U12&lt;0,0,U12)</f>
        <v>4.5110000000000001</v>
      </c>
      <c r="X12" s="45" t="s">
        <v>9</v>
      </c>
      <c r="Y12" s="103">
        <f>R.HN!F8</f>
        <v>0</v>
      </c>
      <c r="Z12" s="35">
        <f>IFERROR(Z11/Y12,0)</f>
        <v>0</v>
      </c>
      <c r="AA12" s="35">
        <f>($F$9-Z12)*694/1000</f>
        <v>4.5110000000000001</v>
      </c>
      <c r="AB12" s="43"/>
      <c r="AC12" s="44">
        <f>IF(AA12&lt;0,0,AA12)</f>
        <v>4.5110000000000001</v>
      </c>
      <c r="AD12" s="45" t="s">
        <v>9</v>
      </c>
      <c r="AE12" s="103">
        <f>R.HN!G8</f>
        <v>0</v>
      </c>
      <c r="AF12" s="35">
        <f>IFERROR(AF11/AE12,0)</f>
        <v>0</v>
      </c>
      <c r="AG12" s="35">
        <f>($F$9-AF12)*694/1000</f>
        <v>4.5110000000000001</v>
      </c>
      <c r="AH12" s="43"/>
      <c r="AI12" s="44">
        <f>IF(AG12&lt;0,0,AG12)</f>
        <v>4.5110000000000001</v>
      </c>
      <c r="AJ12" s="45" t="s">
        <v>9</v>
      </c>
      <c r="AK12" s="103">
        <f>R.HN!H8</f>
        <v>0</v>
      </c>
      <c r="AL12" s="35">
        <f>IFERROR(AL11/AK12,0)</f>
        <v>0</v>
      </c>
      <c r="AM12" s="35">
        <f>($F$9-AL12)*694/1000</f>
        <v>4.5110000000000001</v>
      </c>
      <c r="AN12" s="43"/>
      <c r="AO12" s="44">
        <f>IF(AM12&lt;0,0,AM12)</f>
        <v>4.5110000000000001</v>
      </c>
      <c r="AP12" s="45" t="s">
        <v>9</v>
      </c>
      <c r="AQ12" s="292" t="s">
        <v>462</v>
      </c>
    </row>
    <row r="13" spans="1:44" ht="33.75" customHeight="1">
      <c r="A13" s="1371" t="s">
        <v>473</v>
      </c>
      <c r="B13" s="2467"/>
      <c r="C13" s="2470"/>
      <c r="D13" s="2471"/>
      <c r="E13" s="119" t="s">
        <v>1136</v>
      </c>
      <c r="F13" s="1396">
        <v>0.4</v>
      </c>
      <c r="G13" s="1397">
        <f>R.HN!C9</f>
        <v>0</v>
      </c>
      <c r="H13" s="1400">
        <f>G13</f>
        <v>0</v>
      </c>
      <c r="I13" s="35">
        <f>($F$10-H13)*5</f>
        <v>2</v>
      </c>
      <c r="J13" s="43"/>
      <c r="K13" s="46"/>
      <c r="L13" s="237" t="s">
        <v>9</v>
      </c>
      <c r="M13" s="270">
        <f>R.HN!D9</f>
        <v>0</v>
      </c>
      <c r="N13" s="1400">
        <f>M13</f>
        <v>0</v>
      </c>
      <c r="O13" s="35">
        <f>($F$10-N13)*5</f>
        <v>2</v>
      </c>
      <c r="P13" s="43"/>
      <c r="Q13" s="46"/>
      <c r="R13" s="45" t="s">
        <v>9</v>
      </c>
      <c r="S13" s="103">
        <f>R.HN!E9</f>
        <v>0</v>
      </c>
      <c r="T13" s="1400">
        <f>S13</f>
        <v>0</v>
      </c>
      <c r="U13" s="35">
        <f>($F$10-T13)*5</f>
        <v>2</v>
      </c>
      <c r="V13" s="43"/>
      <c r="W13" s="46"/>
      <c r="X13" s="45" t="s">
        <v>9</v>
      </c>
      <c r="Y13" s="103">
        <f>R.HN!F9</f>
        <v>0</v>
      </c>
      <c r="Z13" s="1400">
        <f>Y13</f>
        <v>0</v>
      </c>
      <c r="AA13" s="35">
        <f>($F$10-Z13)*5</f>
        <v>2</v>
      </c>
      <c r="AB13" s="43"/>
      <c r="AC13" s="46"/>
      <c r="AD13" s="45" t="s">
        <v>9</v>
      </c>
      <c r="AE13" s="103">
        <f>R.HN!G9</f>
        <v>0</v>
      </c>
      <c r="AF13" s="1400">
        <f>AE13</f>
        <v>0</v>
      </c>
      <c r="AG13" s="35">
        <f>($F$10-AF13)*5</f>
        <v>2</v>
      </c>
      <c r="AH13" s="43"/>
      <c r="AI13" s="46"/>
      <c r="AJ13" s="45" t="s">
        <v>9</v>
      </c>
      <c r="AK13" s="103">
        <f>R.HN!H9</f>
        <v>0</v>
      </c>
      <c r="AL13" s="1400">
        <f>AK13</f>
        <v>0</v>
      </c>
      <c r="AM13" s="35">
        <f>($F$10-AL13)*5</f>
        <v>2</v>
      </c>
      <c r="AN13" s="43"/>
      <c r="AO13" s="46" t="s">
        <v>469</v>
      </c>
      <c r="AP13" s="45" t="s">
        <v>9</v>
      </c>
      <c r="AQ13" s="292" t="s">
        <v>462</v>
      </c>
    </row>
    <row r="14" spans="1:44" ht="33.75" customHeight="1">
      <c r="A14" s="1371" t="s">
        <v>474</v>
      </c>
      <c r="B14" s="2461" t="s">
        <v>475</v>
      </c>
      <c r="C14" s="2462"/>
      <c r="D14" s="52" t="s">
        <v>466</v>
      </c>
      <c r="E14" s="119" t="s">
        <v>476</v>
      </c>
      <c r="F14" s="1399">
        <v>1</v>
      </c>
      <c r="G14" s="1397">
        <f>R.HN!C10</f>
        <v>0</v>
      </c>
      <c r="H14" s="35">
        <f>G14</f>
        <v>0</v>
      </c>
      <c r="I14" s="35">
        <f>($F$14-H14)*546/1000*8</f>
        <v>4.3680000000000003</v>
      </c>
      <c r="J14" s="43" t="s">
        <v>8</v>
      </c>
      <c r="K14" s="46">
        <f>IF(I14&lt;0,0,I14)</f>
        <v>4.3680000000000003</v>
      </c>
      <c r="L14" s="237" t="s">
        <v>9</v>
      </c>
      <c r="M14" s="270">
        <f>R.HN!D10</f>
        <v>0</v>
      </c>
      <c r="N14" s="35">
        <f>M14</f>
        <v>0</v>
      </c>
      <c r="O14" s="35">
        <f>($F$14-N14)*546/1000*8</f>
        <v>4.3680000000000003</v>
      </c>
      <c r="P14" s="43" t="s">
        <v>8</v>
      </c>
      <c r="Q14" s="46">
        <f>IF(O14&lt;0,0,O14)</f>
        <v>4.3680000000000003</v>
      </c>
      <c r="R14" s="45" t="s">
        <v>9</v>
      </c>
      <c r="S14" s="103">
        <f>R.HN!E10</f>
        <v>0</v>
      </c>
      <c r="T14" s="35">
        <f>S14</f>
        <v>0</v>
      </c>
      <c r="U14" s="35">
        <f>($F$14-T14)*546/1000*8</f>
        <v>4.3680000000000003</v>
      </c>
      <c r="V14" s="43" t="s">
        <v>8</v>
      </c>
      <c r="W14" s="46">
        <f>IF(U14&lt;0,0,U14)</f>
        <v>4.3680000000000003</v>
      </c>
      <c r="X14" s="45" t="s">
        <v>9</v>
      </c>
      <c r="Y14" s="103">
        <f>R.HN!F10</f>
        <v>0</v>
      </c>
      <c r="Z14" s="35">
        <f>Y14</f>
        <v>0</v>
      </c>
      <c r="AA14" s="35">
        <f>($F$14-Z14)*546/1000*8</f>
        <v>4.3680000000000003</v>
      </c>
      <c r="AB14" s="43" t="s">
        <v>8</v>
      </c>
      <c r="AC14" s="46">
        <f>IF(AA14&lt;0,0,AA14)</f>
        <v>4.3680000000000003</v>
      </c>
      <c r="AD14" s="45" t="s">
        <v>9</v>
      </c>
      <c r="AE14" s="103">
        <f>R.HN!G10</f>
        <v>0</v>
      </c>
      <c r="AF14" s="35">
        <f>AE14</f>
        <v>0</v>
      </c>
      <c r="AG14" s="35">
        <f>($F$14-AF14)*546/1000*8</f>
        <v>4.3680000000000003</v>
      </c>
      <c r="AH14" s="43" t="s">
        <v>8</v>
      </c>
      <c r="AI14" s="46">
        <f>IF(AG14&lt;0,0,AG14)</f>
        <v>4.3680000000000003</v>
      </c>
      <c r="AJ14" s="45" t="s">
        <v>9</v>
      </c>
      <c r="AK14" s="103">
        <f>R.HN!H10</f>
        <v>0</v>
      </c>
      <c r="AL14" s="35">
        <f>AK14</f>
        <v>0</v>
      </c>
      <c r="AM14" s="35">
        <f>($F$14-AL14)*546/1000*8</f>
        <v>4.3680000000000003</v>
      </c>
      <c r="AN14" s="43" t="s">
        <v>8</v>
      </c>
      <c r="AO14" s="46">
        <f>IF(AM14&lt;0,0,AM14)</f>
        <v>4.3680000000000003</v>
      </c>
      <c r="AP14" s="45" t="s">
        <v>9</v>
      </c>
      <c r="AQ14" s="292" t="s">
        <v>462</v>
      </c>
    </row>
    <row r="15" spans="1:44" ht="31.5" customHeight="1">
      <c r="A15" s="1371" t="s">
        <v>477</v>
      </c>
      <c r="B15" s="2463"/>
      <c r="C15" s="2464"/>
      <c r="D15" s="52" t="s">
        <v>5</v>
      </c>
      <c r="E15" s="119" t="s">
        <v>1254</v>
      </c>
      <c r="F15" s="1401">
        <v>9.5</v>
      </c>
      <c r="G15" s="1397">
        <f>R.HN!C11</f>
        <v>0</v>
      </c>
      <c r="H15" s="35">
        <f>G15</f>
        <v>0</v>
      </c>
      <c r="I15" s="35"/>
      <c r="J15" s="43"/>
      <c r="K15" s="44"/>
      <c r="L15" s="237"/>
      <c r="M15" s="270">
        <f>R.HN!D11</f>
        <v>0</v>
      </c>
      <c r="N15" s="35">
        <f>M15</f>
        <v>0</v>
      </c>
      <c r="O15" s="35"/>
      <c r="P15" s="43"/>
      <c r="Q15" s="44"/>
      <c r="R15" s="45"/>
      <c r="S15" s="103">
        <f>R.HN!E11</f>
        <v>0</v>
      </c>
      <c r="T15" s="35">
        <f>S15</f>
        <v>0</v>
      </c>
      <c r="U15" s="35"/>
      <c r="V15" s="43"/>
      <c r="W15" s="44"/>
      <c r="X15" s="45"/>
      <c r="Y15" s="103">
        <f>R.HN!F11</f>
        <v>0</v>
      </c>
      <c r="Z15" s="35">
        <f>Y15</f>
        <v>0</v>
      </c>
      <c r="AA15" s="35"/>
      <c r="AB15" s="43"/>
      <c r="AC15" s="44"/>
      <c r="AD15" s="45"/>
      <c r="AE15" s="103">
        <f>R.HN!G11</f>
        <v>0</v>
      </c>
      <c r="AF15" s="35">
        <f>AE15</f>
        <v>0</v>
      </c>
      <c r="AG15" s="35"/>
      <c r="AH15" s="43"/>
      <c r="AI15" s="44"/>
      <c r="AJ15" s="45"/>
      <c r="AK15" s="103">
        <f>R.HN!H11</f>
        <v>0</v>
      </c>
      <c r="AL15" s="35">
        <f>AK15</f>
        <v>0</v>
      </c>
      <c r="AM15" s="35"/>
      <c r="AN15" s="43"/>
      <c r="AO15" s="44"/>
      <c r="AP15" s="45"/>
      <c r="AQ15" s="292" t="s">
        <v>462</v>
      </c>
    </row>
    <row r="16" spans="1:44" ht="42.75" customHeight="1">
      <c r="A16" s="319" t="s">
        <v>76</v>
      </c>
      <c r="B16" s="320"/>
      <c r="C16" s="320"/>
      <c r="D16" s="320"/>
      <c r="E16" s="316"/>
      <c r="F16" s="320"/>
      <c r="G16" s="320"/>
      <c r="H16" s="320"/>
      <c r="I16" s="320"/>
      <c r="J16" s="320"/>
      <c r="K16" s="320"/>
      <c r="L16" s="320"/>
      <c r="M16" s="320"/>
      <c r="N16" s="321"/>
      <c r="O16" s="320"/>
      <c r="P16" s="320"/>
      <c r="Q16" s="320"/>
      <c r="R16" s="321"/>
      <c r="S16" s="320"/>
      <c r="T16" s="321"/>
      <c r="U16" s="320"/>
      <c r="V16" s="320"/>
      <c r="W16" s="320"/>
      <c r="X16" s="320"/>
      <c r="Y16" s="320"/>
      <c r="Z16" s="320"/>
      <c r="AA16" s="320"/>
      <c r="AB16" s="320"/>
      <c r="AC16" s="320"/>
      <c r="AD16" s="320"/>
      <c r="AE16" s="321"/>
      <c r="AF16" s="321"/>
      <c r="AG16" s="321"/>
      <c r="AH16" s="321"/>
      <c r="AI16" s="321"/>
      <c r="AJ16" s="321"/>
      <c r="AK16" s="321"/>
      <c r="AL16" s="321"/>
      <c r="AM16" s="321"/>
      <c r="AN16" s="321"/>
      <c r="AO16" s="321"/>
      <c r="AP16" s="1123"/>
    </row>
    <row r="17" spans="1:43" ht="50.25" customHeight="1">
      <c r="A17" s="1371" t="s">
        <v>267</v>
      </c>
      <c r="B17" s="2313" t="s">
        <v>64</v>
      </c>
      <c r="C17" s="2315"/>
      <c r="D17" s="311" t="s">
        <v>66</v>
      </c>
      <c r="E17" s="311" t="s">
        <v>67</v>
      </c>
      <c r="F17" s="1402"/>
      <c r="G17" s="1402"/>
      <c r="H17" s="313" t="s">
        <v>48</v>
      </c>
      <c r="I17" s="314"/>
      <c r="J17" s="314"/>
      <c r="K17" s="313" t="s">
        <v>65</v>
      </c>
      <c r="L17" s="330"/>
      <c r="M17" s="311"/>
      <c r="N17" s="313" t="s">
        <v>48</v>
      </c>
      <c r="O17" s="314"/>
      <c r="P17" s="314"/>
      <c r="Q17" s="313" t="s">
        <v>65</v>
      </c>
      <c r="R17" s="330"/>
      <c r="S17" s="106"/>
      <c r="T17" s="313" t="s">
        <v>48</v>
      </c>
      <c r="U17" s="314"/>
      <c r="V17" s="314"/>
      <c r="W17" s="313" t="s">
        <v>65</v>
      </c>
      <c r="X17" s="330"/>
      <c r="Y17" s="107"/>
      <c r="Z17" s="313" t="s">
        <v>48</v>
      </c>
      <c r="AA17" s="314"/>
      <c r="AB17" s="314"/>
      <c r="AC17" s="313" t="s">
        <v>65</v>
      </c>
      <c r="AD17" s="330"/>
      <c r="AE17" s="107"/>
      <c r="AF17" s="313" t="s">
        <v>48</v>
      </c>
      <c r="AG17" s="314"/>
      <c r="AH17" s="314"/>
      <c r="AI17" s="313" t="s">
        <v>65</v>
      </c>
      <c r="AJ17" s="330"/>
      <c r="AK17" s="107"/>
      <c r="AL17" s="313" t="s">
        <v>48</v>
      </c>
      <c r="AM17" s="314"/>
      <c r="AN17" s="314"/>
      <c r="AO17" s="313" t="s">
        <v>65</v>
      </c>
      <c r="AP17" s="330"/>
    </row>
    <row r="18" spans="1:43" ht="40.5" customHeight="1">
      <c r="A18" s="1371" t="s">
        <v>479</v>
      </c>
      <c r="B18" s="2313" t="s">
        <v>480</v>
      </c>
      <c r="C18" s="2315"/>
      <c r="D18" s="21" t="s">
        <v>113</v>
      </c>
      <c r="E18" s="119" t="s">
        <v>1255</v>
      </c>
      <c r="F18" s="111"/>
      <c r="G18" s="111"/>
      <c r="H18" s="2091"/>
      <c r="I18" s="2092"/>
      <c r="J18" s="2092"/>
      <c r="K18" s="2091"/>
      <c r="L18" s="2092"/>
      <c r="M18" s="107"/>
      <c r="N18" s="2091"/>
      <c r="O18" s="2092"/>
      <c r="P18" s="2092"/>
      <c r="Q18" s="2091"/>
      <c r="R18" s="2092"/>
      <c r="S18" s="107"/>
      <c r="T18" s="2091"/>
      <c r="U18" s="2092"/>
      <c r="V18" s="2092"/>
      <c r="W18" s="2091"/>
      <c r="X18" s="2092"/>
      <c r="Y18" s="107"/>
      <c r="Z18" s="2091"/>
      <c r="AA18" s="2092"/>
      <c r="AB18" s="2092"/>
      <c r="AC18" s="2091"/>
      <c r="AD18" s="2092"/>
      <c r="AE18" s="107"/>
      <c r="AF18" s="2091"/>
      <c r="AG18" s="2092"/>
      <c r="AH18" s="2092"/>
      <c r="AI18" s="2091"/>
      <c r="AJ18" s="2092"/>
      <c r="AK18" s="107"/>
      <c r="AL18" s="2091"/>
      <c r="AM18" s="2092"/>
      <c r="AN18" s="2092"/>
      <c r="AO18" s="2091"/>
      <c r="AP18" s="2092"/>
      <c r="AQ18" s="292" t="s">
        <v>462</v>
      </c>
    </row>
    <row r="19" spans="1:43" ht="40.5" customHeight="1">
      <c r="A19" s="1371" t="s">
        <v>481</v>
      </c>
      <c r="B19" s="2313" t="s">
        <v>482</v>
      </c>
      <c r="C19" s="2315"/>
      <c r="D19" s="21" t="s">
        <v>113</v>
      </c>
      <c r="E19" s="119" t="s">
        <v>1255</v>
      </c>
      <c r="F19" s="111"/>
      <c r="G19" s="111"/>
      <c r="H19" s="2091"/>
      <c r="I19" s="2092"/>
      <c r="J19" s="2092"/>
      <c r="K19" s="2091"/>
      <c r="L19" s="2092"/>
      <c r="M19" s="107"/>
      <c r="N19" s="2091"/>
      <c r="O19" s="2092"/>
      <c r="P19" s="2092"/>
      <c r="Q19" s="2091"/>
      <c r="R19" s="2092"/>
      <c r="S19" s="107"/>
      <c r="T19" s="2091"/>
      <c r="U19" s="2092"/>
      <c r="V19" s="2092"/>
      <c r="W19" s="2091"/>
      <c r="X19" s="2092"/>
      <c r="Y19" s="107"/>
      <c r="Z19" s="2091"/>
      <c r="AA19" s="2092"/>
      <c r="AB19" s="2092"/>
      <c r="AC19" s="2091"/>
      <c r="AD19" s="2092"/>
      <c r="AE19" s="107"/>
      <c r="AF19" s="2091"/>
      <c r="AG19" s="2092"/>
      <c r="AH19" s="2092"/>
      <c r="AI19" s="2091"/>
      <c r="AJ19" s="2092"/>
      <c r="AK19" s="107"/>
      <c r="AL19" s="2091"/>
      <c r="AM19" s="2092"/>
      <c r="AN19" s="2092"/>
      <c r="AO19" s="2091"/>
      <c r="AP19" s="2092"/>
      <c r="AQ19" s="292" t="s">
        <v>462</v>
      </c>
    </row>
    <row r="20" spans="1:43" ht="40.5" customHeight="1">
      <c r="A20" s="1371" t="s">
        <v>483</v>
      </c>
      <c r="B20" s="2313" t="s">
        <v>475</v>
      </c>
      <c r="C20" s="2315"/>
      <c r="D20" s="21" t="s">
        <v>113</v>
      </c>
      <c r="E20" s="119" t="s">
        <v>1256</v>
      </c>
      <c r="F20" s="111"/>
      <c r="G20" s="111"/>
      <c r="H20" s="2091"/>
      <c r="I20" s="2092"/>
      <c r="J20" s="2092"/>
      <c r="K20" s="2091"/>
      <c r="L20" s="2092"/>
      <c r="M20" s="107"/>
      <c r="N20" s="2091"/>
      <c r="O20" s="2092"/>
      <c r="P20" s="2092"/>
      <c r="Q20" s="2091"/>
      <c r="R20" s="2092"/>
      <c r="S20" s="107"/>
      <c r="T20" s="2091"/>
      <c r="U20" s="2092"/>
      <c r="V20" s="2092"/>
      <c r="W20" s="2091"/>
      <c r="X20" s="2092"/>
      <c r="Y20" s="107"/>
      <c r="Z20" s="2091"/>
      <c r="AA20" s="2092"/>
      <c r="AB20" s="2092"/>
      <c r="AC20" s="2091"/>
      <c r="AD20" s="2092"/>
      <c r="AE20" s="107"/>
      <c r="AF20" s="2091"/>
      <c r="AG20" s="2092"/>
      <c r="AH20" s="2092"/>
      <c r="AI20" s="2091"/>
      <c r="AJ20" s="2092"/>
      <c r="AK20" s="107"/>
      <c r="AL20" s="2091"/>
      <c r="AM20" s="2092"/>
      <c r="AN20" s="2092"/>
      <c r="AO20" s="2091"/>
      <c r="AP20" s="2092"/>
      <c r="AQ20" s="292" t="s">
        <v>462</v>
      </c>
    </row>
    <row r="21" spans="1:43" ht="35.25" customHeight="1">
      <c r="A21" s="1403"/>
      <c r="B21" s="1403"/>
      <c r="C21" s="1403"/>
      <c r="D21" s="1403"/>
      <c r="E21" s="1403"/>
      <c r="F21" s="1403"/>
      <c r="G21" s="1403"/>
      <c r="H21" s="1404"/>
      <c r="I21" s="1404"/>
      <c r="J21" s="1404"/>
      <c r="K21" s="1404"/>
      <c r="L21" s="1404"/>
      <c r="M21" s="1404"/>
      <c r="N21" s="1404"/>
      <c r="O21" s="1404"/>
      <c r="P21" s="1404"/>
      <c r="Q21" s="1404"/>
      <c r="R21" s="1404"/>
      <c r="S21" s="1404"/>
      <c r="T21" s="1404"/>
      <c r="U21" s="1404"/>
      <c r="V21" s="1404"/>
      <c r="W21" s="1404"/>
      <c r="X21" s="1404"/>
      <c r="Y21" s="1404"/>
      <c r="Z21" s="1404"/>
      <c r="AA21" s="1404"/>
      <c r="AB21" s="1404"/>
      <c r="AC21" s="1404"/>
      <c r="AD21" s="1404"/>
      <c r="AP21" s="292"/>
    </row>
    <row r="22" spans="1:43" ht="41.25" customHeight="1">
      <c r="A22" s="94" t="s">
        <v>965</v>
      </c>
      <c r="B22" s="306"/>
      <c r="C22" s="95"/>
      <c r="D22" s="95"/>
      <c r="E22" s="297"/>
      <c r="F22" s="96" t="s">
        <v>75</v>
      </c>
      <c r="G22" s="97"/>
      <c r="H22" s="449" t="s">
        <v>75</v>
      </c>
      <c r="I22" s="449"/>
      <c r="J22" s="449"/>
      <c r="K22" s="449"/>
      <c r="L22" s="449"/>
      <c r="M22" s="449"/>
      <c r="N22" s="449"/>
      <c r="O22" s="449"/>
      <c r="P22" s="449"/>
      <c r="Q22" s="449"/>
      <c r="R22" s="449"/>
      <c r="S22" s="449"/>
      <c r="T22" s="449"/>
      <c r="U22" s="449"/>
      <c r="V22" s="449"/>
      <c r="W22" s="449"/>
      <c r="X22" s="449"/>
      <c r="Y22" s="449"/>
      <c r="Z22" s="449"/>
      <c r="AA22" s="449"/>
      <c r="AB22" s="449"/>
      <c r="AC22" s="449"/>
      <c r="AD22" s="449"/>
      <c r="AE22" s="449"/>
      <c r="AF22" s="449"/>
      <c r="AG22" s="449"/>
      <c r="AH22" s="449"/>
      <c r="AI22" s="449"/>
      <c r="AJ22" s="449"/>
      <c r="AK22" s="449"/>
      <c r="AL22" s="449"/>
      <c r="AM22" s="449"/>
      <c r="AN22" s="449"/>
      <c r="AO22" s="449"/>
      <c r="AP22" s="449"/>
    </row>
    <row r="23" spans="1:43" ht="30" customHeight="1">
      <c r="A23" s="468"/>
      <c r="B23" s="2448" t="s">
        <v>79</v>
      </c>
      <c r="C23" s="2449"/>
      <c r="D23" s="2452" t="s">
        <v>136</v>
      </c>
      <c r="E23" s="2454" t="s">
        <v>67</v>
      </c>
      <c r="F23" s="1405"/>
      <c r="G23" s="99"/>
      <c r="H23" s="2474" t="s">
        <v>456</v>
      </c>
      <c r="I23" s="2474"/>
      <c r="J23" s="2474"/>
      <c r="K23" s="2474"/>
      <c r="L23" s="2474"/>
      <c r="M23" s="1394"/>
      <c r="N23" s="2475" t="s">
        <v>419</v>
      </c>
      <c r="O23" s="2475"/>
      <c r="P23" s="2475"/>
      <c r="Q23" s="2475"/>
      <c r="R23" s="2475"/>
      <c r="S23" s="1394"/>
      <c r="T23" s="2474" t="s">
        <v>420</v>
      </c>
      <c r="U23" s="2474"/>
      <c r="V23" s="2474"/>
      <c r="W23" s="2474"/>
      <c r="X23" s="2474"/>
      <c r="Y23" s="1394"/>
      <c r="Z23" s="2474" t="s">
        <v>421</v>
      </c>
      <c r="AA23" s="2474"/>
      <c r="AB23" s="2474"/>
      <c r="AC23" s="2474"/>
      <c r="AD23" s="2474"/>
      <c r="AE23" s="1394"/>
      <c r="AF23" s="2474" t="s">
        <v>422</v>
      </c>
      <c r="AG23" s="2474"/>
      <c r="AH23" s="2474"/>
      <c r="AI23" s="2474"/>
      <c r="AJ23" s="2474"/>
      <c r="AK23" s="1394"/>
      <c r="AL23" s="2474" t="s">
        <v>423</v>
      </c>
      <c r="AM23" s="2474"/>
      <c r="AN23" s="2474"/>
      <c r="AO23" s="2474"/>
      <c r="AP23" s="2474"/>
    </row>
    <row r="24" spans="1:43" ht="30" customHeight="1">
      <c r="A24" s="1367" t="s">
        <v>267</v>
      </c>
      <c r="B24" s="2450"/>
      <c r="C24" s="2451"/>
      <c r="D24" s="2453"/>
      <c r="E24" s="2455"/>
      <c r="F24" s="1395" t="s">
        <v>457</v>
      </c>
      <c r="G24" s="20"/>
      <c r="H24" s="1365" t="s">
        <v>145</v>
      </c>
      <c r="I24" s="34" t="s">
        <v>1</v>
      </c>
      <c r="J24" s="316" t="s">
        <v>1</v>
      </c>
      <c r="K24" s="316"/>
      <c r="L24" s="317"/>
      <c r="M24" s="100"/>
      <c r="N24" s="1365" t="s">
        <v>145</v>
      </c>
      <c r="O24" s="34" t="s">
        <v>1</v>
      </c>
      <c r="P24" s="316" t="s">
        <v>1</v>
      </c>
      <c r="Q24" s="316"/>
      <c r="R24" s="317"/>
      <c r="S24" s="20"/>
      <c r="T24" s="1365" t="s">
        <v>145</v>
      </c>
      <c r="U24" s="34" t="s">
        <v>1</v>
      </c>
      <c r="V24" s="316" t="s">
        <v>1</v>
      </c>
      <c r="W24" s="316"/>
      <c r="X24" s="317"/>
      <c r="Y24" s="100"/>
      <c r="Z24" s="1365" t="s">
        <v>145</v>
      </c>
      <c r="AA24" s="34" t="s">
        <v>1</v>
      </c>
      <c r="AB24" s="316" t="s">
        <v>1</v>
      </c>
      <c r="AC24" s="316"/>
      <c r="AD24" s="317"/>
      <c r="AE24" s="100"/>
      <c r="AF24" s="1365" t="s">
        <v>145</v>
      </c>
      <c r="AG24" s="34" t="s">
        <v>1</v>
      </c>
      <c r="AH24" s="316" t="s">
        <v>1</v>
      </c>
      <c r="AI24" s="316"/>
      <c r="AJ24" s="317"/>
      <c r="AK24" s="100"/>
      <c r="AL24" s="1365" t="s">
        <v>145</v>
      </c>
      <c r="AM24" s="34" t="s">
        <v>1</v>
      </c>
      <c r="AN24" s="316" t="s">
        <v>1</v>
      </c>
      <c r="AO24" s="316"/>
      <c r="AP24" s="317"/>
    </row>
    <row r="25" spans="1:43" ht="30" customHeight="1">
      <c r="A25" s="1371" t="s">
        <v>1257</v>
      </c>
      <c r="B25" s="2333" t="s">
        <v>484</v>
      </c>
      <c r="C25" s="2335"/>
      <c r="D25" s="308" t="s">
        <v>466</v>
      </c>
      <c r="E25" s="119" t="s">
        <v>485</v>
      </c>
      <c r="F25" s="1398">
        <v>40</v>
      </c>
      <c r="G25" s="1397">
        <f>R.HN!C16</f>
        <v>0</v>
      </c>
      <c r="H25" s="35">
        <f>G25*10</f>
        <v>0</v>
      </c>
      <c r="I25" s="35">
        <f>($F$25-H25)*2330/1000</f>
        <v>93.2</v>
      </c>
      <c r="J25" s="43" t="s">
        <v>8</v>
      </c>
      <c r="K25" s="46">
        <f>IF(I25&lt;0,0,I25)</f>
        <v>93.2</v>
      </c>
      <c r="L25" s="237" t="s">
        <v>9</v>
      </c>
      <c r="M25" s="1397">
        <f>R.HN!D16</f>
        <v>0</v>
      </c>
      <c r="N25" s="35">
        <f>M25*10</f>
        <v>0</v>
      </c>
      <c r="O25" s="35">
        <f>($F$25-N25)*2330/1000</f>
        <v>93.2</v>
      </c>
      <c r="P25" s="43" t="s">
        <v>8</v>
      </c>
      <c r="Q25" s="46">
        <f>IF(O25&lt;0,0,O25)</f>
        <v>93.2</v>
      </c>
      <c r="R25" s="237" t="s">
        <v>9</v>
      </c>
      <c r="S25" s="1397">
        <f>R.HN!E16</f>
        <v>0</v>
      </c>
      <c r="T25" s="35">
        <f>S25*10</f>
        <v>0</v>
      </c>
      <c r="U25" s="35">
        <f>($F$25-T25)*2330/1000</f>
        <v>93.2</v>
      </c>
      <c r="V25" s="43" t="s">
        <v>8</v>
      </c>
      <c r="W25" s="46">
        <f>IF(U25&lt;0,0,U25)</f>
        <v>93.2</v>
      </c>
      <c r="X25" s="237" t="s">
        <v>9</v>
      </c>
      <c r="Y25" s="1397">
        <f>R.HN!F16</f>
        <v>0</v>
      </c>
      <c r="Z25" s="35">
        <f>Y25*10</f>
        <v>0</v>
      </c>
      <c r="AA25" s="35">
        <f>($F$25-Z25)*2330/1000</f>
        <v>93.2</v>
      </c>
      <c r="AB25" s="43" t="s">
        <v>8</v>
      </c>
      <c r="AC25" s="46">
        <f>IF(AA25&lt;0,0,AA25)</f>
        <v>93.2</v>
      </c>
      <c r="AD25" s="237" t="s">
        <v>9</v>
      </c>
      <c r="AE25" s="1397">
        <f>R.HN!G16</f>
        <v>0</v>
      </c>
      <c r="AF25" s="35">
        <f>AE25*10</f>
        <v>0</v>
      </c>
      <c r="AG25" s="35">
        <f>($F$25-AF25)*2330/1000</f>
        <v>93.2</v>
      </c>
      <c r="AH25" s="43" t="s">
        <v>8</v>
      </c>
      <c r="AI25" s="46">
        <f>IF(AG25&lt;0,0,AG25)</f>
        <v>93.2</v>
      </c>
      <c r="AJ25" s="237" t="s">
        <v>9</v>
      </c>
      <c r="AK25" s="1397">
        <f>R.HN!H16</f>
        <v>0</v>
      </c>
      <c r="AL25" s="35">
        <f>AK25*10</f>
        <v>0</v>
      </c>
      <c r="AM25" s="35">
        <f>($F$25-AL25)*2330/1000</f>
        <v>93.2</v>
      </c>
      <c r="AN25" s="43" t="s">
        <v>8</v>
      </c>
      <c r="AO25" s="46">
        <f>IF(AM25&lt;0,0,AM25)</f>
        <v>93.2</v>
      </c>
      <c r="AP25" s="237" t="s">
        <v>9</v>
      </c>
      <c r="AQ25" s="292" t="s">
        <v>486</v>
      </c>
    </row>
    <row r="26" spans="1:43" ht="30" customHeight="1">
      <c r="A26" s="1371" t="s">
        <v>984</v>
      </c>
      <c r="B26" s="2333" t="s">
        <v>882</v>
      </c>
      <c r="C26" s="2335"/>
      <c r="D26" s="1166" t="s">
        <v>3</v>
      </c>
      <c r="E26" s="119" t="s">
        <v>461</v>
      </c>
      <c r="F26" s="1396">
        <v>12.5</v>
      </c>
      <c r="G26" s="1397">
        <f>R.HN!C17</f>
        <v>0</v>
      </c>
      <c r="H26" s="35">
        <f>(1*G26*36.5)/(1*10)</f>
        <v>0</v>
      </c>
      <c r="I26" s="35">
        <f>($F$26-H26)*2605/32</f>
        <v>1017.578125</v>
      </c>
      <c r="J26" s="43" t="s">
        <v>8</v>
      </c>
      <c r="K26" s="44">
        <f>IF(I26&lt;0,0,I26)</f>
        <v>1017.578125</v>
      </c>
      <c r="L26" s="237" t="s">
        <v>10</v>
      </c>
      <c r="M26" s="1397">
        <f>R.HN!D17</f>
        <v>0</v>
      </c>
      <c r="N26" s="35">
        <f>(1*M26*36.5)/(1*10)</f>
        <v>0</v>
      </c>
      <c r="O26" s="35">
        <f>($F$26-N26)*2605/32</f>
        <v>1017.578125</v>
      </c>
      <c r="P26" s="43" t="s">
        <v>8</v>
      </c>
      <c r="Q26" s="44">
        <f>IF(O26&lt;0,0,O26)</f>
        <v>1017.578125</v>
      </c>
      <c r="R26" s="237" t="s">
        <v>10</v>
      </c>
      <c r="S26" s="1397">
        <f>R.HN!E17</f>
        <v>0</v>
      </c>
      <c r="T26" s="35">
        <f>(1*S26*36.5)/(1*10)</f>
        <v>0</v>
      </c>
      <c r="U26" s="35">
        <f>($F$26-T26)*2605/32</f>
        <v>1017.578125</v>
      </c>
      <c r="V26" s="43" t="s">
        <v>8</v>
      </c>
      <c r="W26" s="44">
        <f>IF(U26&lt;0,0,U26)</f>
        <v>1017.578125</v>
      </c>
      <c r="X26" s="237" t="s">
        <v>10</v>
      </c>
      <c r="Y26" s="1397">
        <f>R.HN!F17</f>
        <v>0</v>
      </c>
      <c r="Z26" s="35">
        <f>(1*Y26*36.5)/(1*10)</f>
        <v>0</v>
      </c>
      <c r="AA26" s="35">
        <f>($F$26-Z26)*2605/32</f>
        <v>1017.578125</v>
      </c>
      <c r="AB26" s="43" t="s">
        <v>8</v>
      </c>
      <c r="AC26" s="44">
        <f>IF(AA26&lt;0,0,AA26)</f>
        <v>1017.578125</v>
      </c>
      <c r="AD26" s="237" t="s">
        <v>10</v>
      </c>
      <c r="AE26" s="1397">
        <f>R.HN!G17</f>
        <v>0</v>
      </c>
      <c r="AF26" s="35">
        <f>(1*AE26*36.5)/(1*10)</f>
        <v>0</v>
      </c>
      <c r="AG26" s="35">
        <f>($F$26-AF26)*2605/32</f>
        <v>1017.578125</v>
      </c>
      <c r="AH26" s="43" t="s">
        <v>8</v>
      </c>
      <c r="AI26" s="44">
        <f>IF(AG26&lt;0,0,AG26)</f>
        <v>1017.578125</v>
      </c>
      <c r="AJ26" s="237" t="s">
        <v>10</v>
      </c>
      <c r="AK26" s="1397">
        <f>R.HN!H17</f>
        <v>0</v>
      </c>
      <c r="AL26" s="35">
        <f>(1*AK26*36.5)/(1*10)</f>
        <v>0</v>
      </c>
      <c r="AM26" s="35">
        <f>($F$26-AL26)*2605/32</f>
        <v>1017.578125</v>
      </c>
      <c r="AN26" s="43" t="s">
        <v>8</v>
      </c>
      <c r="AO26" s="44">
        <f>IF(AM26&lt;0,0,AM26)</f>
        <v>1017.578125</v>
      </c>
      <c r="AP26" s="237" t="s">
        <v>10</v>
      </c>
      <c r="AQ26" s="292" t="s">
        <v>486</v>
      </c>
    </row>
    <row r="27" spans="1:43" ht="30" customHeight="1">
      <c r="A27" s="1371" t="s">
        <v>988</v>
      </c>
      <c r="B27" s="2461" t="s">
        <v>465</v>
      </c>
      <c r="C27" s="1369"/>
      <c r="D27" s="2471" t="s">
        <v>466</v>
      </c>
      <c r="E27" s="119" t="s">
        <v>1134</v>
      </c>
      <c r="F27" s="1406">
        <v>50</v>
      </c>
      <c r="G27" s="1397">
        <f>R.HN!C18</f>
        <v>0</v>
      </c>
      <c r="H27" s="35">
        <f>G27*10</f>
        <v>0</v>
      </c>
      <c r="I27" s="35">
        <f>($F$43-H27)*4935/1000</f>
        <v>246.75</v>
      </c>
      <c r="J27" s="43" t="s">
        <v>8</v>
      </c>
      <c r="K27" s="44">
        <f>IF(I27&lt;0,0,I27)</f>
        <v>246.75</v>
      </c>
      <c r="L27" s="237" t="s">
        <v>9</v>
      </c>
      <c r="M27" s="1397">
        <f>R.HN!D18</f>
        <v>0</v>
      </c>
      <c r="N27" s="35">
        <f>M27*10</f>
        <v>0</v>
      </c>
      <c r="O27" s="35">
        <f>($F$43-N27)*4935/1000</f>
        <v>246.75</v>
      </c>
      <c r="P27" s="43" t="s">
        <v>8</v>
      </c>
      <c r="Q27" s="44">
        <f>IF(O27&lt;0,0,O27)</f>
        <v>246.75</v>
      </c>
      <c r="R27" s="237" t="s">
        <v>9</v>
      </c>
      <c r="S27" s="1397">
        <f>R.HN!E18</f>
        <v>0</v>
      </c>
      <c r="T27" s="35">
        <f>S27*10</f>
        <v>0</v>
      </c>
      <c r="U27" s="35">
        <f>($F$43-T27)*4935/1000</f>
        <v>246.75</v>
      </c>
      <c r="V27" s="43" t="s">
        <v>8</v>
      </c>
      <c r="W27" s="44">
        <f>IF(U27&lt;0,0,U27)</f>
        <v>246.75</v>
      </c>
      <c r="X27" s="237" t="s">
        <v>9</v>
      </c>
      <c r="Y27" s="1397">
        <f>R.HN!F18</f>
        <v>0</v>
      </c>
      <c r="Z27" s="35">
        <f>Y27*10</f>
        <v>0</v>
      </c>
      <c r="AA27" s="35">
        <f>($F$43-Z27)*4935/1000</f>
        <v>246.75</v>
      </c>
      <c r="AB27" s="43" t="s">
        <v>8</v>
      </c>
      <c r="AC27" s="44">
        <f>IF(AA27&lt;0,0,AA27)</f>
        <v>246.75</v>
      </c>
      <c r="AD27" s="237" t="s">
        <v>9</v>
      </c>
      <c r="AE27" s="1397">
        <f>R.HN!G18</f>
        <v>0</v>
      </c>
      <c r="AF27" s="35">
        <f>AE27*10</f>
        <v>0</v>
      </c>
      <c r="AG27" s="35">
        <f>($F$43-AF27)*4935/1000</f>
        <v>246.75</v>
      </c>
      <c r="AH27" s="43" t="s">
        <v>8</v>
      </c>
      <c r="AI27" s="44">
        <f>IF(AG27&lt;0,0,AG27)</f>
        <v>246.75</v>
      </c>
      <c r="AJ27" s="237" t="s">
        <v>9</v>
      </c>
      <c r="AK27" s="1397">
        <f>R.HN!H18</f>
        <v>0</v>
      </c>
      <c r="AL27" s="35">
        <f>AK27*10</f>
        <v>0</v>
      </c>
      <c r="AM27" s="35">
        <f>($F$43-AL27)*4935/1000</f>
        <v>246.75</v>
      </c>
      <c r="AN27" s="43" t="s">
        <v>8</v>
      </c>
      <c r="AO27" s="44">
        <f>IF(AM27&lt;0,0,AM27)</f>
        <v>246.75</v>
      </c>
      <c r="AP27" s="237" t="s">
        <v>9</v>
      </c>
      <c r="AQ27" s="292" t="s">
        <v>486</v>
      </c>
    </row>
    <row r="28" spans="1:43" ht="30" customHeight="1">
      <c r="A28" s="1371" t="s">
        <v>1258</v>
      </c>
      <c r="B28" s="2473"/>
      <c r="C28" s="474"/>
      <c r="D28" s="2471"/>
      <c r="E28" s="119" t="s">
        <v>1135</v>
      </c>
      <c r="F28" s="1397">
        <v>6.5</v>
      </c>
      <c r="G28" s="1397">
        <f>R.HN!C19</f>
        <v>0</v>
      </c>
      <c r="H28" s="35">
        <f>IFERROR(H27/G28,0)</f>
        <v>0</v>
      </c>
      <c r="I28" s="35">
        <f>($F$44-H28)*4935/1000</f>
        <v>32.077500000000001</v>
      </c>
      <c r="J28" s="43"/>
      <c r="K28" s="44">
        <f>IF(I28&lt;0,0,I28)</f>
        <v>32.077500000000001</v>
      </c>
      <c r="L28" s="237" t="s">
        <v>9</v>
      </c>
      <c r="M28" s="1397">
        <f>R.HN!D19</f>
        <v>0</v>
      </c>
      <c r="N28" s="35">
        <f>IFERROR(N27/M28,0)</f>
        <v>0</v>
      </c>
      <c r="O28" s="35">
        <f>($F$44-N28)*4935/1000</f>
        <v>32.077500000000001</v>
      </c>
      <c r="P28" s="43"/>
      <c r="Q28" s="44">
        <f>IF(O28&lt;0,0,O28)</f>
        <v>32.077500000000001</v>
      </c>
      <c r="R28" s="237" t="s">
        <v>9</v>
      </c>
      <c r="S28" s="1397">
        <f>R.HN!E19</f>
        <v>0</v>
      </c>
      <c r="T28" s="35">
        <f>IFERROR(T27/S28,0)</f>
        <v>0</v>
      </c>
      <c r="U28" s="35">
        <f>($F$44-T28)*4935/1000</f>
        <v>32.077500000000001</v>
      </c>
      <c r="V28" s="43"/>
      <c r="W28" s="44">
        <f>IF(U28&lt;0,0,U28)</f>
        <v>32.077500000000001</v>
      </c>
      <c r="X28" s="237" t="s">
        <v>9</v>
      </c>
      <c r="Y28" s="1397">
        <f>R.HN!F19</f>
        <v>0</v>
      </c>
      <c r="Z28" s="35">
        <f>IFERROR(Z27/Y28,0)</f>
        <v>0</v>
      </c>
      <c r="AA28" s="35">
        <f>($F$44-Z28)*4935/1000</f>
        <v>32.077500000000001</v>
      </c>
      <c r="AB28" s="43"/>
      <c r="AC28" s="44">
        <f>IF(AA28&lt;0,0,AA28)</f>
        <v>32.077500000000001</v>
      </c>
      <c r="AD28" s="237" t="s">
        <v>9</v>
      </c>
      <c r="AE28" s="1397">
        <f>R.HN!G19</f>
        <v>0</v>
      </c>
      <c r="AF28" s="35">
        <f>IFERROR(AF27/AE28,0)</f>
        <v>0</v>
      </c>
      <c r="AG28" s="35">
        <f>($F$44-AF28)*4935/1000</f>
        <v>32.077500000000001</v>
      </c>
      <c r="AH28" s="43"/>
      <c r="AI28" s="44">
        <f>IF(AG28&lt;0,0,AG28)</f>
        <v>32.077500000000001</v>
      </c>
      <c r="AJ28" s="237" t="s">
        <v>9</v>
      </c>
      <c r="AK28" s="1397">
        <f>R.HN!H19</f>
        <v>0</v>
      </c>
      <c r="AL28" s="35">
        <f>IFERROR(AL27/AK28,0)</f>
        <v>0</v>
      </c>
      <c r="AM28" s="35">
        <f>($F$44-AL28)*4935/1000</f>
        <v>32.077500000000001</v>
      </c>
      <c r="AN28" s="43"/>
      <c r="AO28" s="44">
        <f>IF(AM28&lt;0,0,AM28)</f>
        <v>32.077500000000001</v>
      </c>
      <c r="AP28" s="237" t="s">
        <v>9</v>
      </c>
      <c r="AQ28" s="292" t="s">
        <v>486</v>
      </c>
    </row>
    <row r="29" spans="1:43" ht="30" customHeight="1">
      <c r="A29" s="1371" t="s">
        <v>1259</v>
      </c>
      <c r="B29" s="2463"/>
      <c r="C29" s="1370"/>
      <c r="D29" s="2471"/>
      <c r="E29" s="119" t="s">
        <v>1136</v>
      </c>
      <c r="F29" s="1407">
        <v>0.4</v>
      </c>
      <c r="G29" s="1397">
        <f>R.HN!C20</f>
        <v>0</v>
      </c>
      <c r="H29" s="1400">
        <f>G29</f>
        <v>0</v>
      </c>
      <c r="I29" s="35"/>
      <c r="J29" s="43"/>
      <c r="K29" s="46"/>
      <c r="L29" s="237" t="s">
        <v>9</v>
      </c>
      <c r="M29" s="1397">
        <f>R.HN!D20</f>
        <v>0</v>
      </c>
      <c r="N29" s="1400">
        <f>M29</f>
        <v>0</v>
      </c>
      <c r="O29" s="35"/>
      <c r="P29" s="43"/>
      <c r="Q29" s="46"/>
      <c r="R29" s="237" t="s">
        <v>9</v>
      </c>
      <c r="S29" s="1397">
        <f>R.HN!E20</f>
        <v>0</v>
      </c>
      <c r="T29" s="1400">
        <f>S29</f>
        <v>0</v>
      </c>
      <c r="U29" s="35"/>
      <c r="V29" s="43"/>
      <c r="W29" s="46"/>
      <c r="X29" s="237" t="s">
        <v>9</v>
      </c>
      <c r="Y29" s="1397">
        <f>R.HN!F20</f>
        <v>0</v>
      </c>
      <c r="Z29" s="1400">
        <f>Y29</f>
        <v>0</v>
      </c>
      <c r="AA29" s="35"/>
      <c r="AB29" s="43"/>
      <c r="AC29" s="46"/>
      <c r="AD29" s="237" t="s">
        <v>9</v>
      </c>
      <c r="AE29" s="1397">
        <f>R.HN!G20</f>
        <v>0</v>
      </c>
      <c r="AF29" s="1400">
        <f>AE29</f>
        <v>0</v>
      </c>
      <c r="AG29" s="35"/>
      <c r="AH29" s="43"/>
      <c r="AI29" s="46"/>
      <c r="AJ29" s="237" t="s">
        <v>9</v>
      </c>
      <c r="AK29" s="1397">
        <f>R.HN!H20</f>
        <v>0</v>
      </c>
      <c r="AL29" s="1400">
        <f>AK29</f>
        <v>0</v>
      </c>
      <c r="AM29" s="35"/>
      <c r="AN29" s="43"/>
      <c r="AO29" s="46" t="s">
        <v>469</v>
      </c>
      <c r="AP29" s="237" t="s">
        <v>9</v>
      </c>
      <c r="AQ29" s="292" t="s">
        <v>486</v>
      </c>
    </row>
    <row r="30" spans="1:43" ht="30" customHeight="1">
      <c r="A30" s="1371" t="s">
        <v>1260</v>
      </c>
      <c r="B30" s="2461" t="s">
        <v>475</v>
      </c>
      <c r="C30" s="2462"/>
      <c r="D30" s="52" t="s">
        <v>466</v>
      </c>
      <c r="E30" s="119" t="s">
        <v>476</v>
      </c>
      <c r="F30" s="1399">
        <v>1</v>
      </c>
      <c r="G30" s="1397">
        <f>R.HN!C21</f>
        <v>0</v>
      </c>
      <c r="H30" s="35">
        <f>G30</f>
        <v>0</v>
      </c>
      <c r="I30" s="35">
        <f>($F$30-H30)*1234/1000</f>
        <v>1.234</v>
      </c>
      <c r="J30" s="43" t="s">
        <v>8</v>
      </c>
      <c r="K30" s="46">
        <f>IF(I30&lt;0,0,I30)</f>
        <v>1.234</v>
      </c>
      <c r="L30" s="237" t="s">
        <v>9</v>
      </c>
      <c r="M30" s="1397">
        <f>R.HN!D21</f>
        <v>0</v>
      </c>
      <c r="N30" s="35">
        <f>M30</f>
        <v>0</v>
      </c>
      <c r="O30" s="35">
        <f>($F$30-N30)*1234/1000</f>
        <v>1.234</v>
      </c>
      <c r="P30" s="43" t="s">
        <v>8</v>
      </c>
      <c r="Q30" s="46">
        <f>IF(O30&lt;0,0,O30)</f>
        <v>1.234</v>
      </c>
      <c r="R30" s="237" t="s">
        <v>9</v>
      </c>
      <c r="S30" s="1397">
        <f>R.HN!E21</f>
        <v>0</v>
      </c>
      <c r="T30" s="35">
        <f>S30</f>
        <v>0</v>
      </c>
      <c r="U30" s="35">
        <f>($F$30-T30)*1234/1000</f>
        <v>1.234</v>
      </c>
      <c r="V30" s="43" t="s">
        <v>8</v>
      </c>
      <c r="W30" s="46">
        <f>IF(U30&lt;0,0,U30)</f>
        <v>1.234</v>
      </c>
      <c r="X30" s="237" t="s">
        <v>9</v>
      </c>
      <c r="Y30" s="1397">
        <f>R.HN!F21</f>
        <v>0</v>
      </c>
      <c r="Z30" s="35">
        <f>Y30</f>
        <v>0</v>
      </c>
      <c r="AA30" s="35">
        <f>($F$30-Z30)*1234/1000</f>
        <v>1.234</v>
      </c>
      <c r="AB30" s="43" t="s">
        <v>8</v>
      </c>
      <c r="AC30" s="46">
        <f>IF(AA30&lt;0,0,AA30)</f>
        <v>1.234</v>
      </c>
      <c r="AD30" s="237" t="s">
        <v>9</v>
      </c>
      <c r="AE30" s="1397">
        <f>R.HN!G21</f>
        <v>0</v>
      </c>
      <c r="AF30" s="35">
        <f>AE30</f>
        <v>0</v>
      </c>
      <c r="AG30" s="35">
        <f>($F$30-AF30)*1234/1000</f>
        <v>1.234</v>
      </c>
      <c r="AH30" s="43" t="s">
        <v>8</v>
      </c>
      <c r="AI30" s="46">
        <f>IF(AG30&lt;0,0,AG30)</f>
        <v>1.234</v>
      </c>
      <c r="AJ30" s="237" t="s">
        <v>9</v>
      </c>
      <c r="AK30" s="1397">
        <f>R.HN!H21</f>
        <v>0</v>
      </c>
      <c r="AL30" s="35">
        <f>AK30</f>
        <v>0</v>
      </c>
      <c r="AM30" s="35">
        <f>($F$30-AL30)*1234/1000</f>
        <v>1.234</v>
      </c>
      <c r="AN30" s="43" t="s">
        <v>8</v>
      </c>
      <c r="AO30" s="46">
        <f>IF(AM30&lt;0,0,AM30)</f>
        <v>1.234</v>
      </c>
      <c r="AP30" s="237" t="s">
        <v>9</v>
      </c>
      <c r="AQ30" s="292" t="s">
        <v>486</v>
      </c>
    </row>
    <row r="31" spans="1:43" ht="30" customHeight="1">
      <c r="A31" s="1371" t="s">
        <v>1261</v>
      </c>
      <c r="B31" s="2463"/>
      <c r="C31" s="2464"/>
      <c r="D31" s="52" t="s">
        <v>5</v>
      </c>
      <c r="E31" s="119" t="s">
        <v>1262</v>
      </c>
      <c r="F31" s="1401">
        <v>9.5</v>
      </c>
      <c r="G31" s="1397">
        <f>R.HN!C22</f>
        <v>0</v>
      </c>
      <c r="H31" s="35">
        <f>G31</f>
        <v>0</v>
      </c>
      <c r="I31" s="35"/>
      <c r="J31" s="43"/>
      <c r="K31" s="44"/>
      <c r="L31" s="237"/>
      <c r="M31" s="1397">
        <f>R.HN!D22</f>
        <v>0</v>
      </c>
      <c r="N31" s="35">
        <f>M31</f>
        <v>0</v>
      </c>
      <c r="O31" s="35"/>
      <c r="P31" s="43"/>
      <c r="Q31" s="44"/>
      <c r="R31" s="237"/>
      <c r="S31" s="1397">
        <f>R.HN!E22</f>
        <v>0</v>
      </c>
      <c r="T31" s="35">
        <f>S31</f>
        <v>0</v>
      </c>
      <c r="U31" s="35"/>
      <c r="V31" s="43"/>
      <c r="W31" s="44"/>
      <c r="X31" s="237"/>
      <c r="Y31" s="1397">
        <f>R.HN!F22</f>
        <v>0</v>
      </c>
      <c r="Z31" s="35">
        <f>Y31</f>
        <v>0</v>
      </c>
      <c r="AA31" s="35"/>
      <c r="AB31" s="43"/>
      <c r="AC31" s="44"/>
      <c r="AD31" s="237"/>
      <c r="AE31" s="1397">
        <f>R.HN!G22</f>
        <v>0</v>
      </c>
      <c r="AF31" s="35">
        <f>AE31</f>
        <v>0</v>
      </c>
      <c r="AG31" s="35"/>
      <c r="AH31" s="43"/>
      <c r="AI31" s="44"/>
      <c r="AJ31" s="237"/>
      <c r="AK31" s="1397">
        <f>R.HN!H22</f>
        <v>0</v>
      </c>
      <c r="AL31" s="35">
        <f>AK31</f>
        <v>0</v>
      </c>
      <c r="AM31" s="35"/>
      <c r="AN31" s="43"/>
      <c r="AO31" s="44"/>
      <c r="AP31" s="237"/>
      <c r="AQ31" s="292" t="s">
        <v>486</v>
      </c>
    </row>
    <row r="32" spans="1:43" ht="44.25" customHeight="1">
      <c r="A32" s="319" t="s">
        <v>76</v>
      </c>
      <c r="B32" s="320"/>
      <c r="C32" s="320"/>
      <c r="D32" s="320"/>
      <c r="E32" s="316"/>
      <c r="F32" s="320"/>
      <c r="G32" s="320"/>
      <c r="H32" s="320"/>
      <c r="I32" s="320"/>
      <c r="J32" s="320"/>
      <c r="K32" s="320"/>
      <c r="L32" s="320"/>
      <c r="M32" s="320"/>
      <c r="N32" s="321"/>
      <c r="O32" s="320"/>
      <c r="P32" s="320"/>
      <c r="Q32" s="320"/>
      <c r="R32" s="321"/>
      <c r="S32" s="320"/>
      <c r="T32" s="321"/>
      <c r="U32" s="320"/>
      <c r="V32" s="320"/>
      <c r="W32" s="320"/>
      <c r="X32" s="320"/>
      <c r="Y32" s="320"/>
      <c r="Z32" s="320"/>
      <c r="AA32" s="320"/>
      <c r="AB32" s="320"/>
      <c r="AC32" s="320"/>
      <c r="AD32" s="320"/>
      <c r="AE32" s="321"/>
      <c r="AF32" s="321"/>
      <c r="AG32" s="321"/>
      <c r="AH32" s="321"/>
      <c r="AI32" s="321"/>
      <c r="AJ32" s="321"/>
      <c r="AK32" s="321"/>
      <c r="AL32" s="321"/>
      <c r="AM32" s="321"/>
      <c r="AN32" s="321"/>
      <c r="AO32" s="321"/>
      <c r="AP32" s="1123"/>
      <c r="AQ32" s="292" t="s">
        <v>486</v>
      </c>
    </row>
    <row r="33" spans="1:43" ht="33.75" customHeight="1">
      <c r="A33" s="1166" t="s">
        <v>267</v>
      </c>
      <c r="B33" s="2313" t="s">
        <v>64</v>
      </c>
      <c r="C33" s="2315"/>
      <c r="D33" s="311" t="s">
        <v>66</v>
      </c>
      <c r="E33" s="311" t="s">
        <v>67</v>
      </c>
      <c r="F33" s="1402"/>
      <c r="G33" s="1402"/>
      <c r="H33" s="313" t="s">
        <v>48</v>
      </c>
      <c r="I33" s="314"/>
      <c r="J33" s="314"/>
      <c r="K33" s="313" t="s">
        <v>65</v>
      </c>
      <c r="L33" s="330"/>
      <c r="M33" s="311"/>
      <c r="N33" s="313" t="s">
        <v>48</v>
      </c>
      <c r="O33" s="314"/>
      <c r="P33" s="314"/>
      <c r="Q33" s="313" t="s">
        <v>65</v>
      </c>
      <c r="R33" s="330"/>
      <c r="S33" s="106"/>
      <c r="T33" s="313" t="s">
        <v>48</v>
      </c>
      <c r="U33" s="314"/>
      <c r="V33" s="314"/>
      <c r="W33" s="313" t="s">
        <v>65</v>
      </c>
      <c r="X33" s="330"/>
      <c r="Y33" s="107"/>
      <c r="Z33" s="313" t="s">
        <v>48</v>
      </c>
      <c r="AA33" s="314"/>
      <c r="AB33" s="314"/>
      <c r="AC33" s="313" t="s">
        <v>65</v>
      </c>
      <c r="AD33" s="330"/>
      <c r="AE33" s="107"/>
      <c r="AF33" s="313" t="s">
        <v>48</v>
      </c>
      <c r="AG33" s="314"/>
      <c r="AH33" s="314"/>
      <c r="AI33" s="313" t="s">
        <v>65</v>
      </c>
      <c r="AJ33" s="330"/>
      <c r="AK33" s="107"/>
      <c r="AL33" s="313" t="s">
        <v>48</v>
      </c>
      <c r="AM33" s="314"/>
      <c r="AN33" s="314"/>
      <c r="AO33" s="313" t="s">
        <v>65</v>
      </c>
      <c r="AP33" s="330"/>
      <c r="AQ33" s="292" t="s">
        <v>486</v>
      </c>
    </row>
    <row r="34" spans="1:43" ht="30" customHeight="1">
      <c r="A34" s="1371" t="s">
        <v>1263</v>
      </c>
      <c r="B34" s="2313" t="s">
        <v>489</v>
      </c>
      <c r="C34" s="2315"/>
      <c r="D34" s="21" t="s">
        <v>113</v>
      </c>
      <c r="E34" s="119" t="s">
        <v>1264</v>
      </c>
      <c r="F34" s="111"/>
      <c r="G34" s="111"/>
      <c r="H34" s="2091"/>
      <c r="I34" s="2092"/>
      <c r="J34" s="2092"/>
      <c r="K34" s="2091"/>
      <c r="L34" s="2092"/>
      <c r="M34" s="107"/>
      <c r="N34" s="2091"/>
      <c r="O34" s="2092"/>
      <c r="P34" s="2092"/>
      <c r="Q34" s="2091"/>
      <c r="R34" s="2092"/>
      <c r="S34" s="107"/>
      <c r="T34" s="2091"/>
      <c r="U34" s="2092"/>
      <c r="V34" s="2092"/>
      <c r="W34" s="2091"/>
      <c r="X34" s="2092"/>
      <c r="Y34" s="107"/>
      <c r="Z34" s="2091"/>
      <c r="AA34" s="2092"/>
      <c r="AB34" s="2092"/>
      <c r="AC34" s="2091"/>
      <c r="AD34" s="2092"/>
      <c r="AE34" s="107"/>
      <c r="AF34" s="2091"/>
      <c r="AG34" s="2092"/>
      <c r="AH34" s="2092"/>
      <c r="AI34" s="2091"/>
      <c r="AJ34" s="2092"/>
      <c r="AK34" s="107"/>
      <c r="AL34" s="2091"/>
      <c r="AM34" s="2092"/>
      <c r="AN34" s="2092"/>
      <c r="AO34" s="2094"/>
      <c r="AP34" s="2094"/>
      <c r="AQ34" s="292" t="s">
        <v>486</v>
      </c>
    </row>
    <row r="35" spans="1:43" ht="30" customHeight="1">
      <c r="A35" s="1371" t="s">
        <v>1265</v>
      </c>
      <c r="B35" s="2313" t="s">
        <v>491</v>
      </c>
      <c r="C35" s="2315"/>
      <c r="D35" s="21" t="s">
        <v>113</v>
      </c>
      <c r="E35" s="119" t="s">
        <v>1255</v>
      </c>
      <c r="F35" s="111"/>
      <c r="G35" s="111"/>
      <c r="H35" s="2091"/>
      <c r="I35" s="2092"/>
      <c r="J35" s="2092"/>
      <c r="K35" s="2091"/>
      <c r="L35" s="2092"/>
      <c r="M35" s="107"/>
      <c r="N35" s="2091"/>
      <c r="O35" s="2092"/>
      <c r="P35" s="2092"/>
      <c r="Q35" s="2091"/>
      <c r="R35" s="2092"/>
      <c r="S35" s="107"/>
      <c r="T35" s="2091"/>
      <c r="U35" s="2092"/>
      <c r="V35" s="2092"/>
      <c r="W35" s="2091"/>
      <c r="X35" s="2092"/>
      <c r="Y35" s="107"/>
      <c r="Z35" s="2091"/>
      <c r="AA35" s="2092"/>
      <c r="AB35" s="2092"/>
      <c r="AC35" s="2091"/>
      <c r="AD35" s="2092"/>
      <c r="AE35" s="107"/>
      <c r="AF35" s="2091"/>
      <c r="AG35" s="2092"/>
      <c r="AH35" s="2092"/>
      <c r="AI35" s="2091"/>
      <c r="AJ35" s="2092"/>
      <c r="AK35" s="107"/>
      <c r="AL35" s="2091"/>
      <c r="AM35" s="2092"/>
      <c r="AN35" s="2092"/>
      <c r="AO35" s="2094"/>
      <c r="AP35" s="2094"/>
      <c r="AQ35" s="292" t="s">
        <v>486</v>
      </c>
    </row>
    <row r="36" spans="1:43" ht="30" customHeight="1">
      <c r="A36" s="1371" t="s">
        <v>1266</v>
      </c>
      <c r="B36" s="2313" t="s">
        <v>475</v>
      </c>
      <c r="C36" s="2315"/>
      <c r="D36" s="21" t="s">
        <v>113</v>
      </c>
      <c r="E36" s="119" t="s">
        <v>1256</v>
      </c>
      <c r="F36" s="1408"/>
      <c r="G36" s="1408"/>
      <c r="H36" s="2091"/>
      <c r="I36" s="2092"/>
      <c r="J36" s="2092"/>
      <c r="K36" s="2091"/>
      <c r="L36" s="2092"/>
      <c r="M36" s="107"/>
      <c r="N36" s="2091"/>
      <c r="O36" s="2092"/>
      <c r="P36" s="2092"/>
      <c r="Q36" s="2091"/>
      <c r="R36" s="2092"/>
      <c r="S36" s="107"/>
      <c r="T36" s="2091"/>
      <c r="U36" s="2092"/>
      <c r="V36" s="2092"/>
      <c r="W36" s="2091"/>
      <c r="X36" s="2092"/>
      <c r="Y36" s="107"/>
      <c r="Z36" s="2091"/>
      <c r="AA36" s="2092"/>
      <c r="AB36" s="2092"/>
      <c r="AC36" s="2091"/>
      <c r="AD36" s="2092"/>
      <c r="AE36" s="107"/>
      <c r="AF36" s="2091"/>
      <c r="AG36" s="2092"/>
      <c r="AH36" s="2092"/>
      <c r="AI36" s="2091"/>
      <c r="AJ36" s="2092"/>
      <c r="AK36" s="107"/>
      <c r="AL36" s="2091"/>
      <c r="AM36" s="2092"/>
      <c r="AN36" s="2092"/>
      <c r="AO36" s="2094"/>
      <c r="AP36" s="2094"/>
      <c r="AQ36" s="292" t="s">
        <v>486</v>
      </c>
    </row>
    <row r="37" spans="1:43" ht="25.5" customHeight="1">
      <c r="A37" s="1409"/>
      <c r="B37" s="1409"/>
      <c r="C37" s="1409"/>
      <c r="D37" s="1409"/>
      <c r="E37" s="1409"/>
      <c r="F37" s="1409"/>
      <c r="G37" s="1409"/>
      <c r="H37" s="1409"/>
      <c r="I37" s="1409"/>
      <c r="J37" s="1409"/>
      <c r="K37" s="1409"/>
      <c r="L37" s="1409"/>
      <c r="M37" s="1409"/>
      <c r="N37" s="1409"/>
      <c r="O37" s="1409"/>
      <c r="P37" s="1409"/>
      <c r="Q37" s="1409"/>
      <c r="R37" s="1409"/>
      <c r="S37" s="1409"/>
      <c r="T37" s="1409"/>
      <c r="U37" s="1409"/>
      <c r="V37" s="1409"/>
      <c r="W37" s="1409"/>
      <c r="X37" s="1409"/>
      <c r="Y37" s="1409"/>
      <c r="Z37" s="1409"/>
      <c r="AA37" s="1409"/>
      <c r="AB37" s="1409"/>
      <c r="AC37" s="1409"/>
      <c r="AD37" s="1409"/>
      <c r="AP37" s="292"/>
    </row>
    <row r="38" spans="1:43" ht="41.25" customHeight="1">
      <c r="A38" s="94" t="s">
        <v>1267</v>
      </c>
      <c r="B38" s="306"/>
      <c r="C38" s="95"/>
      <c r="D38" s="95"/>
      <c r="E38" s="297"/>
      <c r="F38" s="96" t="s">
        <v>75</v>
      </c>
      <c r="G38" s="97"/>
      <c r="H38" s="449" t="s">
        <v>75</v>
      </c>
      <c r="I38" s="449"/>
      <c r="J38" s="449"/>
      <c r="K38" s="449"/>
      <c r="L38" s="449"/>
      <c r="M38" s="449"/>
      <c r="N38" s="449"/>
      <c r="O38" s="449"/>
      <c r="P38" s="449"/>
      <c r="Q38" s="449"/>
      <c r="R38" s="449"/>
      <c r="S38" s="449"/>
      <c r="T38" s="449"/>
      <c r="U38" s="449"/>
      <c r="V38" s="449"/>
      <c r="W38" s="449"/>
      <c r="X38" s="449"/>
      <c r="Y38" s="449"/>
      <c r="Z38" s="449"/>
      <c r="AA38" s="449"/>
      <c r="AB38" s="449"/>
      <c r="AC38" s="449"/>
      <c r="AD38" s="449"/>
      <c r="AE38" s="449"/>
      <c r="AF38" s="449"/>
      <c r="AG38" s="449"/>
      <c r="AH38" s="449"/>
      <c r="AI38" s="449"/>
      <c r="AJ38" s="449"/>
      <c r="AK38" s="449"/>
      <c r="AL38" s="449"/>
      <c r="AM38" s="449"/>
      <c r="AN38" s="449"/>
      <c r="AO38" s="449"/>
      <c r="AP38" s="449"/>
    </row>
    <row r="39" spans="1:43" ht="31.5" customHeight="1">
      <c r="A39" s="468"/>
      <c r="B39" s="2448" t="s">
        <v>79</v>
      </c>
      <c r="C39" s="2449"/>
      <c r="D39" s="2452" t="s">
        <v>136</v>
      </c>
      <c r="E39" s="2454" t="s">
        <v>67</v>
      </c>
      <c r="F39" s="1405"/>
      <c r="G39" s="99"/>
      <c r="H39" s="2457" t="s">
        <v>456</v>
      </c>
      <c r="I39" s="2457"/>
      <c r="J39" s="2457"/>
      <c r="K39" s="2457"/>
      <c r="L39" s="2457"/>
      <c r="M39" s="99"/>
      <c r="N39" s="2472" t="s">
        <v>419</v>
      </c>
      <c r="O39" s="2472"/>
      <c r="P39" s="2472"/>
      <c r="Q39" s="2472"/>
      <c r="R39" s="2472"/>
      <c r="S39" s="99"/>
      <c r="T39" s="2457" t="s">
        <v>420</v>
      </c>
      <c r="U39" s="2457"/>
      <c r="V39" s="2457"/>
      <c r="W39" s="2457"/>
      <c r="X39" s="2457"/>
      <c r="Y39" s="99"/>
      <c r="Z39" s="2457" t="s">
        <v>421</v>
      </c>
      <c r="AA39" s="2457"/>
      <c r="AB39" s="2457"/>
      <c r="AC39" s="2457"/>
      <c r="AD39" s="2457"/>
      <c r="AE39" s="99"/>
      <c r="AF39" s="2457" t="s">
        <v>422</v>
      </c>
      <c r="AG39" s="2457"/>
      <c r="AH39" s="2457"/>
      <c r="AI39" s="2457"/>
      <c r="AJ39" s="2457"/>
      <c r="AK39" s="99"/>
      <c r="AL39" s="2457" t="s">
        <v>423</v>
      </c>
      <c r="AM39" s="2457"/>
      <c r="AN39" s="2457"/>
      <c r="AO39" s="2457"/>
      <c r="AP39" s="2457"/>
    </row>
    <row r="40" spans="1:43" ht="31.5" customHeight="1">
      <c r="A40" s="1367" t="s">
        <v>267</v>
      </c>
      <c r="B40" s="2450"/>
      <c r="C40" s="2451"/>
      <c r="D40" s="2453"/>
      <c r="E40" s="2455"/>
      <c r="F40" s="1395" t="s">
        <v>457</v>
      </c>
      <c r="G40" s="20"/>
      <c r="H40" s="1365" t="s">
        <v>145</v>
      </c>
      <c r="I40" s="34" t="s">
        <v>1</v>
      </c>
      <c r="J40" s="316" t="s">
        <v>1</v>
      </c>
      <c r="K40" s="316"/>
      <c r="L40" s="317"/>
      <c r="M40" s="100"/>
      <c r="N40" s="1365" t="s">
        <v>145</v>
      </c>
      <c r="O40" s="34" t="s">
        <v>1</v>
      </c>
      <c r="P40" s="316" t="s">
        <v>1</v>
      </c>
      <c r="Q40" s="316"/>
      <c r="R40" s="317"/>
      <c r="S40" s="20"/>
      <c r="T40" s="1365" t="s">
        <v>145</v>
      </c>
      <c r="U40" s="34" t="s">
        <v>1</v>
      </c>
      <c r="V40" s="316" t="s">
        <v>1</v>
      </c>
      <c r="W40" s="316"/>
      <c r="X40" s="317"/>
      <c r="Y40" s="100"/>
      <c r="Z40" s="1365" t="s">
        <v>145</v>
      </c>
      <c r="AA40" s="34" t="s">
        <v>1</v>
      </c>
      <c r="AB40" s="316" t="s">
        <v>1</v>
      </c>
      <c r="AC40" s="316"/>
      <c r="AD40" s="317"/>
      <c r="AE40" s="100"/>
      <c r="AF40" s="1365" t="s">
        <v>145</v>
      </c>
      <c r="AG40" s="34" t="s">
        <v>1</v>
      </c>
      <c r="AH40" s="316" t="s">
        <v>1</v>
      </c>
      <c r="AI40" s="316"/>
      <c r="AJ40" s="317"/>
      <c r="AK40" s="100"/>
      <c r="AL40" s="1365" t="s">
        <v>145</v>
      </c>
      <c r="AM40" s="34" t="s">
        <v>1</v>
      </c>
      <c r="AN40" s="316" t="s">
        <v>1</v>
      </c>
      <c r="AO40" s="316"/>
      <c r="AP40" s="317"/>
    </row>
    <row r="41" spans="1:43" ht="31.5" customHeight="1">
      <c r="A41" s="1371" t="s">
        <v>1268</v>
      </c>
      <c r="B41" s="2333" t="s">
        <v>484</v>
      </c>
      <c r="C41" s="2335"/>
      <c r="D41" s="308" t="s">
        <v>466</v>
      </c>
      <c r="E41" s="119" t="s">
        <v>485</v>
      </c>
      <c r="F41" s="1398">
        <v>40</v>
      </c>
      <c r="G41" s="1397">
        <f>R.HN!C25</f>
        <v>0</v>
      </c>
      <c r="H41" s="35">
        <f>G41*10</f>
        <v>0</v>
      </c>
      <c r="I41" s="35">
        <f>($F$25-H41)*2330/1000</f>
        <v>93.2</v>
      </c>
      <c r="J41" s="43" t="s">
        <v>8</v>
      </c>
      <c r="K41" s="46">
        <f>IF(I41&lt;0,0,I41)</f>
        <v>93.2</v>
      </c>
      <c r="L41" s="237" t="s">
        <v>9</v>
      </c>
      <c r="M41" s="1397">
        <f>R.HN!D25</f>
        <v>0</v>
      </c>
      <c r="N41" s="35">
        <f>M41*10</f>
        <v>0</v>
      </c>
      <c r="O41" s="35">
        <f>($F$25-N41)*2330/1000</f>
        <v>93.2</v>
      </c>
      <c r="P41" s="43" t="s">
        <v>8</v>
      </c>
      <c r="Q41" s="46">
        <f>IF(O41&lt;0,0,O41)</f>
        <v>93.2</v>
      </c>
      <c r="R41" s="237" t="s">
        <v>9</v>
      </c>
      <c r="S41" s="1397">
        <f>R.HN!E25</f>
        <v>0</v>
      </c>
      <c r="T41" s="35">
        <f>S41*10</f>
        <v>0</v>
      </c>
      <c r="U41" s="35">
        <f>($F$25-T41)*2330/1000</f>
        <v>93.2</v>
      </c>
      <c r="V41" s="43" t="s">
        <v>8</v>
      </c>
      <c r="W41" s="46">
        <f>IF(U41&lt;0,0,U41)</f>
        <v>93.2</v>
      </c>
      <c r="X41" s="237" t="s">
        <v>9</v>
      </c>
      <c r="Y41" s="1397">
        <f>R.HN!F25</f>
        <v>0</v>
      </c>
      <c r="Z41" s="35">
        <f>Y41*10</f>
        <v>0</v>
      </c>
      <c r="AA41" s="35">
        <f>($F$25-Z41)*2330/1000</f>
        <v>93.2</v>
      </c>
      <c r="AB41" s="43" t="s">
        <v>8</v>
      </c>
      <c r="AC41" s="46">
        <f>IF(AA41&lt;0,0,AA41)</f>
        <v>93.2</v>
      </c>
      <c r="AD41" s="237" t="s">
        <v>9</v>
      </c>
      <c r="AE41" s="1397">
        <f>R.HN!G25</f>
        <v>0</v>
      </c>
      <c r="AF41" s="35">
        <f>AE41*10</f>
        <v>0</v>
      </c>
      <c r="AG41" s="35">
        <f>($F$25-AF41)*2330/1000</f>
        <v>93.2</v>
      </c>
      <c r="AH41" s="43" t="s">
        <v>8</v>
      </c>
      <c r="AI41" s="46">
        <f>IF(AG41&lt;0,0,AG41)</f>
        <v>93.2</v>
      </c>
      <c r="AJ41" s="237" t="s">
        <v>9</v>
      </c>
      <c r="AK41" s="1397">
        <f>R.HN!H25</f>
        <v>0</v>
      </c>
      <c r="AL41" s="35">
        <f>AK41*10</f>
        <v>0</v>
      </c>
      <c r="AM41" s="35">
        <f>($F$25-AL41)*2330/1000</f>
        <v>93.2</v>
      </c>
      <c r="AN41" s="43" t="s">
        <v>8</v>
      </c>
      <c r="AO41" s="46">
        <f>IF(AM41&lt;0,0,AM41)</f>
        <v>93.2</v>
      </c>
      <c r="AP41" s="237" t="s">
        <v>9</v>
      </c>
      <c r="AQ41" s="292" t="s">
        <v>493</v>
      </c>
    </row>
    <row r="42" spans="1:43" ht="31.5" customHeight="1">
      <c r="A42" s="1371" t="s">
        <v>1269</v>
      </c>
      <c r="B42" s="2333" t="s">
        <v>882</v>
      </c>
      <c r="C42" s="2335"/>
      <c r="D42" s="1166" t="s">
        <v>3</v>
      </c>
      <c r="E42" s="119" t="s">
        <v>461</v>
      </c>
      <c r="F42" s="1396">
        <v>12.5</v>
      </c>
      <c r="G42" s="1397">
        <f>R.HN!C26</f>
        <v>0</v>
      </c>
      <c r="H42" s="35">
        <f>(1*G42*36.5)/(1*10)</f>
        <v>0</v>
      </c>
      <c r="I42" s="35">
        <f>($F$26-H42)*2605/32</f>
        <v>1017.578125</v>
      </c>
      <c r="J42" s="43" t="s">
        <v>8</v>
      </c>
      <c r="K42" s="44">
        <f>IF(I42&lt;0,0,I42)</f>
        <v>1017.578125</v>
      </c>
      <c r="L42" s="237" t="s">
        <v>10</v>
      </c>
      <c r="M42" s="1397">
        <f>R.HN!D26</f>
        <v>0</v>
      </c>
      <c r="N42" s="35">
        <f>(1*M42*36.5)/(1*10)</f>
        <v>0</v>
      </c>
      <c r="O42" s="35">
        <f>($F$26-N42)*2605/32</f>
        <v>1017.578125</v>
      </c>
      <c r="P42" s="43" t="s">
        <v>8</v>
      </c>
      <c r="Q42" s="44">
        <f>IF(O42&lt;0,0,O42)</f>
        <v>1017.578125</v>
      </c>
      <c r="R42" s="237" t="s">
        <v>10</v>
      </c>
      <c r="S42" s="1397">
        <f>R.HN!E26</f>
        <v>0</v>
      </c>
      <c r="T42" s="35">
        <f>(1*S42*36.5)/(1*10)</f>
        <v>0</v>
      </c>
      <c r="U42" s="35">
        <f>($F$26-T42)*2605/32</f>
        <v>1017.578125</v>
      </c>
      <c r="V42" s="43" t="s">
        <v>8</v>
      </c>
      <c r="W42" s="44">
        <f>IF(U42&lt;0,0,U42)</f>
        <v>1017.578125</v>
      </c>
      <c r="X42" s="237" t="s">
        <v>10</v>
      </c>
      <c r="Y42" s="1397">
        <f>R.HN!F26</f>
        <v>0</v>
      </c>
      <c r="Z42" s="35">
        <f>(1*Y42*36.5)/(1*10)</f>
        <v>0</v>
      </c>
      <c r="AA42" s="35">
        <f>($F$26-Z42)*2605/32</f>
        <v>1017.578125</v>
      </c>
      <c r="AB42" s="43" t="s">
        <v>8</v>
      </c>
      <c r="AC42" s="44">
        <f>IF(AA42&lt;0,0,AA42)</f>
        <v>1017.578125</v>
      </c>
      <c r="AD42" s="237" t="s">
        <v>10</v>
      </c>
      <c r="AE42" s="1397">
        <f>R.HN!G26</f>
        <v>0</v>
      </c>
      <c r="AF42" s="35">
        <f>(1*AE42*36.5)/(1*10)</f>
        <v>0</v>
      </c>
      <c r="AG42" s="35">
        <f>($F$26-AF42)*2605/32</f>
        <v>1017.578125</v>
      </c>
      <c r="AH42" s="43" t="s">
        <v>8</v>
      </c>
      <c r="AI42" s="44">
        <f>IF(AG42&lt;0,0,AG42)</f>
        <v>1017.578125</v>
      </c>
      <c r="AJ42" s="237" t="s">
        <v>10</v>
      </c>
      <c r="AK42" s="1397">
        <f>R.HN!H26</f>
        <v>0</v>
      </c>
      <c r="AL42" s="35">
        <f>(1*AK42*36.5)/(1*10)</f>
        <v>0</v>
      </c>
      <c r="AM42" s="35">
        <f>($F$26-AL42)*2605/32</f>
        <v>1017.578125</v>
      </c>
      <c r="AN42" s="43" t="s">
        <v>8</v>
      </c>
      <c r="AO42" s="44">
        <f>IF(AM42&lt;0,0,AM42)</f>
        <v>1017.578125</v>
      </c>
      <c r="AP42" s="237" t="s">
        <v>10</v>
      </c>
      <c r="AQ42" s="292" t="s">
        <v>493</v>
      </c>
    </row>
    <row r="43" spans="1:43" ht="31.5" customHeight="1">
      <c r="A43" s="1371" t="s">
        <v>1270</v>
      </c>
      <c r="B43" s="2465" t="s">
        <v>465</v>
      </c>
      <c r="C43" s="2468"/>
      <c r="D43" s="2471" t="s">
        <v>466</v>
      </c>
      <c r="E43" s="119" t="s">
        <v>1134</v>
      </c>
      <c r="F43" s="1406">
        <v>50</v>
      </c>
      <c r="G43" s="1397">
        <f>R.HN!C27</f>
        <v>0</v>
      </c>
      <c r="H43" s="35">
        <f>G43*10</f>
        <v>0</v>
      </c>
      <c r="I43" s="35">
        <f>($F$43-H43)*4935/1000</f>
        <v>246.75</v>
      </c>
      <c r="J43" s="43" t="s">
        <v>8</v>
      </c>
      <c r="K43" s="44">
        <f>IF(I43&lt;0,0,I43)</f>
        <v>246.75</v>
      </c>
      <c r="L43" s="237" t="s">
        <v>9</v>
      </c>
      <c r="M43" s="1397">
        <f>R.HN!D27</f>
        <v>0</v>
      </c>
      <c r="N43" s="35">
        <f>M43*10</f>
        <v>0</v>
      </c>
      <c r="O43" s="35">
        <f>($F$43-N43)*4935/1000</f>
        <v>246.75</v>
      </c>
      <c r="P43" s="43" t="s">
        <v>8</v>
      </c>
      <c r="Q43" s="44">
        <f>IF(O43&lt;0,0,O43)</f>
        <v>246.75</v>
      </c>
      <c r="R43" s="237" t="s">
        <v>9</v>
      </c>
      <c r="S43" s="1397">
        <f>R.HN!E27</f>
        <v>0</v>
      </c>
      <c r="T43" s="35">
        <f>S43*10</f>
        <v>0</v>
      </c>
      <c r="U43" s="35">
        <f>($F$43-T43)*4935/1000</f>
        <v>246.75</v>
      </c>
      <c r="V43" s="43" t="s">
        <v>8</v>
      </c>
      <c r="W43" s="44">
        <f>IF(U43&lt;0,0,U43)</f>
        <v>246.75</v>
      </c>
      <c r="X43" s="237" t="s">
        <v>9</v>
      </c>
      <c r="Y43" s="1397">
        <f>R.HN!F27</f>
        <v>0</v>
      </c>
      <c r="Z43" s="35">
        <f>Y43*10</f>
        <v>0</v>
      </c>
      <c r="AA43" s="35">
        <f>($F$43-Z43)*4935/1000</f>
        <v>246.75</v>
      </c>
      <c r="AB43" s="43" t="s">
        <v>8</v>
      </c>
      <c r="AC43" s="44">
        <f>IF(AA43&lt;0,0,AA43)</f>
        <v>246.75</v>
      </c>
      <c r="AD43" s="237" t="s">
        <v>9</v>
      </c>
      <c r="AE43" s="1397">
        <f>R.HN!G27</f>
        <v>0</v>
      </c>
      <c r="AF43" s="35">
        <f>AE43*10</f>
        <v>0</v>
      </c>
      <c r="AG43" s="35">
        <f>($F$43-AF43)*4935/1000</f>
        <v>246.75</v>
      </c>
      <c r="AH43" s="43" t="s">
        <v>8</v>
      </c>
      <c r="AI43" s="44">
        <f>IF(AG43&lt;0,0,AG43)</f>
        <v>246.75</v>
      </c>
      <c r="AJ43" s="237" t="s">
        <v>9</v>
      </c>
      <c r="AK43" s="1397">
        <f>R.HN!H27</f>
        <v>0</v>
      </c>
      <c r="AL43" s="35">
        <f>AK43*10</f>
        <v>0</v>
      </c>
      <c r="AM43" s="35">
        <f>($F$43-AL43)*4935/1000</f>
        <v>246.75</v>
      </c>
      <c r="AN43" s="43" t="s">
        <v>8</v>
      </c>
      <c r="AO43" s="44">
        <f>IF(AM43&lt;0,0,AM43)</f>
        <v>246.75</v>
      </c>
      <c r="AP43" s="237" t="s">
        <v>9</v>
      </c>
      <c r="AQ43" s="292" t="s">
        <v>493</v>
      </c>
    </row>
    <row r="44" spans="1:43" ht="31.5" customHeight="1">
      <c r="A44" s="1371" t="s">
        <v>1271</v>
      </c>
      <c r="B44" s="2466"/>
      <c r="C44" s="2469"/>
      <c r="D44" s="2471"/>
      <c r="E44" s="119" t="s">
        <v>1135</v>
      </c>
      <c r="F44" s="1397">
        <v>6.5</v>
      </c>
      <c r="G44" s="1397">
        <f>R.HN!C28</f>
        <v>0</v>
      </c>
      <c r="H44" s="35">
        <f>IFERROR(H43/G44,0)</f>
        <v>0</v>
      </c>
      <c r="I44" s="35">
        <f>($F$44-H44)*4935/1000</f>
        <v>32.077500000000001</v>
      </c>
      <c r="J44" s="43"/>
      <c r="K44" s="44">
        <f>IF(I44&lt;0,0,I44)</f>
        <v>32.077500000000001</v>
      </c>
      <c r="L44" s="237" t="s">
        <v>9</v>
      </c>
      <c r="M44" s="1397">
        <f>R.HN!D28</f>
        <v>0</v>
      </c>
      <c r="N44" s="35">
        <f>IFERROR(N43/M44,0)</f>
        <v>0</v>
      </c>
      <c r="O44" s="35">
        <f>($F$44-N44)*4935/1000</f>
        <v>32.077500000000001</v>
      </c>
      <c r="P44" s="43"/>
      <c r="Q44" s="44">
        <f>IF(O44&lt;0,0,O44)</f>
        <v>32.077500000000001</v>
      </c>
      <c r="R44" s="237" t="s">
        <v>9</v>
      </c>
      <c r="S44" s="1397">
        <f>R.HN!E28</f>
        <v>0</v>
      </c>
      <c r="T44" s="35">
        <f>IFERROR(T43/S44,0)</f>
        <v>0</v>
      </c>
      <c r="U44" s="35">
        <f>($F$44-T44)*4935/1000</f>
        <v>32.077500000000001</v>
      </c>
      <c r="V44" s="43"/>
      <c r="W44" s="44">
        <f>IF(U44&lt;0,0,U44)</f>
        <v>32.077500000000001</v>
      </c>
      <c r="X44" s="237" t="s">
        <v>9</v>
      </c>
      <c r="Y44" s="1397">
        <f>R.HN!F28</f>
        <v>0</v>
      </c>
      <c r="Z44" s="35">
        <f>IFERROR(Z43/Y44,0)</f>
        <v>0</v>
      </c>
      <c r="AA44" s="35">
        <f>($F$44-Z44)*4935/1000</f>
        <v>32.077500000000001</v>
      </c>
      <c r="AB44" s="43"/>
      <c r="AC44" s="44">
        <f>IF(AA44&lt;0,0,AA44)</f>
        <v>32.077500000000001</v>
      </c>
      <c r="AD44" s="237" t="s">
        <v>9</v>
      </c>
      <c r="AE44" s="1397">
        <f>R.HN!G28</f>
        <v>0</v>
      </c>
      <c r="AF44" s="35">
        <f>IFERROR(AF43/AE44,0)</f>
        <v>0</v>
      </c>
      <c r="AG44" s="35">
        <f>($F$44-AF44)*4935/1000</f>
        <v>32.077500000000001</v>
      </c>
      <c r="AH44" s="43"/>
      <c r="AI44" s="44">
        <f>IF(AG44&lt;0,0,AG44)</f>
        <v>32.077500000000001</v>
      </c>
      <c r="AJ44" s="237" t="s">
        <v>9</v>
      </c>
      <c r="AK44" s="1397">
        <f>R.HN!H28</f>
        <v>0</v>
      </c>
      <c r="AL44" s="35">
        <f>IFERROR(AL43/AK44,0)</f>
        <v>0</v>
      </c>
      <c r="AM44" s="35">
        <f>($F$44-AL44)*4935/1000</f>
        <v>32.077500000000001</v>
      </c>
      <c r="AN44" s="43"/>
      <c r="AO44" s="44">
        <f>IF(AM44&lt;0,0,AM44)</f>
        <v>32.077500000000001</v>
      </c>
      <c r="AP44" s="237" t="s">
        <v>9</v>
      </c>
      <c r="AQ44" s="292" t="s">
        <v>493</v>
      </c>
    </row>
    <row r="45" spans="1:43" ht="31.5" customHeight="1">
      <c r="A45" s="1371" t="s">
        <v>1272</v>
      </c>
      <c r="B45" s="2467"/>
      <c r="C45" s="2470"/>
      <c r="D45" s="2471"/>
      <c r="E45" s="119" t="s">
        <v>1136</v>
      </c>
      <c r="F45" s="1407">
        <v>0.4</v>
      </c>
      <c r="G45" s="1397">
        <f>R.HN!C29</f>
        <v>0</v>
      </c>
      <c r="H45" s="1400">
        <f>G45</f>
        <v>0</v>
      </c>
      <c r="I45" s="35"/>
      <c r="J45" s="43"/>
      <c r="K45" s="46"/>
      <c r="L45" s="237" t="s">
        <v>9</v>
      </c>
      <c r="M45" s="1397">
        <f>R.HN!D29</f>
        <v>0</v>
      </c>
      <c r="N45" s="1400">
        <f>M45</f>
        <v>0</v>
      </c>
      <c r="O45" s="35"/>
      <c r="P45" s="43"/>
      <c r="Q45" s="46"/>
      <c r="R45" s="237" t="s">
        <v>9</v>
      </c>
      <c r="S45" s="1397">
        <f>R.HN!E29</f>
        <v>0</v>
      </c>
      <c r="T45" s="1400">
        <f>S45</f>
        <v>0</v>
      </c>
      <c r="U45" s="35"/>
      <c r="V45" s="43"/>
      <c r="W45" s="46"/>
      <c r="X45" s="237" t="s">
        <v>9</v>
      </c>
      <c r="Y45" s="1397">
        <f>R.HN!F29</f>
        <v>0</v>
      </c>
      <c r="Z45" s="1400">
        <f>Y45</f>
        <v>0</v>
      </c>
      <c r="AA45" s="35"/>
      <c r="AB45" s="43"/>
      <c r="AC45" s="46"/>
      <c r="AD45" s="237" t="s">
        <v>9</v>
      </c>
      <c r="AE45" s="1397">
        <f>R.HN!G29</f>
        <v>0</v>
      </c>
      <c r="AF45" s="1400">
        <f>AE45</f>
        <v>0</v>
      </c>
      <c r="AG45" s="35"/>
      <c r="AH45" s="43"/>
      <c r="AI45" s="46"/>
      <c r="AJ45" s="237" t="s">
        <v>9</v>
      </c>
      <c r="AK45" s="1397">
        <f>R.HN!H29</f>
        <v>0</v>
      </c>
      <c r="AL45" s="1400">
        <f>AK45</f>
        <v>0</v>
      </c>
      <c r="AM45" s="35"/>
      <c r="AN45" s="43"/>
      <c r="AO45" s="46"/>
      <c r="AP45" s="237" t="s">
        <v>9</v>
      </c>
      <c r="AQ45" s="292" t="s">
        <v>493</v>
      </c>
    </row>
    <row r="46" spans="1:43" ht="31.5" customHeight="1">
      <c r="A46" s="1371" t="s">
        <v>1273</v>
      </c>
      <c r="B46" s="2461" t="s">
        <v>475</v>
      </c>
      <c r="C46" s="2462"/>
      <c r="D46" s="52" t="s">
        <v>466</v>
      </c>
      <c r="E46" s="119" t="s">
        <v>476</v>
      </c>
      <c r="F46" s="1399">
        <v>1</v>
      </c>
      <c r="G46" s="1397">
        <f>R.HN!C33</f>
        <v>0</v>
      </c>
      <c r="H46" s="35">
        <f>G46</f>
        <v>0</v>
      </c>
      <c r="I46" s="35">
        <f>($F$30-H46)*1234/1000</f>
        <v>1.234</v>
      </c>
      <c r="J46" s="43" t="s">
        <v>8</v>
      </c>
      <c r="K46" s="46">
        <f>IF(I46&lt;0,0,I46)</f>
        <v>1.234</v>
      </c>
      <c r="L46" s="237" t="s">
        <v>9</v>
      </c>
      <c r="M46" s="1397">
        <f>R.HN!D33</f>
        <v>0</v>
      </c>
      <c r="N46" s="35">
        <f>M46</f>
        <v>0</v>
      </c>
      <c r="O46" s="35">
        <f>($F$30-N46)*1234/1000</f>
        <v>1.234</v>
      </c>
      <c r="P46" s="43" t="s">
        <v>8</v>
      </c>
      <c r="Q46" s="46">
        <f>IF(O46&lt;0,0,O46)</f>
        <v>1.234</v>
      </c>
      <c r="R46" s="237" t="s">
        <v>9</v>
      </c>
      <c r="S46" s="1397">
        <f>R.HN!E33</f>
        <v>0</v>
      </c>
      <c r="T46" s="35">
        <f>S46</f>
        <v>0</v>
      </c>
      <c r="U46" s="35">
        <f>($F$30-T46)*1234/1000</f>
        <v>1.234</v>
      </c>
      <c r="V46" s="43" t="s">
        <v>8</v>
      </c>
      <c r="W46" s="46">
        <f>IF(U46&lt;0,0,U46)</f>
        <v>1.234</v>
      </c>
      <c r="X46" s="237" t="s">
        <v>9</v>
      </c>
      <c r="Y46" s="1397">
        <f>R.HN!F33</f>
        <v>0</v>
      </c>
      <c r="Z46" s="35">
        <f>Y46</f>
        <v>0</v>
      </c>
      <c r="AA46" s="35">
        <f>($F$30-Z46)*1234/1000</f>
        <v>1.234</v>
      </c>
      <c r="AB46" s="43" t="s">
        <v>8</v>
      </c>
      <c r="AC46" s="46">
        <f>IF(AA46&lt;0,0,AA46)</f>
        <v>1.234</v>
      </c>
      <c r="AD46" s="237" t="s">
        <v>9</v>
      </c>
      <c r="AE46" s="1397">
        <f>R.HN!G33</f>
        <v>0</v>
      </c>
      <c r="AF46" s="35">
        <f>AE46</f>
        <v>0</v>
      </c>
      <c r="AG46" s="35">
        <f>($F$30-AF46)*1234/1000</f>
        <v>1.234</v>
      </c>
      <c r="AH46" s="43" t="s">
        <v>8</v>
      </c>
      <c r="AI46" s="46">
        <f>IF(AG46&lt;0,0,AG46)</f>
        <v>1.234</v>
      </c>
      <c r="AJ46" s="237" t="s">
        <v>9</v>
      </c>
      <c r="AK46" s="1397">
        <f>R.HN!H33</f>
        <v>0</v>
      </c>
      <c r="AL46" s="35">
        <f>AK46</f>
        <v>0</v>
      </c>
      <c r="AM46" s="35">
        <f>($F$30-AL46)*1234/1000</f>
        <v>1.234</v>
      </c>
      <c r="AN46" s="43" t="s">
        <v>8</v>
      </c>
      <c r="AO46" s="46">
        <f>IF(AM46&lt;0,0,AM46)</f>
        <v>1.234</v>
      </c>
      <c r="AP46" s="237" t="s">
        <v>9</v>
      </c>
      <c r="AQ46" s="292" t="s">
        <v>493</v>
      </c>
    </row>
    <row r="47" spans="1:43" ht="31.5" customHeight="1">
      <c r="A47" s="1371" t="s">
        <v>1274</v>
      </c>
      <c r="B47" s="2463"/>
      <c r="C47" s="2464"/>
      <c r="D47" s="52" t="s">
        <v>5</v>
      </c>
      <c r="E47" s="119" t="s">
        <v>1262</v>
      </c>
      <c r="F47" s="1401">
        <v>9.5</v>
      </c>
      <c r="G47" s="1397">
        <f>R.HN!C34</f>
        <v>0</v>
      </c>
      <c r="H47" s="35">
        <f>G47</f>
        <v>0</v>
      </c>
      <c r="I47" s="35"/>
      <c r="J47" s="43"/>
      <c r="K47" s="44"/>
      <c r="L47" s="237"/>
      <c r="M47" s="1397">
        <f>R.HN!D34</f>
        <v>0</v>
      </c>
      <c r="N47" s="35">
        <f>M47</f>
        <v>0</v>
      </c>
      <c r="O47" s="35"/>
      <c r="P47" s="43"/>
      <c r="Q47" s="44"/>
      <c r="R47" s="237"/>
      <c r="S47" s="1397">
        <f>R.HN!E34</f>
        <v>0</v>
      </c>
      <c r="T47" s="35">
        <f>S47</f>
        <v>0</v>
      </c>
      <c r="U47" s="35"/>
      <c r="V47" s="43"/>
      <c r="W47" s="44"/>
      <c r="X47" s="237"/>
      <c r="Y47" s="1397">
        <f>R.HN!F34</f>
        <v>0</v>
      </c>
      <c r="Z47" s="35">
        <f>Y47</f>
        <v>0</v>
      </c>
      <c r="AA47" s="35"/>
      <c r="AB47" s="43"/>
      <c r="AC47" s="44"/>
      <c r="AD47" s="237"/>
      <c r="AE47" s="1397">
        <f>R.HN!G34</f>
        <v>0</v>
      </c>
      <c r="AF47" s="35">
        <f>AE47</f>
        <v>0</v>
      </c>
      <c r="AG47" s="35"/>
      <c r="AH47" s="43"/>
      <c r="AI47" s="44"/>
      <c r="AJ47" s="237"/>
      <c r="AK47" s="1397">
        <f>R.HN!H34</f>
        <v>0</v>
      </c>
      <c r="AL47" s="35">
        <f>AK47</f>
        <v>0</v>
      </c>
      <c r="AM47" s="35"/>
      <c r="AN47" s="43"/>
      <c r="AO47" s="44"/>
      <c r="AP47" s="237"/>
      <c r="AQ47" s="292" t="s">
        <v>493</v>
      </c>
    </row>
    <row r="48" spans="1:43" ht="33" customHeight="1">
      <c r="A48" s="319" t="s">
        <v>76</v>
      </c>
      <c r="B48" s="320"/>
      <c r="C48" s="320"/>
      <c r="D48" s="320"/>
      <c r="E48" s="316"/>
      <c r="F48" s="320"/>
      <c r="G48" s="320"/>
      <c r="H48" s="320"/>
      <c r="I48" s="320"/>
      <c r="J48" s="320"/>
      <c r="K48" s="320"/>
      <c r="L48" s="320"/>
      <c r="M48" s="320"/>
      <c r="N48" s="321"/>
      <c r="O48" s="320"/>
      <c r="P48" s="320"/>
      <c r="Q48" s="320"/>
      <c r="R48" s="321"/>
      <c r="S48" s="320"/>
      <c r="T48" s="321"/>
      <c r="U48" s="320"/>
      <c r="V48" s="320"/>
      <c r="W48" s="320"/>
      <c r="X48" s="320"/>
      <c r="Y48" s="320"/>
      <c r="Z48" s="320"/>
      <c r="AA48" s="320"/>
      <c r="AB48" s="320"/>
      <c r="AC48" s="320"/>
      <c r="AD48" s="320"/>
      <c r="AE48" s="321"/>
      <c r="AF48" s="321"/>
      <c r="AG48" s="321"/>
      <c r="AH48" s="321"/>
      <c r="AI48" s="321"/>
      <c r="AJ48" s="321"/>
      <c r="AK48" s="321"/>
      <c r="AL48" s="321"/>
      <c r="AM48" s="321"/>
      <c r="AN48" s="321"/>
      <c r="AO48" s="321"/>
      <c r="AP48" s="1123"/>
    </row>
    <row r="49" spans="1:43" ht="51.75" customHeight="1">
      <c r="A49" s="1371" t="s">
        <v>267</v>
      </c>
      <c r="B49" s="2313" t="s">
        <v>64</v>
      </c>
      <c r="C49" s="2315"/>
      <c r="D49" s="311" t="s">
        <v>66</v>
      </c>
      <c r="E49" s="311" t="s">
        <v>67</v>
      </c>
      <c r="F49" s="1402"/>
      <c r="G49" s="1402"/>
      <c r="H49" s="313" t="s">
        <v>48</v>
      </c>
      <c r="I49" s="314"/>
      <c r="J49" s="314"/>
      <c r="K49" s="313" t="s">
        <v>65</v>
      </c>
      <c r="L49" s="330"/>
      <c r="M49" s="311"/>
      <c r="N49" s="313" t="s">
        <v>48</v>
      </c>
      <c r="O49" s="314"/>
      <c r="P49" s="314"/>
      <c r="Q49" s="313" t="s">
        <v>65</v>
      </c>
      <c r="R49" s="330"/>
      <c r="S49" s="106"/>
      <c r="T49" s="313" t="s">
        <v>48</v>
      </c>
      <c r="U49" s="314"/>
      <c r="V49" s="314"/>
      <c r="W49" s="313" t="s">
        <v>65</v>
      </c>
      <c r="X49" s="330"/>
      <c r="Y49" s="107"/>
      <c r="Z49" s="313" t="s">
        <v>48</v>
      </c>
      <c r="AA49" s="314"/>
      <c r="AB49" s="314"/>
      <c r="AC49" s="313" t="s">
        <v>65</v>
      </c>
      <c r="AD49" s="330"/>
      <c r="AE49" s="107"/>
      <c r="AF49" s="313" t="s">
        <v>48</v>
      </c>
      <c r="AG49" s="314"/>
      <c r="AH49" s="314"/>
      <c r="AI49" s="313" t="s">
        <v>65</v>
      </c>
      <c r="AJ49" s="330"/>
      <c r="AK49" s="107"/>
      <c r="AL49" s="313" t="s">
        <v>48</v>
      </c>
      <c r="AM49" s="314"/>
      <c r="AN49" s="314"/>
      <c r="AO49" s="313" t="s">
        <v>65</v>
      </c>
      <c r="AP49" s="330"/>
    </row>
    <row r="50" spans="1:43" ht="30" customHeight="1">
      <c r="A50" s="1371" t="s">
        <v>1275</v>
      </c>
      <c r="B50" s="2313" t="s">
        <v>489</v>
      </c>
      <c r="C50" s="2315"/>
      <c r="D50" s="21" t="s">
        <v>113</v>
      </c>
      <c r="E50" s="119" t="s">
        <v>1264</v>
      </c>
      <c r="F50" s="111"/>
      <c r="G50" s="111"/>
      <c r="H50" s="2091"/>
      <c r="I50" s="2092"/>
      <c r="J50" s="2092"/>
      <c r="K50" s="2091"/>
      <c r="L50" s="2092"/>
      <c r="M50" s="2092"/>
      <c r="N50" s="2091"/>
      <c r="O50" s="2092"/>
      <c r="P50" s="2092"/>
      <c r="Q50" s="2091"/>
      <c r="R50" s="2092"/>
      <c r="S50" s="2092"/>
      <c r="T50" s="2091"/>
      <c r="U50" s="2092"/>
      <c r="V50" s="2092"/>
      <c r="W50" s="2091"/>
      <c r="X50" s="2092"/>
      <c r="Y50" s="2092"/>
      <c r="Z50" s="2091"/>
      <c r="AA50" s="2092"/>
      <c r="AB50" s="2092"/>
      <c r="AC50" s="2091"/>
      <c r="AD50" s="2092"/>
      <c r="AE50" s="2092"/>
      <c r="AF50" s="2091"/>
      <c r="AG50" s="2092"/>
      <c r="AH50" s="2092"/>
      <c r="AI50" s="2091"/>
      <c r="AJ50" s="2092"/>
      <c r="AK50" s="2092"/>
      <c r="AL50" s="2091"/>
      <c r="AM50" s="2092"/>
      <c r="AN50" s="2092"/>
      <c r="AO50" s="2091"/>
      <c r="AP50" s="2092"/>
      <c r="AQ50" s="2092"/>
    </row>
    <row r="51" spans="1:43" ht="30" customHeight="1">
      <c r="A51" s="1371" t="s">
        <v>1276</v>
      </c>
      <c r="B51" s="2313" t="s">
        <v>482</v>
      </c>
      <c r="C51" s="2315"/>
      <c r="D51" s="21" t="s">
        <v>113</v>
      </c>
      <c r="E51" s="119" t="s">
        <v>1255</v>
      </c>
      <c r="F51" s="111"/>
      <c r="G51" s="111"/>
      <c r="H51" s="2091"/>
      <c r="I51" s="2092"/>
      <c r="J51" s="2092"/>
      <c r="K51" s="2091"/>
      <c r="L51" s="2092"/>
      <c r="M51" s="2092"/>
      <c r="N51" s="2091"/>
      <c r="O51" s="2092"/>
      <c r="P51" s="2092"/>
      <c r="Q51" s="2091"/>
      <c r="R51" s="2092"/>
      <c r="S51" s="2092"/>
      <c r="T51" s="2091"/>
      <c r="U51" s="2092"/>
      <c r="V51" s="2092"/>
      <c r="W51" s="2091"/>
      <c r="X51" s="2092"/>
      <c r="Y51" s="2092"/>
      <c r="Z51" s="2091"/>
      <c r="AA51" s="2092"/>
      <c r="AB51" s="2092"/>
      <c r="AC51" s="2091"/>
      <c r="AD51" s="2092"/>
      <c r="AE51" s="2092"/>
      <c r="AF51" s="2091"/>
      <c r="AG51" s="2092"/>
      <c r="AH51" s="2092"/>
      <c r="AI51" s="2091"/>
      <c r="AJ51" s="2092"/>
      <c r="AK51" s="2092"/>
      <c r="AL51" s="2091"/>
      <c r="AM51" s="2092"/>
      <c r="AN51" s="2092"/>
      <c r="AO51" s="2091"/>
      <c r="AP51" s="2092"/>
      <c r="AQ51" s="2092"/>
    </row>
    <row r="52" spans="1:43" ht="30" customHeight="1">
      <c r="A52" s="1371" t="s">
        <v>1277</v>
      </c>
      <c r="B52" s="2313" t="s">
        <v>475</v>
      </c>
      <c r="C52" s="2315"/>
      <c r="D52" s="21" t="s">
        <v>113</v>
      </c>
      <c r="E52" s="119" t="s">
        <v>1256</v>
      </c>
      <c r="F52" s="1408"/>
      <c r="G52" s="1408"/>
      <c r="H52" s="2091"/>
      <c r="I52" s="2092"/>
      <c r="J52" s="2092"/>
      <c r="K52" s="2091"/>
      <c r="L52" s="2092"/>
      <c r="M52" s="2092"/>
      <c r="N52" s="2091"/>
      <c r="O52" s="2092"/>
      <c r="P52" s="2092"/>
      <c r="Q52" s="2091"/>
      <c r="R52" s="2092"/>
      <c r="S52" s="2092"/>
      <c r="T52" s="2091"/>
      <c r="U52" s="2092"/>
      <c r="V52" s="2092"/>
      <c r="W52" s="2091"/>
      <c r="X52" s="2092"/>
      <c r="Y52" s="2092"/>
      <c r="Z52" s="2091"/>
      <c r="AA52" s="2092"/>
      <c r="AB52" s="2092"/>
      <c r="AC52" s="2091"/>
      <c r="AD52" s="2092"/>
      <c r="AE52" s="2092"/>
      <c r="AF52" s="2091"/>
      <c r="AG52" s="2092"/>
      <c r="AH52" s="2092"/>
      <c r="AI52" s="2091"/>
      <c r="AJ52" s="2092"/>
      <c r="AK52" s="2092"/>
      <c r="AL52" s="2091"/>
      <c r="AM52" s="2092"/>
      <c r="AN52" s="2092"/>
      <c r="AO52" s="2091"/>
      <c r="AP52" s="2092"/>
      <c r="AQ52" s="2092"/>
    </row>
    <row r="53" spans="1:43" ht="23.25" customHeight="1">
      <c r="A53" s="454"/>
      <c r="B53" s="105"/>
      <c r="C53" s="105"/>
      <c r="D53" s="1410"/>
      <c r="E53" s="678"/>
      <c r="F53" s="1408"/>
      <c r="G53" s="1408"/>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row>
    <row r="54" spans="1:43" ht="30" customHeight="1">
      <c r="A54" s="1411" t="s">
        <v>506</v>
      </c>
      <c r="B54" s="1412"/>
      <c r="C54" s="1412"/>
      <c r="D54" s="1412"/>
      <c r="E54" s="1413"/>
      <c r="F54" s="1414" t="s">
        <v>75</v>
      </c>
      <c r="G54" s="1415"/>
      <c r="H54" s="1416" t="s">
        <v>75</v>
      </c>
      <c r="I54" s="484"/>
      <c r="J54" s="484"/>
      <c r="K54" s="484"/>
      <c r="L54" s="484"/>
      <c r="M54" s="484"/>
      <c r="N54" s="484"/>
      <c r="O54" s="484"/>
      <c r="P54" s="484"/>
      <c r="Q54" s="484"/>
      <c r="R54" s="1417"/>
      <c r="S54" s="1415"/>
      <c r="AD54" s="292"/>
      <c r="AP54" s="292"/>
    </row>
    <row r="55" spans="1:43" ht="30" customHeight="1">
      <c r="A55" s="468"/>
      <c r="B55" s="2448" t="s">
        <v>79</v>
      </c>
      <c r="C55" s="2449"/>
      <c r="D55" s="2452" t="s">
        <v>136</v>
      </c>
      <c r="E55" s="2454" t="s">
        <v>67</v>
      </c>
      <c r="F55" s="1393"/>
      <c r="G55" s="98"/>
      <c r="H55" s="2457" t="s">
        <v>507</v>
      </c>
      <c r="I55" s="2457"/>
      <c r="J55" s="2457"/>
      <c r="K55" s="2457"/>
      <c r="L55" s="2457"/>
      <c r="M55" s="99"/>
      <c r="N55" s="2458" t="s">
        <v>437</v>
      </c>
      <c r="O55" s="2459"/>
      <c r="P55" s="2459"/>
      <c r="Q55" s="2459"/>
      <c r="R55" s="2460"/>
      <c r="S55" s="99"/>
      <c r="T55" s="1418"/>
      <c r="U55" s="1418"/>
      <c r="V55" s="1418"/>
      <c r="W55" s="1418"/>
      <c r="X55" s="1418"/>
      <c r="Y55" s="1419"/>
      <c r="Z55" s="1418"/>
      <c r="AA55" s="1418"/>
      <c r="AB55" s="1418"/>
      <c r="AC55" s="1418"/>
      <c r="AD55" s="1418"/>
      <c r="AE55" s="1419"/>
      <c r="AF55" s="1418"/>
      <c r="AG55" s="1418"/>
      <c r="AH55" s="1418"/>
      <c r="AI55" s="1418"/>
      <c r="AJ55" s="1418"/>
      <c r="AK55" s="1419"/>
      <c r="AL55" s="1418"/>
      <c r="AM55" s="1418"/>
      <c r="AN55" s="1418"/>
      <c r="AO55" s="1418"/>
      <c r="AP55" s="1418"/>
    </row>
    <row r="56" spans="1:43" ht="30" customHeight="1">
      <c r="A56" s="1367" t="s">
        <v>267</v>
      </c>
      <c r="B56" s="2450"/>
      <c r="C56" s="2451"/>
      <c r="D56" s="2453"/>
      <c r="E56" s="2455"/>
      <c r="F56" s="1395" t="s">
        <v>457</v>
      </c>
      <c r="G56" s="20"/>
      <c r="H56" s="1365" t="s">
        <v>145</v>
      </c>
      <c r="I56" s="34" t="s">
        <v>1</v>
      </c>
      <c r="J56" s="316" t="s">
        <v>1</v>
      </c>
      <c r="K56" s="316"/>
      <c r="L56" s="317"/>
      <c r="M56" s="100"/>
      <c r="N56" s="1365" t="s">
        <v>145</v>
      </c>
      <c r="O56" s="34" t="s">
        <v>1</v>
      </c>
      <c r="P56" s="316" t="s">
        <v>1</v>
      </c>
      <c r="Q56" s="316"/>
      <c r="R56" s="317"/>
      <c r="S56" s="1420"/>
      <c r="T56" s="454"/>
      <c r="U56" s="1421"/>
      <c r="V56" s="1421"/>
      <c r="W56" s="1421"/>
      <c r="X56" s="1421"/>
      <c r="Y56" s="454"/>
      <c r="Z56" s="454"/>
      <c r="AA56" s="1421"/>
      <c r="AB56" s="1421"/>
      <c r="AC56" s="1421"/>
      <c r="AD56" s="1421"/>
      <c r="AE56" s="1422"/>
      <c r="AF56" s="454"/>
      <c r="AG56" s="1421"/>
      <c r="AH56" s="1421"/>
      <c r="AI56" s="1421"/>
      <c r="AJ56" s="1421"/>
      <c r="AK56" s="454"/>
      <c r="AL56" s="454"/>
      <c r="AM56" s="1421"/>
      <c r="AN56" s="1421"/>
      <c r="AO56" s="1421"/>
      <c r="AP56" s="1421"/>
    </row>
    <row r="57" spans="1:43" ht="36.75" customHeight="1">
      <c r="A57" s="1371" t="s">
        <v>508</v>
      </c>
      <c r="B57" s="2333" t="s">
        <v>509</v>
      </c>
      <c r="C57" s="2335"/>
      <c r="D57" s="52" t="s">
        <v>466</v>
      </c>
      <c r="E57" s="119" t="s">
        <v>510</v>
      </c>
      <c r="F57" s="1399">
        <v>15</v>
      </c>
      <c r="G57" s="1397">
        <f>R.HN!C39</f>
        <v>0</v>
      </c>
      <c r="H57" s="35">
        <f t="shared" ref="H57:H63" si="0">G57</f>
        <v>0</v>
      </c>
      <c r="I57" s="35">
        <f>($F$57-H57)*2160*3.34/1000</f>
        <v>108.21599999999999</v>
      </c>
      <c r="J57" s="43" t="s">
        <v>8</v>
      </c>
      <c r="K57" s="44">
        <f>IF(I57&lt;0,0,I57)</f>
        <v>108.21599999999999</v>
      </c>
      <c r="L57" s="45" t="s">
        <v>9</v>
      </c>
      <c r="M57" s="103">
        <f>R.HN!D39</f>
        <v>0</v>
      </c>
      <c r="N57" s="35">
        <f t="shared" ref="N57:N63" si="1">M57</f>
        <v>0</v>
      </c>
      <c r="O57" s="35">
        <f>($F$57-N57)*2160*3.34/1000</f>
        <v>108.21599999999999</v>
      </c>
      <c r="P57" s="43" t="s">
        <v>8</v>
      </c>
      <c r="Q57" s="44">
        <f t="shared" ref="Q57:Q63" si="2">IF(O57&lt;0,0,O57)</f>
        <v>108.21599999999999</v>
      </c>
      <c r="R57" s="45" t="s">
        <v>9</v>
      </c>
      <c r="S57" s="1423">
        <f>R.HN!E39</f>
        <v>0</v>
      </c>
      <c r="T57" s="1424"/>
      <c r="U57" s="1424"/>
      <c r="V57" s="1425"/>
      <c r="W57" s="1587">
        <f>N57</f>
        <v>0</v>
      </c>
      <c r="X57" s="1427"/>
      <c r="Y57" s="1428"/>
      <c r="Z57" s="1424"/>
      <c r="AA57" s="1424"/>
      <c r="AB57" s="1425"/>
      <c r="AC57" s="1426"/>
      <c r="AD57" s="1427"/>
      <c r="AE57" s="1428"/>
      <c r="AF57" s="1424"/>
      <c r="AG57" s="1424"/>
      <c r="AH57" s="1425"/>
      <c r="AI57" s="1426"/>
      <c r="AJ57" s="1427"/>
      <c r="AK57" s="1428"/>
      <c r="AL57" s="1424"/>
      <c r="AM57" s="1424"/>
      <c r="AN57" s="1425"/>
      <c r="AO57" s="1426"/>
      <c r="AP57" s="1427"/>
      <c r="AQ57" s="292" t="s">
        <v>511</v>
      </c>
    </row>
    <row r="58" spans="1:43" ht="30" customHeight="1">
      <c r="A58" s="1371" t="s">
        <v>512</v>
      </c>
      <c r="B58" s="2333" t="s">
        <v>513</v>
      </c>
      <c r="C58" s="2335"/>
      <c r="D58" s="52" t="s">
        <v>466</v>
      </c>
      <c r="E58" s="119" t="s">
        <v>510</v>
      </c>
      <c r="F58" s="1399">
        <v>15</v>
      </c>
      <c r="G58" s="1397">
        <f>R.HN!C40</f>
        <v>0</v>
      </c>
      <c r="H58" s="35">
        <f t="shared" si="0"/>
        <v>0</v>
      </c>
      <c r="I58" s="35">
        <f>($F$58-H58)*2160*3.34/1000</f>
        <v>108.21599999999999</v>
      </c>
      <c r="J58" s="43" t="s">
        <v>8</v>
      </c>
      <c r="K58" s="44">
        <f>IF(I58&lt;0,0,I58)</f>
        <v>108.21599999999999</v>
      </c>
      <c r="L58" s="45" t="s">
        <v>9</v>
      </c>
      <c r="M58" s="103">
        <f>R.HN!D40</f>
        <v>0</v>
      </c>
      <c r="N58" s="35">
        <f t="shared" si="1"/>
        <v>0</v>
      </c>
      <c r="O58" s="35">
        <f>($F$58-N58)*2160*3.34/1000</f>
        <v>108.21599999999999</v>
      </c>
      <c r="P58" s="43" t="s">
        <v>8</v>
      </c>
      <c r="Q58" s="44">
        <f t="shared" si="2"/>
        <v>108.21599999999999</v>
      </c>
      <c r="R58" s="45" t="s">
        <v>9</v>
      </c>
      <c r="S58" s="1423">
        <f>R.HN!E40</f>
        <v>0</v>
      </c>
      <c r="T58" s="1424"/>
      <c r="U58" s="1424"/>
      <c r="V58" s="1425"/>
      <c r="W58" s="1587">
        <f t="shared" ref="W58:W65" si="3">N58</f>
        <v>0</v>
      </c>
      <c r="X58" s="1427"/>
      <c r="Y58" s="1428"/>
      <c r="Z58" s="1424"/>
      <c r="AA58" s="1424"/>
      <c r="AB58" s="1425"/>
      <c r="AC58" s="1426"/>
      <c r="AD58" s="1427"/>
      <c r="AE58" s="1428"/>
      <c r="AF58" s="1424"/>
      <c r="AG58" s="1424"/>
      <c r="AH58" s="1425"/>
      <c r="AI58" s="1426"/>
      <c r="AJ58" s="1427"/>
      <c r="AK58" s="1428"/>
      <c r="AL58" s="1424"/>
      <c r="AM58" s="1424"/>
      <c r="AN58" s="1425"/>
      <c r="AO58" s="1426"/>
      <c r="AP58" s="1427"/>
      <c r="AQ58" s="292" t="s">
        <v>511</v>
      </c>
    </row>
    <row r="59" spans="1:43" ht="33" customHeight="1">
      <c r="A59" s="1371" t="s">
        <v>514</v>
      </c>
      <c r="B59" s="2333" t="s">
        <v>515</v>
      </c>
      <c r="C59" s="2335"/>
      <c r="D59" s="52" t="s">
        <v>466</v>
      </c>
      <c r="E59" s="119" t="s">
        <v>510</v>
      </c>
      <c r="F59" s="1399">
        <v>15</v>
      </c>
      <c r="G59" s="1397">
        <f>R.HN!C41</f>
        <v>0</v>
      </c>
      <c r="H59" s="35">
        <f t="shared" si="0"/>
        <v>0</v>
      </c>
      <c r="I59" s="35">
        <f>($F$59-H59)*2700*3.33/1000</f>
        <v>134.86500000000001</v>
      </c>
      <c r="J59" s="43" t="s">
        <v>8</v>
      </c>
      <c r="K59" s="44">
        <f>IF(I59&lt;0,0,I59)</f>
        <v>134.86500000000001</v>
      </c>
      <c r="L59" s="45" t="s">
        <v>9</v>
      </c>
      <c r="M59" s="103">
        <f>R.HN!D41</f>
        <v>0</v>
      </c>
      <c r="N59" s="35">
        <f t="shared" si="1"/>
        <v>0</v>
      </c>
      <c r="O59" s="35">
        <f>($F$59-N59)*2700*3.33/1000</f>
        <v>134.86500000000001</v>
      </c>
      <c r="P59" s="43" t="s">
        <v>8</v>
      </c>
      <c r="Q59" s="44">
        <f t="shared" si="2"/>
        <v>134.86500000000001</v>
      </c>
      <c r="R59" s="45" t="s">
        <v>9</v>
      </c>
      <c r="S59" s="1423">
        <f>R.HN!E41</f>
        <v>0</v>
      </c>
      <c r="T59" s="1424"/>
      <c r="U59" s="1424"/>
      <c r="V59" s="1425"/>
      <c r="W59" s="1587">
        <f t="shared" si="3"/>
        <v>0</v>
      </c>
      <c r="X59" s="1427"/>
      <c r="Y59" s="1428"/>
      <c r="Z59" s="1424"/>
      <c r="AA59" s="1424"/>
      <c r="AB59" s="1425"/>
      <c r="AC59" s="1426"/>
      <c r="AD59" s="1427"/>
      <c r="AE59" s="1428"/>
      <c r="AF59" s="1424"/>
      <c r="AG59" s="1424"/>
      <c r="AH59" s="1425"/>
      <c r="AI59" s="1426"/>
      <c r="AJ59" s="1427"/>
      <c r="AK59" s="1428"/>
      <c r="AL59" s="1424"/>
      <c r="AM59" s="1424"/>
      <c r="AN59" s="1425"/>
      <c r="AO59" s="1426"/>
      <c r="AP59" s="1427"/>
      <c r="AQ59" s="292" t="s">
        <v>511</v>
      </c>
    </row>
    <row r="60" spans="1:43" ht="35.25" customHeight="1">
      <c r="A60" s="1371" t="s">
        <v>516</v>
      </c>
      <c r="B60" s="2333" t="s">
        <v>517</v>
      </c>
      <c r="C60" s="2335"/>
      <c r="D60" s="52" t="s">
        <v>466</v>
      </c>
      <c r="E60" s="119" t="s">
        <v>1278</v>
      </c>
      <c r="F60" s="1399">
        <v>10</v>
      </c>
      <c r="G60" s="1397">
        <f>R.HN!C42</f>
        <v>0</v>
      </c>
      <c r="H60" s="35">
        <f t="shared" si="0"/>
        <v>0</v>
      </c>
      <c r="I60" s="35">
        <f>($F$60-H60)*2160*5.77/1000</f>
        <v>124.63199999999999</v>
      </c>
      <c r="J60" s="43" t="s">
        <v>8</v>
      </c>
      <c r="K60" s="44">
        <f>IF(I60&lt;0,0,I60)</f>
        <v>124.63199999999999</v>
      </c>
      <c r="L60" s="45" t="s">
        <v>10</v>
      </c>
      <c r="M60" s="103">
        <f>R.HN!D42</f>
        <v>0</v>
      </c>
      <c r="N60" s="35">
        <f t="shared" si="1"/>
        <v>0</v>
      </c>
      <c r="O60" s="35">
        <f>($F$60-N60)*2160*5.77/1000</f>
        <v>124.63199999999999</v>
      </c>
      <c r="P60" s="43" t="s">
        <v>8</v>
      </c>
      <c r="Q60" s="44">
        <f t="shared" si="2"/>
        <v>124.63199999999999</v>
      </c>
      <c r="R60" s="45" t="s">
        <v>10</v>
      </c>
      <c r="S60" s="1423">
        <f>R.HN!E42</f>
        <v>0</v>
      </c>
      <c r="T60" s="1424"/>
      <c r="U60" s="1424"/>
      <c r="V60" s="1425"/>
      <c r="W60" s="1587">
        <f t="shared" si="3"/>
        <v>0</v>
      </c>
      <c r="X60" s="1427"/>
      <c r="Y60" s="1428"/>
      <c r="Z60" s="1424"/>
      <c r="AA60" s="1424"/>
      <c r="AB60" s="1425"/>
      <c r="AC60" s="1426"/>
      <c r="AD60" s="1427"/>
      <c r="AE60" s="1428"/>
      <c r="AF60" s="1424"/>
      <c r="AG60" s="1424"/>
      <c r="AH60" s="1425"/>
      <c r="AI60" s="1426"/>
      <c r="AJ60" s="1427"/>
      <c r="AK60" s="1428"/>
      <c r="AL60" s="1424"/>
      <c r="AM60" s="1424"/>
      <c r="AN60" s="1425"/>
      <c r="AO60" s="1426"/>
      <c r="AP60" s="1427"/>
      <c r="AQ60" s="292" t="s">
        <v>511</v>
      </c>
    </row>
    <row r="61" spans="1:43" ht="38.25" customHeight="1">
      <c r="A61" s="1371" t="s">
        <v>518</v>
      </c>
      <c r="B61" s="2333" t="s">
        <v>519</v>
      </c>
      <c r="C61" s="2335"/>
      <c r="D61" s="52" t="s">
        <v>466</v>
      </c>
      <c r="E61" s="119" t="s">
        <v>520</v>
      </c>
      <c r="F61" s="1396">
        <v>1.5</v>
      </c>
      <c r="G61" s="1397">
        <f>R.HN!C43</f>
        <v>0</v>
      </c>
      <c r="H61" s="1400">
        <f t="shared" si="0"/>
        <v>0</v>
      </c>
      <c r="I61" s="35">
        <f>(H61-$F$61)*2430*3.3/1000</f>
        <v>-12.028499999999999</v>
      </c>
      <c r="J61" s="43" t="s">
        <v>8</v>
      </c>
      <c r="K61" s="46">
        <f>IF(I61&lt;0,0,I61)</f>
        <v>0</v>
      </c>
      <c r="L61" s="45" t="s">
        <v>9</v>
      </c>
      <c r="M61" s="103">
        <f>R.HN!D43</f>
        <v>0</v>
      </c>
      <c r="N61" s="1400">
        <f t="shared" si="1"/>
        <v>0</v>
      </c>
      <c r="O61" s="35">
        <f>(N61-$F$61)*2430*3.3/1000</f>
        <v>-12.028499999999999</v>
      </c>
      <c r="P61" s="43" t="s">
        <v>8</v>
      </c>
      <c r="Q61" s="46">
        <f t="shared" si="2"/>
        <v>0</v>
      </c>
      <c r="R61" s="45" t="s">
        <v>9</v>
      </c>
      <c r="S61" s="1423">
        <f>R.HN!E43</f>
        <v>0</v>
      </c>
      <c r="T61" s="1424"/>
      <c r="U61" s="1424"/>
      <c r="V61" s="1425"/>
      <c r="W61" s="1587">
        <f t="shared" si="3"/>
        <v>0</v>
      </c>
      <c r="X61" s="1427"/>
      <c r="Y61" s="1428"/>
      <c r="Z61" s="1424"/>
      <c r="AA61" s="1424"/>
      <c r="AB61" s="1425"/>
      <c r="AC61" s="1429"/>
      <c r="AD61" s="1427"/>
      <c r="AE61" s="1428"/>
      <c r="AF61" s="1424"/>
      <c r="AG61" s="1424"/>
      <c r="AH61" s="1425"/>
      <c r="AI61" s="1429"/>
      <c r="AJ61" s="1427"/>
      <c r="AK61" s="1428"/>
      <c r="AL61" s="1424"/>
      <c r="AM61" s="1424"/>
      <c r="AN61" s="1425"/>
      <c r="AO61" s="1429"/>
      <c r="AP61" s="1427"/>
      <c r="AQ61" s="292" t="s">
        <v>511</v>
      </c>
    </row>
    <row r="62" spans="1:43" ht="36.75" customHeight="1">
      <c r="A62" s="1371" t="s">
        <v>521</v>
      </c>
      <c r="B62" s="2333" t="s">
        <v>522</v>
      </c>
      <c r="C62" s="2335"/>
      <c r="D62" s="52" t="s">
        <v>466</v>
      </c>
      <c r="E62" s="119" t="s">
        <v>523</v>
      </c>
      <c r="F62" s="1399">
        <v>22</v>
      </c>
      <c r="G62" s="1397">
        <f>R.HN!C44</f>
        <v>0</v>
      </c>
      <c r="H62" s="35">
        <f t="shared" si="0"/>
        <v>0</v>
      </c>
      <c r="I62" s="35">
        <f>($F$62-H62)*2430*4/1000</f>
        <v>213.84</v>
      </c>
      <c r="J62" s="43" t="s">
        <v>8</v>
      </c>
      <c r="K62" s="44">
        <f t="shared" ref="K62:K63" si="4">IF(I62&lt;0,0,I62)</f>
        <v>213.84</v>
      </c>
      <c r="L62" s="45" t="s">
        <v>9</v>
      </c>
      <c r="M62" s="103">
        <f>R.HN!D44</f>
        <v>0</v>
      </c>
      <c r="N62" s="35">
        <f t="shared" si="1"/>
        <v>0</v>
      </c>
      <c r="O62" s="35">
        <f>($F$62-N62)*2430*4/1000</f>
        <v>213.84</v>
      </c>
      <c r="P62" s="43" t="s">
        <v>8</v>
      </c>
      <c r="Q62" s="44">
        <f t="shared" si="2"/>
        <v>213.84</v>
      </c>
      <c r="R62" s="45" t="s">
        <v>9</v>
      </c>
      <c r="S62" s="1423">
        <f>R.HN!E44</f>
        <v>0</v>
      </c>
      <c r="T62" s="1424"/>
      <c r="U62" s="1424"/>
      <c r="V62" s="1425"/>
      <c r="W62" s="1587">
        <f t="shared" si="3"/>
        <v>0</v>
      </c>
      <c r="X62" s="1427"/>
      <c r="Y62" s="1428"/>
      <c r="Z62" s="1424"/>
      <c r="AA62" s="1424"/>
      <c r="AB62" s="1425"/>
      <c r="AC62" s="1426"/>
      <c r="AD62" s="1427"/>
      <c r="AE62" s="1428"/>
      <c r="AF62" s="1424"/>
      <c r="AG62" s="1424"/>
      <c r="AH62" s="1425"/>
      <c r="AI62" s="1426"/>
      <c r="AJ62" s="1427"/>
      <c r="AK62" s="1428"/>
      <c r="AL62" s="1424"/>
      <c r="AM62" s="1424"/>
      <c r="AN62" s="1425"/>
      <c r="AO62" s="1426"/>
      <c r="AP62" s="1427"/>
      <c r="AQ62" s="292" t="s">
        <v>511</v>
      </c>
    </row>
    <row r="63" spans="1:43" ht="34.5" customHeight="1">
      <c r="A63" s="1371" t="s">
        <v>524</v>
      </c>
      <c r="B63" s="2333" t="s">
        <v>525</v>
      </c>
      <c r="C63" s="2335"/>
      <c r="D63" s="52" t="s">
        <v>466</v>
      </c>
      <c r="E63" s="485" t="s">
        <v>526</v>
      </c>
      <c r="F63" s="1396">
        <v>7.5</v>
      </c>
      <c r="G63" s="1397">
        <f>R.HN!C45</f>
        <v>0</v>
      </c>
      <c r="H63" s="35">
        <f t="shared" si="0"/>
        <v>0</v>
      </c>
      <c r="I63" s="35">
        <f>($F$63-H63)*2430*0.43/1000</f>
        <v>7.8367500000000003</v>
      </c>
      <c r="J63" s="43" t="s">
        <v>8</v>
      </c>
      <c r="K63" s="46">
        <f t="shared" si="4"/>
        <v>7.8367500000000003</v>
      </c>
      <c r="L63" s="45" t="s">
        <v>9</v>
      </c>
      <c r="M63" s="103">
        <f>R.HN!D45</f>
        <v>0</v>
      </c>
      <c r="N63" s="35">
        <f t="shared" si="1"/>
        <v>0</v>
      </c>
      <c r="O63" s="35">
        <f>($F$63-N63)*2430*0.43/1000</f>
        <v>7.8367500000000003</v>
      </c>
      <c r="P63" s="43" t="s">
        <v>8</v>
      </c>
      <c r="Q63" s="46">
        <f t="shared" si="2"/>
        <v>7.8367500000000003</v>
      </c>
      <c r="R63" s="45" t="s">
        <v>9</v>
      </c>
      <c r="S63" s="1423">
        <f>R.HN!E45</f>
        <v>0</v>
      </c>
      <c r="T63" s="1424"/>
      <c r="U63" s="1424"/>
      <c r="V63" s="1425"/>
      <c r="W63" s="1587">
        <f t="shared" si="3"/>
        <v>0</v>
      </c>
      <c r="X63" s="1427"/>
      <c r="Y63" s="1428"/>
      <c r="Z63" s="1424"/>
      <c r="AA63" s="1424"/>
      <c r="AB63" s="1425"/>
      <c r="AC63" s="1429"/>
      <c r="AD63" s="1427"/>
      <c r="AE63" s="1428"/>
      <c r="AF63" s="1424"/>
      <c r="AG63" s="1424"/>
      <c r="AH63" s="1425"/>
      <c r="AI63" s="1429"/>
      <c r="AJ63" s="1427"/>
      <c r="AK63" s="1428"/>
      <c r="AL63" s="1424"/>
      <c r="AM63" s="1424"/>
      <c r="AN63" s="1425"/>
      <c r="AO63" s="1429"/>
      <c r="AP63" s="1427"/>
      <c r="AQ63" s="292" t="s">
        <v>511</v>
      </c>
    </row>
    <row r="64" spans="1:43" ht="36.75" customHeight="1">
      <c r="A64" s="1371" t="s">
        <v>527</v>
      </c>
      <c r="B64" s="2333" t="s">
        <v>528</v>
      </c>
      <c r="C64" s="2335"/>
      <c r="D64" s="52" t="s">
        <v>5</v>
      </c>
      <c r="E64" s="119" t="s">
        <v>529</v>
      </c>
      <c r="F64" s="1430"/>
      <c r="G64" s="1397">
        <f>R.HN!C46</f>
        <v>0</v>
      </c>
      <c r="H64" s="35">
        <f>R.HN!C46</f>
        <v>0</v>
      </c>
      <c r="I64" s="35"/>
      <c r="J64" s="43"/>
      <c r="K64" s="46"/>
      <c r="L64" s="45"/>
      <c r="M64" s="103" t="e">
        <f>R.HN!#REF!</f>
        <v>#REF!</v>
      </c>
      <c r="N64" s="35">
        <f>R.HN!D46</f>
        <v>0</v>
      </c>
      <c r="O64" s="35"/>
      <c r="P64" s="43"/>
      <c r="Q64" s="46"/>
      <c r="R64" s="45"/>
      <c r="S64" s="1423" t="e">
        <f>R.HN!#REF!</f>
        <v>#REF!</v>
      </c>
      <c r="T64" s="1424"/>
      <c r="U64" s="1424"/>
      <c r="V64" s="1425"/>
      <c r="W64" s="1587">
        <f t="shared" si="3"/>
        <v>0</v>
      </c>
      <c r="X64" s="1427"/>
      <c r="Y64" s="1428"/>
      <c r="Z64" s="1424"/>
      <c r="AA64" s="1424"/>
      <c r="AB64" s="1425"/>
      <c r="AC64" s="1429"/>
      <c r="AD64" s="1427"/>
      <c r="AE64" s="1428"/>
      <c r="AF64" s="1424"/>
      <c r="AG64" s="1424"/>
      <c r="AH64" s="1425"/>
      <c r="AI64" s="1429"/>
      <c r="AJ64" s="1427"/>
      <c r="AK64" s="1428"/>
      <c r="AL64" s="1424"/>
      <c r="AM64" s="1424"/>
      <c r="AN64" s="1425"/>
      <c r="AO64" s="1429"/>
      <c r="AP64" s="1427"/>
      <c r="AQ64" s="292" t="s">
        <v>511</v>
      </c>
    </row>
    <row r="65" spans="1:43" ht="34.5" customHeight="1">
      <c r="A65" s="1371" t="s">
        <v>530</v>
      </c>
      <c r="B65" s="2333" t="s">
        <v>531</v>
      </c>
      <c r="C65" s="2335"/>
      <c r="D65" s="52" t="s">
        <v>5</v>
      </c>
      <c r="E65" s="485" t="s">
        <v>532</v>
      </c>
      <c r="F65" s="1396"/>
      <c r="G65" s="1397">
        <f>R.HN!C44</f>
        <v>0</v>
      </c>
      <c r="H65" s="35">
        <f>R.HN!C47</f>
        <v>0</v>
      </c>
      <c r="I65" s="35"/>
      <c r="J65" s="43"/>
      <c r="K65" s="46"/>
      <c r="L65" s="45"/>
      <c r="M65" s="103">
        <f>R.HN!D44</f>
        <v>0</v>
      </c>
      <c r="N65" s="35">
        <f>R.HN!D47</f>
        <v>0</v>
      </c>
      <c r="O65" s="35"/>
      <c r="P65" s="43"/>
      <c r="Q65" s="46"/>
      <c r="R65" s="45"/>
      <c r="S65" s="1423">
        <f>R.HN!E44</f>
        <v>0</v>
      </c>
      <c r="T65" s="1424"/>
      <c r="U65" s="1424"/>
      <c r="V65" s="1425"/>
      <c r="W65" s="1587">
        <f t="shared" si="3"/>
        <v>0</v>
      </c>
      <c r="X65" s="1427"/>
      <c r="Y65" s="1428"/>
      <c r="Z65" s="1424"/>
      <c r="AA65" s="1424"/>
      <c r="AB65" s="1425"/>
      <c r="AC65" s="1429"/>
      <c r="AD65" s="1427"/>
      <c r="AE65" s="1428"/>
      <c r="AF65" s="1424"/>
      <c r="AG65" s="1424"/>
      <c r="AH65" s="1425"/>
      <c r="AI65" s="1429"/>
      <c r="AJ65" s="1427"/>
      <c r="AK65" s="1428"/>
      <c r="AL65" s="1424"/>
      <c r="AM65" s="1424"/>
      <c r="AN65" s="1425"/>
      <c r="AO65" s="1429"/>
      <c r="AP65" s="1427"/>
      <c r="AQ65" s="292" t="s">
        <v>511</v>
      </c>
    </row>
    <row r="66" spans="1:43" ht="34.5" hidden="1" customHeight="1">
      <c r="A66" s="1371" t="s">
        <v>533</v>
      </c>
      <c r="B66" s="2333" t="s">
        <v>534</v>
      </c>
      <c r="C66" s="2335"/>
      <c r="D66" s="52" t="s">
        <v>5</v>
      </c>
      <c r="E66" s="485" t="s">
        <v>532</v>
      </c>
      <c r="F66" s="1396"/>
      <c r="G66" s="1397"/>
      <c r="H66" s="35">
        <f>R.HN!C48</f>
        <v>0</v>
      </c>
      <c r="I66" s="35"/>
      <c r="J66" s="43"/>
      <c r="K66" s="46"/>
      <c r="L66" s="45"/>
      <c r="M66" s="103"/>
      <c r="N66" s="35">
        <f>R.HN!D48</f>
        <v>0</v>
      </c>
      <c r="O66" s="35"/>
      <c r="P66" s="43"/>
      <c r="Q66" s="46"/>
      <c r="R66" s="45"/>
      <c r="S66" s="1423"/>
      <c r="T66" s="1424"/>
      <c r="U66" s="1424"/>
      <c r="V66" s="1425"/>
      <c r="W66" s="1429"/>
      <c r="X66" s="1427"/>
      <c r="Y66" s="1428"/>
      <c r="Z66" s="1424"/>
      <c r="AA66" s="1424"/>
      <c r="AB66" s="1425"/>
      <c r="AC66" s="1429"/>
      <c r="AD66" s="1427"/>
      <c r="AE66" s="1428"/>
      <c r="AF66" s="1424"/>
      <c r="AG66" s="1424"/>
      <c r="AH66" s="1425"/>
      <c r="AI66" s="1429"/>
      <c r="AJ66" s="1427"/>
      <c r="AK66" s="1428"/>
      <c r="AL66" s="1424"/>
      <c r="AM66" s="1424"/>
      <c r="AN66" s="1425"/>
      <c r="AO66" s="1429"/>
      <c r="AP66" s="1427"/>
      <c r="AQ66" s="292" t="s">
        <v>511</v>
      </c>
    </row>
    <row r="67" spans="1:43" ht="34.5" customHeight="1">
      <c r="A67" s="1371" t="s">
        <v>535</v>
      </c>
      <c r="B67" s="2333" t="s">
        <v>406</v>
      </c>
      <c r="C67" s="2335"/>
      <c r="D67" s="52" t="s">
        <v>3</v>
      </c>
      <c r="E67" s="485" t="s">
        <v>407</v>
      </c>
      <c r="F67" s="1431">
        <v>15</v>
      </c>
      <c r="G67" s="1397"/>
      <c r="H67" s="486" t="str">
        <f>IFERROR('ED-XI DEN'!L15*100,"")</f>
        <v/>
      </c>
      <c r="I67" s="35" t="e">
        <f>($F$67-H67)*2295/100</f>
        <v>#VALUE!</v>
      </c>
      <c r="J67" s="43" t="s">
        <v>8</v>
      </c>
      <c r="K67" s="46" t="str">
        <f>IFERROR(IF(I67&lt;0,0,I67),"")</f>
        <v/>
      </c>
      <c r="L67" s="45" t="s">
        <v>10</v>
      </c>
      <c r="M67" s="103"/>
      <c r="N67" s="46" t="s">
        <v>1279</v>
      </c>
      <c r="O67" s="35"/>
      <c r="P67" s="43"/>
      <c r="Q67" s="46"/>
      <c r="R67" s="45"/>
      <c r="S67" s="1423"/>
      <c r="T67" s="1424"/>
      <c r="U67" s="1424"/>
      <c r="V67" s="1425"/>
      <c r="W67" s="1429" t="str">
        <f>H67</f>
        <v/>
      </c>
      <c r="X67" s="1427"/>
      <c r="Y67" s="1428"/>
      <c r="Z67" s="1424"/>
      <c r="AA67" s="1424"/>
      <c r="AB67" s="1425"/>
      <c r="AC67" s="1429"/>
      <c r="AD67" s="1427"/>
      <c r="AE67" s="1428"/>
      <c r="AF67" s="1424"/>
      <c r="AG67" s="1424"/>
      <c r="AH67" s="1425"/>
      <c r="AI67" s="1429"/>
      <c r="AJ67" s="1427"/>
      <c r="AK67" s="1428"/>
      <c r="AL67" s="1424"/>
      <c r="AM67" s="1424"/>
      <c r="AN67" s="1425"/>
      <c r="AO67" s="1429"/>
      <c r="AP67" s="1427"/>
      <c r="AQ67" s="292" t="s">
        <v>511</v>
      </c>
    </row>
    <row r="68" spans="1:43" ht="34.5" customHeight="1">
      <c r="A68" s="1371" t="s">
        <v>536</v>
      </c>
      <c r="B68" s="2333" t="s">
        <v>408</v>
      </c>
      <c r="C68" s="2335"/>
      <c r="D68" s="52" t="s">
        <v>3</v>
      </c>
      <c r="E68" s="485" t="s">
        <v>409</v>
      </c>
      <c r="F68" s="1431">
        <v>12</v>
      </c>
      <c r="G68" s="1397"/>
      <c r="H68" s="486" t="str">
        <f>IFERROR('ED-XI DEN'!L16*100,"")</f>
        <v/>
      </c>
      <c r="I68" s="35" t="e">
        <f>($F$68-H68)*2295/100</f>
        <v>#VALUE!</v>
      </c>
      <c r="J68" s="43" t="s">
        <v>8</v>
      </c>
      <c r="K68" s="46" t="str">
        <f>IFERROR(IF(I68&lt;0,0,I68),"")</f>
        <v/>
      </c>
      <c r="L68" s="45" t="s">
        <v>10</v>
      </c>
      <c r="M68" s="103"/>
      <c r="N68" s="46" t="s">
        <v>1279</v>
      </c>
      <c r="O68" s="35"/>
      <c r="P68" s="43"/>
      <c r="Q68" s="46"/>
      <c r="R68" s="45"/>
      <c r="S68" s="1423"/>
      <c r="T68" s="1424"/>
      <c r="U68" s="1424"/>
      <c r="V68" s="1425"/>
      <c r="W68" s="1429" t="str">
        <f t="shared" ref="W68:W72" si="5">H68</f>
        <v/>
      </c>
      <c r="X68" s="1427"/>
      <c r="Y68" s="1428"/>
      <c r="Z68" s="1424"/>
      <c r="AA68" s="1424"/>
      <c r="AB68" s="1425"/>
      <c r="AC68" s="1429"/>
      <c r="AD68" s="1427"/>
      <c r="AE68" s="1428"/>
      <c r="AF68" s="1424"/>
      <c r="AG68" s="1424"/>
      <c r="AH68" s="1425"/>
      <c r="AI68" s="1429"/>
      <c r="AJ68" s="1427"/>
      <c r="AK68" s="1428"/>
      <c r="AL68" s="1424"/>
      <c r="AM68" s="1424"/>
      <c r="AN68" s="1425"/>
      <c r="AO68" s="1429"/>
      <c r="AP68" s="1427"/>
      <c r="AQ68" s="292" t="s">
        <v>511</v>
      </c>
    </row>
    <row r="69" spans="1:43" ht="34.5" hidden="1" customHeight="1">
      <c r="A69" s="1371" t="s">
        <v>537</v>
      </c>
      <c r="B69" s="2333" t="s">
        <v>410</v>
      </c>
      <c r="C69" s="2335"/>
      <c r="D69" s="52" t="s">
        <v>3</v>
      </c>
      <c r="E69" s="485" t="s">
        <v>407</v>
      </c>
      <c r="F69" s="1431">
        <v>15</v>
      </c>
      <c r="G69" s="1397"/>
      <c r="H69" s="487" t="str">
        <f>IFERROR('ED-XI DEN'!L17*100,"")</f>
        <v/>
      </c>
      <c r="I69" s="35" t="e">
        <f>($F$69-H69)*2295/100</f>
        <v>#VALUE!</v>
      </c>
      <c r="J69" s="43" t="s">
        <v>8</v>
      </c>
      <c r="K69" s="46" t="str">
        <f t="shared" ref="K69:K70" si="6">IFERROR(IF(I69&lt;0,0,I69),"")</f>
        <v/>
      </c>
      <c r="L69" s="45" t="s">
        <v>10</v>
      </c>
      <c r="M69" s="103"/>
      <c r="N69" s="46" t="s">
        <v>1279</v>
      </c>
      <c r="O69" s="35"/>
      <c r="P69" s="43"/>
      <c r="Q69" s="46"/>
      <c r="R69" s="45"/>
      <c r="S69" s="1423"/>
      <c r="T69" s="1424"/>
      <c r="U69" s="1424"/>
      <c r="V69" s="1425"/>
      <c r="W69" s="1429" t="str">
        <f t="shared" si="5"/>
        <v/>
      </c>
      <c r="X69" s="1427"/>
      <c r="Y69" s="1428"/>
      <c r="Z69" s="1424"/>
      <c r="AA69" s="1424"/>
      <c r="AB69" s="1425"/>
      <c r="AC69" s="1429"/>
      <c r="AD69" s="1427"/>
      <c r="AE69" s="1428"/>
      <c r="AF69" s="1424"/>
      <c r="AG69" s="1424"/>
      <c r="AH69" s="1425"/>
      <c r="AI69" s="1429"/>
      <c r="AJ69" s="1427"/>
      <c r="AK69" s="1428"/>
      <c r="AL69" s="1424"/>
      <c r="AM69" s="1424"/>
      <c r="AN69" s="1425"/>
      <c r="AO69" s="1429"/>
      <c r="AP69" s="1427"/>
      <c r="AQ69" s="292" t="s">
        <v>511</v>
      </c>
    </row>
    <row r="70" spans="1:43" ht="34.5" hidden="1" customHeight="1">
      <c r="A70" s="1371" t="s">
        <v>538</v>
      </c>
      <c r="B70" s="2333" t="s">
        <v>411</v>
      </c>
      <c r="C70" s="2335"/>
      <c r="D70" s="52" t="s">
        <v>3</v>
      </c>
      <c r="E70" s="485" t="s">
        <v>409</v>
      </c>
      <c r="F70" s="1431">
        <v>12</v>
      </c>
      <c r="G70" s="1397"/>
      <c r="H70" s="487" t="str">
        <f>IFERROR('ED-XI DEN'!L18*100,"")</f>
        <v/>
      </c>
      <c r="I70" s="35" t="e">
        <f>($F$70-H70)*2295/100</f>
        <v>#VALUE!</v>
      </c>
      <c r="J70" s="43" t="s">
        <v>8</v>
      </c>
      <c r="K70" s="46" t="str">
        <f t="shared" si="6"/>
        <v/>
      </c>
      <c r="L70" s="45" t="s">
        <v>10</v>
      </c>
      <c r="M70" s="103"/>
      <c r="N70" s="46" t="s">
        <v>1279</v>
      </c>
      <c r="O70" s="35"/>
      <c r="P70" s="43"/>
      <c r="Q70" s="46"/>
      <c r="R70" s="45"/>
      <c r="S70" s="1423"/>
      <c r="T70" s="1424"/>
      <c r="U70" s="1424"/>
      <c r="V70" s="1425"/>
      <c r="W70" s="1429" t="str">
        <f t="shared" si="5"/>
        <v/>
      </c>
      <c r="X70" s="1427"/>
      <c r="Y70" s="1428"/>
      <c r="Z70" s="1424"/>
      <c r="AA70" s="1424"/>
      <c r="AB70" s="1425"/>
      <c r="AC70" s="1429"/>
      <c r="AD70" s="1427"/>
      <c r="AE70" s="1428"/>
      <c r="AF70" s="1424"/>
      <c r="AG70" s="1424"/>
      <c r="AH70" s="1425"/>
      <c r="AI70" s="1429"/>
      <c r="AJ70" s="1427"/>
      <c r="AK70" s="1428"/>
      <c r="AL70" s="1424"/>
      <c r="AM70" s="1424"/>
      <c r="AN70" s="1425"/>
      <c r="AO70" s="1429"/>
      <c r="AP70" s="1427"/>
      <c r="AQ70" s="292" t="s">
        <v>511</v>
      </c>
    </row>
    <row r="71" spans="1:43" ht="34.5" customHeight="1">
      <c r="A71" s="1371" t="s">
        <v>539</v>
      </c>
      <c r="B71" s="2333" t="s">
        <v>412</v>
      </c>
      <c r="C71" s="2335"/>
      <c r="D71" s="52" t="s">
        <v>3</v>
      </c>
      <c r="E71" s="119" t="s">
        <v>413</v>
      </c>
      <c r="F71" s="1432"/>
      <c r="G71" s="1433"/>
      <c r="H71" s="67" t="str">
        <f>IFERROR('ED-XI DEN'!L19*100,"")</f>
        <v/>
      </c>
      <c r="I71" s="1434"/>
      <c r="J71" s="43"/>
      <c r="K71" s="46"/>
      <c r="L71" s="45"/>
      <c r="M71" s="103">
        <f>R.HN!D49</f>
        <v>0</v>
      </c>
      <c r="N71" s="46" t="s">
        <v>1280</v>
      </c>
      <c r="O71" s="35"/>
      <c r="P71" s="43"/>
      <c r="Q71" s="46"/>
      <c r="R71" s="45"/>
      <c r="S71" s="1423"/>
      <c r="T71" s="1424"/>
      <c r="U71" s="1424"/>
      <c r="V71" s="1425"/>
      <c r="W71" s="1429" t="str">
        <f t="shared" si="5"/>
        <v/>
      </c>
      <c r="X71" s="1427"/>
      <c r="Y71" s="1428"/>
      <c r="Z71" s="1424"/>
      <c r="AA71" s="1424"/>
      <c r="AB71" s="1425"/>
      <c r="AC71" s="1429"/>
      <c r="AD71" s="1427"/>
      <c r="AE71" s="1428"/>
      <c r="AF71" s="1424"/>
      <c r="AG71" s="1424"/>
      <c r="AH71" s="1425"/>
      <c r="AI71" s="1429"/>
      <c r="AJ71" s="1427"/>
      <c r="AK71" s="1428"/>
      <c r="AL71" s="1424"/>
      <c r="AM71" s="1424"/>
      <c r="AN71" s="1425"/>
      <c r="AO71" s="1429"/>
      <c r="AP71" s="1427"/>
      <c r="AQ71" s="292" t="s">
        <v>511</v>
      </c>
    </row>
    <row r="72" spans="1:43" ht="34.5" customHeight="1">
      <c r="A72" s="1371" t="s">
        <v>540</v>
      </c>
      <c r="B72" s="2333" t="s">
        <v>415</v>
      </c>
      <c r="C72" s="2335"/>
      <c r="D72" s="52" t="s">
        <v>3</v>
      </c>
      <c r="E72" s="119" t="s">
        <v>416</v>
      </c>
      <c r="F72" s="1432"/>
      <c r="G72" s="1433"/>
      <c r="H72" s="67" t="str">
        <f>IFERROR('ED-XI DEN'!L20*100,"")</f>
        <v/>
      </c>
      <c r="I72" s="1434"/>
      <c r="J72" s="43"/>
      <c r="K72" s="46"/>
      <c r="L72" s="45"/>
      <c r="M72" s="103">
        <f>R.HN!D50</f>
        <v>0.83333333333333337</v>
      </c>
      <c r="N72" s="46" t="s">
        <v>1280</v>
      </c>
      <c r="O72" s="35"/>
      <c r="P72" s="43"/>
      <c r="Q72" s="46"/>
      <c r="R72" s="45"/>
      <c r="S72" s="1423"/>
      <c r="T72" s="1424"/>
      <c r="U72" s="1424"/>
      <c r="V72" s="1425"/>
      <c r="W72" s="1429" t="str">
        <f t="shared" si="5"/>
        <v/>
      </c>
      <c r="X72" s="1427"/>
      <c r="Y72" s="1428"/>
      <c r="Z72" s="1424"/>
      <c r="AA72" s="1424"/>
      <c r="AB72" s="1425"/>
      <c r="AC72" s="1429"/>
      <c r="AD72" s="1427"/>
      <c r="AE72" s="1428"/>
      <c r="AF72" s="1424"/>
      <c r="AG72" s="1424"/>
      <c r="AH72" s="1425"/>
      <c r="AI72" s="1429"/>
      <c r="AJ72" s="1427"/>
      <c r="AK72" s="1428"/>
      <c r="AL72" s="1424"/>
      <c r="AM72" s="1424"/>
      <c r="AN72" s="1425"/>
      <c r="AO72" s="1429"/>
      <c r="AP72" s="1427"/>
      <c r="AQ72" s="292" t="s">
        <v>511</v>
      </c>
    </row>
    <row r="73" spans="1:43" ht="33" customHeight="1">
      <c r="A73" s="319" t="s">
        <v>76</v>
      </c>
      <c r="B73" s="320"/>
      <c r="C73" s="320"/>
      <c r="D73" s="320"/>
      <c r="E73" s="316"/>
      <c r="F73" s="320"/>
      <c r="G73" s="320"/>
      <c r="H73" s="320"/>
      <c r="I73" s="320"/>
      <c r="J73" s="320"/>
      <c r="K73" s="320"/>
      <c r="L73" s="320"/>
      <c r="M73" s="320"/>
      <c r="N73" s="321"/>
      <c r="O73" s="320"/>
      <c r="P73" s="320"/>
      <c r="Q73" s="320"/>
      <c r="R73" s="321"/>
      <c r="S73" s="320"/>
      <c r="T73" s="1424"/>
      <c r="U73" s="1424"/>
      <c r="V73" s="1425"/>
      <c r="W73" s="1429"/>
      <c r="X73" s="1427"/>
      <c r="Y73" s="1428"/>
      <c r="Z73" s="1424"/>
      <c r="AA73" s="1424"/>
      <c r="AB73" s="1425"/>
      <c r="AC73" s="1429"/>
      <c r="AD73" s="1427"/>
      <c r="AE73" s="1428"/>
      <c r="AF73" s="1424"/>
      <c r="AG73" s="1424"/>
      <c r="AH73" s="1425"/>
      <c r="AI73" s="1429"/>
      <c r="AJ73" s="1427"/>
      <c r="AK73" s="1428"/>
      <c r="AL73" s="1424"/>
      <c r="AM73" s="1424"/>
      <c r="AN73" s="1425"/>
      <c r="AO73" s="1429"/>
      <c r="AP73" s="1427"/>
    </row>
    <row r="74" spans="1:43" ht="47.25" customHeight="1">
      <c r="A74" s="1371" t="s">
        <v>267</v>
      </c>
      <c r="B74" s="2333" t="s">
        <v>64</v>
      </c>
      <c r="C74" s="2335"/>
      <c r="D74" s="311" t="s">
        <v>66</v>
      </c>
      <c r="E74" s="311" t="s">
        <v>67</v>
      </c>
      <c r="F74" s="1402"/>
      <c r="G74" s="1402"/>
      <c r="H74" s="313" t="s">
        <v>48</v>
      </c>
      <c r="I74" s="314"/>
      <c r="J74" s="314"/>
      <c r="K74" s="313" t="s">
        <v>65</v>
      </c>
      <c r="L74" s="330"/>
      <c r="M74" s="311"/>
      <c r="N74" s="313" t="s">
        <v>48</v>
      </c>
      <c r="O74" s="314"/>
      <c r="P74" s="314"/>
      <c r="Q74" s="313" t="s">
        <v>65</v>
      </c>
      <c r="R74" s="330"/>
      <c r="S74" s="1366"/>
      <c r="T74" s="1424"/>
      <c r="U74" s="1424"/>
      <c r="V74" s="1425"/>
      <c r="W74" s="1429"/>
      <c r="X74" s="1427"/>
      <c r="Y74" s="1428"/>
      <c r="Z74" s="1424"/>
      <c r="AA74" s="1424"/>
      <c r="AB74" s="1425"/>
      <c r="AC74" s="1429"/>
      <c r="AD74" s="1427"/>
      <c r="AE74" s="1428"/>
      <c r="AF74" s="1424"/>
      <c r="AG74" s="1424"/>
      <c r="AH74" s="1425"/>
      <c r="AI74" s="1429"/>
      <c r="AJ74" s="1427"/>
      <c r="AK74" s="1428"/>
      <c r="AL74" s="1424"/>
      <c r="AM74" s="1424"/>
      <c r="AN74" s="1425"/>
      <c r="AO74" s="1429"/>
      <c r="AP74" s="1427"/>
      <c r="AQ74" s="292" t="s">
        <v>511</v>
      </c>
    </row>
    <row r="75" spans="1:43" ht="41.25" customHeight="1">
      <c r="A75" s="1371" t="s">
        <v>541</v>
      </c>
      <c r="B75" s="2333" t="s">
        <v>509</v>
      </c>
      <c r="C75" s="2335"/>
      <c r="D75" s="21" t="s">
        <v>113</v>
      </c>
      <c r="E75" s="119" t="s">
        <v>542</v>
      </c>
      <c r="F75" s="111"/>
      <c r="G75" s="111"/>
      <c r="H75" s="2091"/>
      <c r="I75" s="2092"/>
      <c r="J75" s="2093"/>
      <c r="K75" s="2091"/>
      <c r="L75" s="2092"/>
      <c r="M75" s="1435"/>
      <c r="N75" s="2091"/>
      <c r="O75" s="2092"/>
      <c r="P75" s="2093"/>
      <c r="Q75" s="2091"/>
      <c r="R75" s="2093"/>
      <c r="S75" s="1362"/>
      <c r="T75" s="1424"/>
      <c r="U75" s="1424"/>
      <c r="V75" s="1425"/>
      <c r="W75" s="1429"/>
      <c r="X75" s="1427"/>
      <c r="Y75" s="1428"/>
      <c r="Z75" s="1424"/>
      <c r="AA75" s="1424"/>
      <c r="AB75" s="1425"/>
      <c r="AC75" s="1429"/>
      <c r="AD75" s="1427"/>
      <c r="AE75" s="1428"/>
      <c r="AF75" s="1424"/>
      <c r="AG75" s="1424"/>
      <c r="AH75" s="1425"/>
      <c r="AI75" s="1429"/>
      <c r="AJ75" s="1427"/>
      <c r="AK75" s="1428"/>
      <c r="AL75" s="1424"/>
      <c r="AM75" s="1424"/>
      <c r="AN75" s="1425"/>
      <c r="AO75" s="1429"/>
      <c r="AP75" s="1427"/>
      <c r="AQ75" s="292" t="s">
        <v>511</v>
      </c>
    </row>
    <row r="76" spans="1:43" ht="41.25" customHeight="1">
      <c r="A76" s="1371" t="s">
        <v>543</v>
      </c>
      <c r="B76" s="2333" t="s">
        <v>513</v>
      </c>
      <c r="C76" s="2335"/>
      <c r="D76" s="21" t="s">
        <v>113</v>
      </c>
      <c r="E76" s="119" t="s">
        <v>542</v>
      </c>
      <c r="F76" s="111"/>
      <c r="G76" s="111"/>
      <c r="H76" s="2091"/>
      <c r="I76" s="2092"/>
      <c r="J76" s="2093"/>
      <c r="K76" s="2091"/>
      <c r="L76" s="2092"/>
      <c r="M76" s="1435"/>
      <c r="N76" s="2091"/>
      <c r="O76" s="2092"/>
      <c r="P76" s="2093"/>
      <c r="Q76" s="2091"/>
      <c r="R76" s="2093"/>
      <c r="S76" s="1362"/>
      <c r="T76" s="1424"/>
      <c r="U76" s="1424"/>
      <c r="V76" s="1425"/>
      <c r="W76" s="1429"/>
      <c r="X76" s="1427"/>
      <c r="Y76" s="1428"/>
      <c r="Z76" s="1424"/>
      <c r="AA76" s="1424"/>
      <c r="AB76" s="1425"/>
      <c r="AC76" s="1429"/>
      <c r="AD76" s="1427"/>
      <c r="AE76" s="1428"/>
      <c r="AF76" s="1424"/>
      <c r="AG76" s="1424"/>
      <c r="AH76" s="1425"/>
      <c r="AI76" s="1429"/>
      <c r="AJ76" s="1427"/>
      <c r="AK76" s="1428"/>
      <c r="AL76" s="1424"/>
      <c r="AM76" s="1424"/>
      <c r="AN76" s="1425"/>
      <c r="AO76" s="1429"/>
      <c r="AP76" s="1427"/>
      <c r="AQ76" s="292" t="s">
        <v>511</v>
      </c>
    </row>
    <row r="77" spans="1:43" ht="41.25" customHeight="1">
      <c r="A77" s="1371" t="s">
        <v>544</v>
      </c>
      <c r="B77" s="2333" t="s">
        <v>515</v>
      </c>
      <c r="C77" s="2335"/>
      <c r="D77" s="21" t="s">
        <v>113</v>
      </c>
      <c r="E77" s="119" t="s">
        <v>542</v>
      </c>
      <c r="F77" s="1408"/>
      <c r="G77" s="1408"/>
      <c r="H77" s="2091"/>
      <c r="I77" s="2092"/>
      <c r="J77" s="2093"/>
      <c r="K77" s="2091"/>
      <c r="L77" s="2092"/>
      <c r="M77" s="1435"/>
      <c r="N77" s="2091"/>
      <c r="O77" s="2092"/>
      <c r="P77" s="2093"/>
      <c r="Q77" s="2091"/>
      <c r="R77" s="2093"/>
      <c r="S77" s="1362"/>
      <c r="T77" s="1436"/>
      <c r="U77" s="1436"/>
      <c r="V77" s="1436"/>
      <c r="W77" s="1436"/>
      <c r="X77" s="117"/>
      <c r="Y77" s="117"/>
      <c r="Z77" s="1436"/>
      <c r="AA77" s="1436"/>
      <c r="AB77" s="1436"/>
      <c r="AC77" s="1436"/>
      <c r="AD77" s="117"/>
      <c r="AE77" s="117"/>
      <c r="AF77" s="1436"/>
      <c r="AG77" s="1436"/>
      <c r="AH77" s="1436"/>
      <c r="AI77" s="1436"/>
      <c r="AJ77" s="117"/>
      <c r="AK77" s="117"/>
      <c r="AL77" s="1436"/>
      <c r="AM77" s="1436"/>
      <c r="AN77" s="1436"/>
      <c r="AO77" s="1436"/>
      <c r="AP77" s="117"/>
      <c r="AQ77" s="292" t="s">
        <v>511</v>
      </c>
    </row>
    <row r="78" spans="1:43" ht="41.25" customHeight="1">
      <c r="A78" s="1371" t="s">
        <v>545</v>
      </c>
      <c r="B78" s="2333" t="s">
        <v>546</v>
      </c>
      <c r="C78" s="2335"/>
      <c r="D78" s="21" t="s">
        <v>113</v>
      </c>
      <c r="E78" s="119" t="s">
        <v>547</v>
      </c>
      <c r="F78" s="1408"/>
      <c r="G78" s="1408"/>
      <c r="H78" s="2091"/>
      <c r="I78" s="2092"/>
      <c r="J78" s="2093"/>
      <c r="K78" s="2091"/>
      <c r="L78" s="2092"/>
      <c r="M78" s="1435"/>
      <c r="N78" s="2091"/>
      <c r="O78" s="2092"/>
      <c r="P78" s="2093"/>
      <c r="Q78" s="2091"/>
      <c r="R78" s="2093"/>
      <c r="S78" s="117"/>
      <c r="T78" s="1436"/>
      <c r="U78" s="1436"/>
      <c r="V78" s="1436"/>
      <c r="W78" s="1436"/>
      <c r="X78" s="117"/>
      <c r="Y78" s="117"/>
      <c r="Z78" s="1436"/>
      <c r="AA78" s="1436"/>
      <c r="AB78" s="1436"/>
      <c r="AC78" s="1436"/>
      <c r="AD78" s="117"/>
      <c r="AE78" s="117"/>
      <c r="AF78" s="1436"/>
      <c r="AG78" s="1436"/>
      <c r="AH78" s="1436"/>
      <c r="AI78" s="1436"/>
      <c r="AJ78" s="117"/>
      <c r="AK78" s="117"/>
      <c r="AL78" s="1436"/>
      <c r="AM78" s="1436"/>
      <c r="AN78" s="1436"/>
      <c r="AO78" s="1436"/>
      <c r="AP78" s="117"/>
      <c r="AQ78" s="292" t="s">
        <v>511</v>
      </c>
    </row>
    <row r="79" spans="1:43" ht="41.25" customHeight="1">
      <c r="A79" s="1371" t="s">
        <v>548</v>
      </c>
      <c r="B79" s="2333" t="s">
        <v>549</v>
      </c>
      <c r="C79" s="2335"/>
      <c r="D79" s="21" t="s">
        <v>113</v>
      </c>
      <c r="E79" s="119" t="s">
        <v>550</v>
      </c>
      <c r="F79" s="1408"/>
      <c r="G79" s="1408"/>
      <c r="H79" s="2091"/>
      <c r="I79" s="2092"/>
      <c r="J79" s="2093"/>
      <c r="K79" s="2091"/>
      <c r="L79" s="2092"/>
      <c r="M79" s="1435"/>
      <c r="N79" s="2091"/>
      <c r="O79" s="2092"/>
      <c r="P79" s="2093"/>
      <c r="Q79" s="2091"/>
      <c r="R79" s="2093"/>
      <c r="S79" s="117"/>
      <c r="T79" s="1436"/>
      <c r="U79" s="1436"/>
      <c r="V79" s="1436"/>
      <c r="W79" s="1436"/>
      <c r="X79" s="117"/>
      <c r="Y79" s="117"/>
      <c r="Z79" s="1436"/>
      <c r="AA79" s="1436"/>
      <c r="AB79" s="1436"/>
      <c r="AC79" s="1436"/>
      <c r="AD79" s="117"/>
      <c r="AE79" s="117"/>
      <c r="AF79" s="1436"/>
      <c r="AG79" s="1436"/>
      <c r="AH79" s="1436"/>
      <c r="AI79" s="1436"/>
      <c r="AJ79" s="117"/>
      <c r="AK79" s="117"/>
      <c r="AL79" s="1436"/>
      <c r="AM79" s="1436"/>
      <c r="AN79" s="1436"/>
      <c r="AO79" s="1436"/>
      <c r="AP79" s="117"/>
      <c r="AQ79" s="292" t="s">
        <v>511</v>
      </c>
    </row>
    <row r="80" spans="1:43" ht="41.25" hidden="1" customHeight="1">
      <c r="A80" s="1371" t="s">
        <v>551</v>
      </c>
      <c r="B80" s="2333" t="s">
        <v>552</v>
      </c>
      <c r="C80" s="2335"/>
      <c r="D80" s="21" t="s">
        <v>113</v>
      </c>
      <c r="E80" s="119" t="s">
        <v>550</v>
      </c>
      <c r="F80" s="1408"/>
      <c r="G80" s="1408"/>
      <c r="H80" s="2091"/>
      <c r="I80" s="2092"/>
      <c r="J80" s="2093"/>
      <c r="K80" s="2091"/>
      <c r="L80" s="2092"/>
      <c r="M80" s="1435"/>
      <c r="N80" s="2091"/>
      <c r="O80" s="2092"/>
      <c r="P80" s="2093"/>
      <c r="Q80" s="2091"/>
      <c r="R80" s="2093"/>
      <c r="S80" s="117"/>
      <c r="T80" s="1436"/>
      <c r="U80" s="1436"/>
      <c r="V80" s="1436"/>
      <c r="W80" s="1436"/>
      <c r="X80" s="117"/>
      <c r="Y80" s="117"/>
      <c r="Z80" s="1436"/>
      <c r="AA80" s="1436"/>
      <c r="AB80" s="1436"/>
      <c r="AC80" s="1436"/>
      <c r="AD80" s="117"/>
      <c r="AE80" s="117"/>
      <c r="AF80" s="1436"/>
      <c r="AG80" s="1436"/>
      <c r="AH80" s="1436"/>
      <c r="AI80" s="1436"/>
      <c r="AJ80" s="117"/>
      <c r="AK80" s="117"/>
      <c r="AL80" s="1436"/>
      <c r="AM80" s="1436"/>
      <c r="AN80" s="1436"/>
      <c r="AO80" s="1436"/>
      <c r="AP80" s="117"/>
      <c r="AQ80" s="292" t="s">
        <v>511</v>
      </c>
    </row>
    <row r="81" spans="1:43" ht="38.25" customHeight="1">
      <c r="A81" s="1371" t="s">
        <v>553</v>
      </c>
      <c r="B81" s="2333" t="s">
        <v>554</v>
      </c>
      <c r="C81" s="2335"/>
      <c r="D81" s="21" t="s">
        <v>113</v>
      </c>
      <c r="E81" s="119" t="s">
        <v>555</v>
      </c>
      <c r="F81" s="1408"/>
      <c r="G81" s="1408"/>
      <c r="H81" s="2313" t="s">
        <v>50</v>
      </c>
      <c r="I81" s="2314"/>
      <c r="J81" s="2315"/>
      <c r="K81" s="2091"/>
      <c r="L81" s="2092"/>
      <c r="M81" s="1435"/>
      <c r="N81" s="2313" t="s">
        <v>50</v>
      </c>
      <c r="O81" s="2314"/>
      <c r="P81" s="2315"/>
      <c r="Q81" s="2091"/>
      <c r="R81" s="2093"/>
      <c r="S81" s="117"/>
      <c r="T81" s="1437"/>
      <c r="U81" s="1437"/>
      <c r="V81" s="1437"/>
      <c r="W81" s="1437"/>
      <c r="X81" s="117"/>
      <c r="Y81" s="117"/>
      <c r="Z81" s="1437"/>
      <c r="AA81" s="1437"/>
      <c r="AB81" s="1437"/>
      <c r="AC81" s="1437"/>
      <c r="AD81" s="117"/>
      <c r="AE81" s="117"/>
      <c r="AF81" s="1437"/>
      <c r="AG81" s="1437"/>
      <c r="AH81" s="1437"/>
      <c r="AI81" s="1437"/>
      <c r="AJ81" s="117"/>
      <c r="AK81" s="117"/>
      <c r="AL81" s="1437"/>
      <c r="AM81" s="1437"/>
      <c r="AN81" s="1437"/>
      <c r="AO81" s="1437"/>
      <c r="AP81" s="117"/>
      <c r="AQ81" s="292" t="s">
        <v>511</v>
      </c>
    </row>
    <row r="82" spans="1:43" s="19" customFormat="1" ht="47.25" hidden="1" customHeight="1">
      <c r="A82" s="488"/>
      <c r="B82" s="1438"/>
      <c r="C82" s="1439"/>
      <c r="D82" s="1439"/>
      <c r="E82" s="1439"/>
      <c r="F82" s="1439"/>
      <c r="G82" s="1439"/>
      <c r="H82" s="1440" t="s">
        <v>556</v>
      </c>
      <c r="I82" s="1439"/>
      <c r="J82" s="1439"/>
      <c r="K82" s="1439"/>
      <c r="L82" s="1439"/>
      <c r="M82" s="1439"/>
      <c r="N82" s="1439"/>
      <c r="O82" s="1439"/>
      <c r="P82" s="1439"/>
      <c r="Q82" s="1439"/>
      <c r="R82" s="1439"/>
      <c r="S82" s="1439"/>
      <c r="T82" s="1441"/>
      <c r="U82" s="1441"/>
      <c r="V82" s="1441"/>
      <c r="W82" s="1441"/>
      <c r="X82" s="1441"/>
      <c r="Y82" s="1441"/>
      <c r="Z82" s="1441"/>
      <c r="AA82" s="1441"/>
      <c r="AB82" s="1441"/>
      <c r="AC82" s="1441"/>
      <c r="AD82" s="1441"/>
      <c r="AE82" s="1441"/>
      <c r="AF82" s="1441"/>
      <c r="AG82" s="1441"/>
      <c r="AH82" s="1441"/>
      <c r="AI82" s="1441"/>
      <c r="AJ82" s="1441"/>
      <c r="AK82" s="1441"/>
      <c r="AL82" s="1441"/>
      <c r="AM82" s="1441"/>
      <c r="AN82" s="1441"/>
      <c r="AO82" s="1441"/>
      <c r="AP82" s="1441"/>
      <c r="AQ82" s="292" t="s">
        <v>511</v>
      </c>
    </row>
    <row r="83" spans="1:43" s="19" customFormat="1" ht="47.25" hidden="1" customHeight="1">
      <c r="A83" s="493"/>
      <c r="B83" s="2333" t="s">
        <v>556</v>
      </c>
      <c r="C83" s="2335"/>
      <c r="D83" s="52" t="s">
        <v>557</v>
      </c>
      <c r="E83" s="119" t="s">
        <v>558</v>
      </c>
      <c r="F83" s="111"/>
      <c r="G83" s="111" t="s">
        <v>557</v>
      </c>
      <c r="H83" s="2091"/>
      <c r="I83" s="2092"/>
      <c r="J83" s="2092"/>
      <c r="K83" s="2092"/>
      <c r="L83" s="2092"/>
      <c r="M83" s="1361"/>
      <c r="N83" s="2091"/>
      <c r="O83" s="2092"/>
      <c r="P83" s="2092"/>
      <c r="Q83" s="2092"/>
      <c r="R83" s="2092"/>
      <c r="S83" s="679"/>
      <c r="T83" s="2441"/>
      <c r="U83" s="2441"/>
      <c r="V83" s="2441"/>
      <c r="W83" s="2441"/>
      <c r="X83" s="2441"/>
      <c r="Y83" s="1436"/>
      <c r="Z83" s="2441"/>
      <c r="AA83" s="2441"/>
      <c r="AB83" s="2441"/>
      <c r="AC83" s="2441"/>
      <c r="AD83" s="2441"/>
      <c r="AE83" s="1436"/>
      <c r="AF83" s="2441"/>
      <c r="AG83" s="2441"/>
      <c r="AH83" s="2441"/>
      <c r="AI83" s="2441"/>
      <c r="AJ83" s="2441"/>
      <c r="AK83" s="1436"/>
      <c r="AL83" s="2441"/>
      <c r="AM83" s="2441"/>
      <c r="AN83" s="2441"/>
      <c r="AO83" s="2441"/>
      <c r="AP83" s="2441"/>
      <c r="AQ83" s="292" t="s">
        <v>511</v>
      </c>
    </row>
    <row r="84" spans="1:43" s="19" customFormat="1" ht="47.25" hidden="1" customHeight="1">
      <c r="A84" s="493"/>
      <c r="B84" s="2333" t="s">
        <v>559</v>
      </c>
      <c r="C84" s="2335"/>
      <c r="D84" s="52" t="s">
        <v>557</v>
      </c>
      <c r="E84" s="119" t="s">
        <v>560</v>
      </c>
      <c r="F84" s="111"/>
      <c r="G84" s="111" t="s">
        <v>557</v>
      </c>
      <c r="H84" s="2091"/>
      <c r="I84" s="2092"/>
      <c r="J84" s="2092"/>
      <c r="K84" s="2092"/>
      <c r="L84" s="2092"/>
      <c r="M84" s="1361"/>
      <c r="N84" s="2091"/>
      <c r="O84" s="2092"/>
      <c r="P84" s="2092"/>
      <c r="Q84" s="2092"/>
      <c r="R84" s="2092"/>
      <c r="S84" s="679"/>
      <c r="T84" s="2441"/>
      <c r="U84" s="2441"/>
      <c r="V84" s="2441"/>
      <c r="W84" s="2441"/>
      <c r="X84" s="2441"/>
      <c r="Y84" s="1436"/>
      <c r="Z84" s="2441"/>
      <c r="AA84" s="2441"/>
      <c r="AB84" s="2441"/>
      <c r="AC84" s="2441"/>
      <c r="AD84" s="2441"/>
      <c r="AE84" s="1436"/>
      <c r="AF84" s="2441"/>
      <c r="AG84" s="2441"/>
      <c r="AH84" s="2441"/>
      <c r="AI84" s="2441"/>
      <c r="AJ84" s="2441"/>
      <c r="AK84" s="1436"/>
      <c r="AL84" s="2441"/>
      <c r="AM84" s="2441"/>
      <c r="AN84" s="2441"/>
      <c r="AO84" s="2441"/>
      <c r="AP84" s="2441"/>
      <c r="AQ84" s="292" t="s">
        <v>511</v>
      </c>
    </row>
    <row r="85" spans="1:43" ht="33" customHeight="1">
      <c r="A85" s="1442"/>
      <c r="B85" s="1442"/>
      <c r="C85" s="1442"/>
      <c r="D85" s="1442"/>
      <c r="E85" s="1442"/>
      <c r="F85" s="1442"/>
      <c r="G85" s="1442"/>
      <c r="H85" s="1442"/>
      <c r="I85" s="1442"/>
      <c r="J85" s="1442"/>
      <c r="K85" s="1442"/>
      <c r="L85" s="1442"/>
      <c r="M85" s="1442"/>
      <c r="N85" s="1442"/>
      <c r="O85" s="1442"/>
      <c r="P85" s="1442"/>
      <c r="Q85" s="1442"/>
      <c r="R85" s="1442"/>
      <c r="S85" s="1443"/>
      <c r="T85" s="1444"/>
      <c r="U85" s="1444"/>
      <c r="V85" s="1444"/>
      <c r="W85" s="1444"/>
      <c r="X85" s="1444"/>
      <c r="Y85" s="1444"/>
      <c r="Z85" s="1444"/>
      <c r="AA85" s="1444"/>
      <c r="AB85" s="1444"/>
      <c r="AC85" s="1444"/>
      <c r="AD85" s="1444"/>
      <c r="AE85" s="1443"/>
      <c r="AF85" s="1444"/>
      <c r="AG85" s="1444"/>
      <c r="AH85" s="1444"/>
      <c r="AI85" s="1444"/>
      <c r="AJ85" s="1444"/>
      <c r="AK85" s="1444"/>
      <c r="AL85" s="1444"/>
      <c r="AM85" s="1444"/>
      <c r="AN85" s="1444"/>
      <c r="AO85" s="1444"/>
      <c r="AP85" s="1444"/>
    </row>
    <row r="86" spans="1:43" ht="40.5" customHeight="1">
      <c r="A86" s="1411" t="s">
        <v>561</v>
      </c>
      <c r="B86" s="1412"/>
      <c r="C86" s="1412"/>
      <c r="D86" s="1412"/>
      <c r="E86" s="1413"/>
      <c r="F86" s="1414"/>
      <c r="G86" s="1415"/>
      <c r="H86" s="1416" t="s">
        <v>75</v>
      </c>
      <c r="I86" s="484"/>
      <c r="J86" s="484"/>
      <c r="K86" s="484"/>
      <c r="L86" s="484"/>
      <c r="M86" s="484"/>
      <c r="N86" s="484"/>
      <c r="O86" s="484"/>
      <c r="P86" s="484"/>
      <c r="Q86" s="484"/>
      <c r="R86" s="1417"/>
      <c r="S86" s="1415"/>
      <c r="AD86" s="292"/>
      <c r="AP86" s="292"/>
    </row>
    <row r="87" spans="1:43" ht="27.75" customHeight="1">
      <c r="A87" s="468"/>
      <c r="B87" s="2448" t="s">
        <v>79</v>
      </c>
      <c r="C87" s="2449"/>
      <c r="D87" s="2452" t="s">
        <v>136</v>
      </c>
      <c r="E87" s="2454" t="s">
        <v>67</v>
      </c>
      <c r="F87" s="1393"/>
      <c r="G87" s="98"/>
      <c r="H87" s="2456">
        <v>0.33333333333333331</v>
      </c>
      <c r="I87" s="2456"/>
      <c r="J87" s="2456"/>
      <c r="K87" s="2456"/>
      <c r="L87" s="2456"/>
      <c r="M87" s="1394"/>
      <c r="N87" s="2456">
        <v>0.83333333333333337</v>
      </c>
      <c r="O87" s="2456"/>
      <c r="P87" s="2456"/>
      <c r="Q87" s="2456"/>
      <c r="R87" s="2456"/>
      <c r="S87" s="1445"/>
      <c r="T87" s="48"/>
      <c r="AD87" s="292"/>
      <c r="AE87" s="1445"/>
      <c r="AF87" s="48"/>
      <c r="AP87" s="292"/>
    </row>
    <row r="88" spans="1:43" ht="65.25" customHeight="1">
      <c r="A88" s="1367" t="s">
        <v>267</v>
      </c>
      <c r="B88" s="2450"/>
      <c r="C88" s="2451"/>
      <c r="D88" s="2453"/>
      <c r="E88" s="2455"/>
      <c r="F88" s="1395" t="s">
        <v>457</v>
      </c>
      <c r="G88" s="1420"/>
      <c r="H88" s="1365" t="s">
        <v>145</v>
      </c>
      <c r="I88" s="34" t="s">
        <v>1</v>
      </c>
      <c r="J88" s="316" t="s">
        <v>1</v>
      </c>
      <c r="K88" s="316"/>
      <c r="L88" s="317"/>
      <c r="M88" s="100"/>
      <c r="N88" s="1365" t="s">
        <v>145</v>
      </c>
      <c r="O88" s="34" t="s">
        <v>1</v>
      </c>
      <c r="P88" s="316" t="s">
        <v>1</v>
      </c>
      <c r="Q88" s="316"/>
      <c r="R88" s="317"/>
      <c r="S88" s="496"/>
      <c r="T88" s="48"/>
      <c r="AD88" s="292"/>
      <c r="AE88" s="496"/>
      <c r="AF88" s="48"/>
      <c r="AP88" s="292"/>
    </row>
    <row r="89" spans="1:43" ht="34.5" customHeight="1">
      <c r="A89" s="1371" t="s">
        <v>562</v>
      </c>
      <c r="B89" s="2442" t="s">
        <v>563</v>
      </c>
      <c r="C89" s="2443"/>
      <c r="D89" s="52" t="s">
        <v>4</v>
      </c>
      <c r="E89" s="1363" t="s">
        <v>564</v>
      </c>
      <c r="F89" s="1446">
        <v>25</v>
      </c>
      <c r="G89" s="1423">
        <f>R.HN!C51</f>
        <v>0</v>
      </c>
      <c r="H89" s="35">
        <f>G89*15.8</f>
        <v>0</v>
      </c>
      <c r="I89" s="35">
        <f>($F$89-H89)*1632/1000</f>
        <v>40.799999999999997</v>
      </c>
      <c r="J89" s="39" t="s">
        <v>8</v>
      </c>
      <c r="K89" s="473">
        <f t="shared" ref="K89:K98" si="7">IF(I89&lt;0,0,I89)</f>
        <v>40.799999999999997</v>
      </c>
      <c r="L89" s="237" t="s">
        <v>9</v>
      </c>
      <c r="M89" s="270">
        <f>R.HN!D51</f>
        <v>0</v>
      </c>
      <c r="N89" s="35">
        <f>M89*15.8</f>
        <v>0</v>
      </c>
      <c r="O89" s="35">
        <f>($F$89-N89)*1632/1000</f>
        <v>40.799999999999997</v>
      </c>
      <c r="P89" s="39" t="s">
        <v>8</v>
      </c>
      <c r="Q89" s="473">
        <f t="shared" ref="Q89:Q98" si="8">IF(O89&lt;0,0,O89)</f>
        <v>40.799999999999997</v>
      </c>
      <c r="R89" s="45" t="s">
        <v>9</v>
      </c>
      <c r="S89" s="499"/>
      <c r="T89" s="48"/>
      <c r="AD89" s="292"/>
      <c r="AE89" s="499"/>
      <c r="AF89" s="48"/>
      <c r="AP89" s="292"/>
      <c r="AQ89" s="292" t="s">
        <v>565</v>
      </c>
    </row>
    <row r="90" spans="1:43" ht="34.5" customHeight="1">
      <c r="A90" s="1371" t="s">
        <v>566</v>
      </c>
      <c r="B90" s="2442" t="s">
        <v>567</v>
      </c>
      <c r="C90" s="2443"/>
      <c r="D90" s="52" t="s">
        <v>4</v>
      </c>
      <c r="E90" s="1363" t="s">
        <v>564</v>
      </c>
      <c r="F90" s="1446">
        <v>25</v>
      </c>
      <c r="G90" s="1423">
        <f>R.HN!C52</f>
        <v>0</v>
      </c>
      <c r="H90" s="35">
        <f>G90*15.8</f>
        <v>0</v>
      </c>
      <c r="I90" s="35">
        <f>($F$90-H90)*1632/1000</f>
        <v>40.799999999999997</v>
      </c>
      <c r="J90" s="39" t="s">
        <v>8</v>
      </c>
      <c r="K90" s="473">
        <f t="shared" si="7"/>
        <v>40.799999999999997</v>
      </c>
      <c r="L90" s="237" t="s">
        <v>9</v>
      </c>
      <c r="M90" s="270">
        <f>R.HN!D52</f>
        <v>0</v>
      </c>
      <c r="N90" s="35">
        <f>M90*15.8</f>
        <v>0</v>
      </c>
      <c r="O90" s="35">
        <f>($F$90-N90)*1632/1000</f>
        <v>40.799999999999997</v>
      </c>
      <c r="P90" s="39" t="s">
        <v>8</v>
      </c>
      <c r="Q90" s="473">
        <f t="shared" si="8"/>
        <v>40.799999999999997</v>
      </c>
      <c r="R90" s="45" t="s">
        <v>9</v>
      </c>
      <c r="S90" s="499"/>
      <c r="T90" s="48"/>
      <c r="AD90" s="292"/>
      <c r="AE90" s="499"/>
      <c r="AF90" s="48"/>
      <c r="AP90" s="292"/>
      <c r="AQ90" s="292" t="s">
        <v>565</v>
      </c>
    </row>
    <row r="91" spans="1:43" ht="34.5" customHeight="1">
      <c r="A91" s="1371" t="s">
        <v>568</v>
      </c>
      <c r="B91" s="2442" t="s">
        <v>569</v>
      </c>
      <c r="C91" s="2443"/>
      <c r="D91" s="52" t="s">
        <v>58</v>
      </c>
      <c r="E91" s="1363" t="s">
        <v>570</v>
      </c>
      <c r="F91" s="1446">
        <v>250</v>
      </c>
      <c r="G91" s="1423">
        <f>R.HN!C53</f>
        <v>0</v>
      </c>
      <c r="H91" s="35">
        <f>G91*65.2</f>
        <v>0</v>
      </c>
      <c r="I91" s="35">
        <f>($F$91-H91)*1632/1000</f>
        <v>408</v>
      </c>
      <c r="J91" s="39" t="s">
        <v>8</v>
      </c>
      <c r="K91" s="473">
        <f t="shared" si="7"/>
        <v>408</v>
      </c>
      <c r="L91" s="237" t="s">
        <v>1241</v>
      </c>
      <c r="M91" s="270">
        <f>R.HN!D53</f>
        <v>0</v>
      </c>
      <c r="N91" s="35">
        <f>M91*65.2</f>
        <v>0</v>
      </c>
      <c r="O91" s="35">
        <f>($F$91-N91)*1632/1000</f>
        <v>408</v>
      </c>
      <c r="P91" s="39" t="s">
        <v>8</v>
      </c>
      <c r="Q91" s="473">
        <f t="shared" si="8"/>
        <v>408</v>
      </c>
      <c r="R91" s="45" t="s">
        <v>1241</v>
      </c>
      <c r="S91" s="499"/>
      <c r="T91" s="48"/>
      <c r="AD91" s="292"/>
      <c r="AE91" s="499"/>
      <c r="AF91" s="48"/>
      <c r="AP91" s="292"/>
      <c r="AQ91" s="292" t="s">
        <v>565</v>
      </c>
    </row>
    <row r="92" spans="1:43" ht="34.5" customHeight="1">
      <c r="A92" s="1371" t="s">
        <v>571</v>
      </c>
      <c r="B92" s="2442" t="s">
        <v>1281</v>
      </c>
      <c r="C92" s="2443"/>
      <c r="D92" s="52" t="s">
        <v>4</v>
      </c>
      <c r="E92" s="1363" t="s">
        <v>572</v>
      </c>
      <c r="F92" s="1446">
        <v>130</v>
      </c>
      <c r="G92" s="1423">
        <f>R.HN!C54</f>
        <v>0</v>
      </c>
      <c r="H92" s="35">
        <f>G92*12.5</f>
        <v>0</v>
      </c>
      <c r="I92" s="35">
        <f>($F$92-H92)*1728/1000</f>
        <v>224.64</v>
      </c>
      <c r="J92" s="39" t="s">
        <v>8</v>
      </c>
      <c r="K92" s="473">
        <f t="shared" si="7"/>
        <v>224.64</v>
      </c>
      <c r="L92" s="237" t="s">
        <v>9</v>
      </c>
      <c r="M92" s="270">
        <f>R.HN!D54</f>
        <v>0</v>
      </c>
      <c r="N92" s="35">
        <f>M92*12.5</f>
        <v>0</v>
      </c>
      <c r="O92" s="35">
        <f>($F$92-N92)*1728/1000</f>
        <v>224.64</v>
      </c>
      <c r="P92" s="39" t="s">
        <v>8</v>
      </c>
      <c r="Q92" s="473">
        <f t="shared" si="8"/>
        <v>224.64</v>
      </c>
      <c r="R92" s="45" t="s">
        <v>9</v>
      </c>
      <c r="S92" s="499"/>
      <c r="T92" s="48"/>
      <c r="AD92" s="292"/>
      <c r="AE92" s="499"/>
      <c r="AF92" s="48"/>
      <c r="AP92" s="292"/>
      <c r="AQ92" s="292" t="s">
        <v>565</v>
      </c>
    </row>
    <row r="93" spans="1:43" ht="34.5" customHeight="1">
      <c r="A93" s="1371" t="s">
        <v>573</v>
      </c>
      <c r="B93" s="2442" t="s">
        <v>1282</v>
      </c>
      <c r="C93" s="2443"/>
      <c r="D93" s="52" t="s">
        <v>4</v>
      </c>
      <c r="E93" s="1363" t="s">
        <v>574</v>
      </c>
      <c r="F93" s="101"/>
      <c r="G93" s="1423">
        <f>R.HN!C55</f>
        <v>0</v>
      </c>
      <c r="H93" s="35">
        <f>(G92-G93)*1.25</f>
        <v>0</v>
      </c>
      <c r="I93" s="35" t="s">
        <v>469</v>
      </c>
      <c r="J93" s="39" t="s">
        <v>8</v>
      </c>
      <c r="K93" s="473" t="str">
        <f t="shared" si="7"/>
        <v>N/A</v>
      </c>
      <c r="L93" s="237" t="s">
        <v>9</v>
      </c>
      <c r="M93" s="270">
        <f>R.HN!D55</f>
        <v>0</v>
      </c>
      <c r="N93" s="35">
        <f>(M92-M93)*1.25</f>
        <v>0</v>
      </c>
      <c r="O93" s="35" t="s">
        <v>469</v>
      </c>
      <c r="P93" s="39" t="s">
        <v>8</v>
      </c>
      <c r="Q93" s="473" t="str">
        <f t="shared" si="8"/>
        <v>N/A</v>
      </c>
      <c r="R93" s="45" t="s">
        <v>9</v>
      </c>
      <c r="S93" s="499"/>
      <c r="T93" s="48"/>
      <c r="AD93" s="292"/>
      <c r="AE93" s="499"/>
      <c r="AF93" s="48"/>
      <c r="AP93" s="292"/>
      <c r="AQ93" s="292" t="s">
        <v>565</v>
      </c>
    </row>
    <row r="94" spans="1:43" ht="34.5" customHeight="1">
      <c r="A94" s="1371" t="s">
        <v>575</v>
      </c>
      <c r="B94" s="2442" t="s">
        <v>1283</v>
      </c>
      <c r="C94" s="2443"/>
      <c r="D94" s="52" t="s">
        <v>4</v>
      </c>
      <c r="E94" s="1363" t="s">
        <v>572</v>
      </c>
      <c r="F94" s="101">
        <v>130</v>
      </c>
      <c r="G94" s="1423">
        <f>R.HN!C56</f>
        <v>0</v>
      </c>
      <c r="H94" s="35">
        <f>G94*12.5</f>
        <v>0</v>
      </c>
      <c r="I94" s="35">
        <f>($F$94-H94)*1728/1000</f>
        <v>224.64</v>
      </c>
      <c r="J94" s="39" t="s">
        <v>8</v>
      </c>
      <c r="K94" s="473">
        <f>IF(I94&lt;0,0,I94)</f>
        <v>224.64</v>
      </c>
      <c r="L94" s="237" t="s">
        <v>9</v>
      </c>
      <c r="M94" s="270">
        <f>R.HN!D56</f>
        <v>0</v>
      </c>
      <c r="N94" s="35">
        <f>M94*12.5</f>
        <v>0</v>
      </c>
      <c r="O94" s="35">
        <f>($F$92-N94)*1728/1000</f>
        <v>224.64</v>
      </c>
      <c r="P94" s="39" t="s">
        <v>8</v>
      </c>
      <c r="Q94" s="473">
        <f>IF(O94&lt;0,0,O94)</f>
        <v>224.64</v>
      </c>
      <c r="R94" s="45" t="s">
        <v>9</v>
      </c>
      <c r="S94" s="499"/>
      <c r="T94" s="48"/>
      <c r="AD94" s="292"/>
      <c r="AE94" s="499"/>
      <c r="AF94" s="48"/>
      <c r="AP94" s="292"/>
      <c r="AQ94" s="292" t="s">
        <v>565</v>
      </c>
    </row>
    <row r="95" spans="1:43" ht="34.5" customHeight="1">
      <c r="A95" s="1371" t="s">
        <v>576</v>
      </c>
      <c r="B95" s="2442" t="s">
        <v>1284</v>
      </c>
      <c r="C95" s="2443"/>
      <c r="D95" s="52" t="s">
        <v>4</v>
      </c>
      <c r="E95" s="1363" t="s">
        <v>574</v>
      </c>
      <c r="F95" s="101"/>
      <c r="G95" s="1423">
        <f>R.HN!C57</f>
        <v>0</v>
      </c>
      <c r="H95" s="35">
        <f>(G94-G95)*1.25</f>
        <v>0</v>
      </c>
      <c r="I95" s="35" t="s">
        <v>469</v>
      </c>
      <c r="J95" s="39" t="s">
        <v>8</v>
      </c>
      <c r="K95" s="473" t="str">
        <f>IF(I95&lt;0,0,I95)</f>
        <v>N/A</v>
      </c>
      <c r="L95" s="237" t="s">
        <v>9</v>
      </c>
      <c r="M95" s="270">
        <f>R.HN!D57</f>
        <v>0</v>
      </c>
      <c r="N95" s="35">
        <f>(M94-M95)*1.25</f>
        <v>0</v>
      </c>
      <c r="O95" s="35" t="s">
        <v>469</v>
      </c>
      <c r="P95" s="39" t="s">
        <v>8</v>
      </c>
      <c r="Q95" s="473" t="str">
        <f>IF(O95&lt;0,0,O95)</f>
        <v>N/A</v>
      </c>
      <c r="R95" s="45" t="s">
        <v>9</v>
      </c>
      <c r="S95" s="499"/>
      <c r="T95" s="48"/>
      <c r="AD95" s="292"/>
      <c r="AE95" s="499"/>
      <c r="AF95" s="48"/>
      <c r="AP95" s="292"/>
      <c r="AQ95" s="292" t="s">
        <v>565</v>
      </c>
    </row>
    <row r="96" spans="1:43" ht="34.5" customHeight="1">
      <c r="A96" s="1371" t="s">
        <v>577</v>
      </c>
      <c r="B96" s="2442" t="s">
        <v>1285</v>
      </c>
      <c r="C96" s="2443"/>
      <c r="D96" s="52" t="s">
        <v>4</v>
      </c>
      <c r="E96" s="1363" t="s">
        <v>572</v>
      </c>
      <c r="F96" s="101">
        <v>130</v>
      </c>
      <c r="G96" s="1423">
        <f>R.HN!C58</f>
        <v>0</v>
      </c>
      <c r="H96" s="35">
        <f>G96*12.5</f>
        <v>0</v>
      </c>
      <c r="I96" s="35">
        <f>($F$96-H96)*1728/1000</f>
        <v>224.64</v>
      </c>
      <c r="J96" s="39" t="s">
        <v>8</v>
      </c>
      <c r="K96" s="473">
        <f>IF(I96&lt;0,0,I96)</f>
        <v>224.64</v>
      </c>
      <c r="L96" s="237" t="s">
        <v>9</v>
      </c>
      <c r="M96" s="270">
        <f>R.HN!D58</f>
        <v>0</v>
      </c>
      <c r="N96" s="35">
        <f>M96*12.5</f>
        <v>0</v>
      </c>
      <c r="O96" s="35">
        <f>($F$92-N96)*1728/1000</f>
        <v>224.64</v>
      </c>
      <c r="P96" s="39" t="s">
        <v>8</v>
      </c>
      <c r="Q96" s="473">
        <f>IF(O96&lt;0,0,O96)</f>
        <v>224.64</v>
      </c>
      <c r="R96" s="45" t="s">
        <v>9</v>
      </c>
      <c r="S96" s="499"/>
      <c r="T96" s="48"/>
      <c r="AD96" s="292"/>
      <c r="AE96" s="499"/>
      <c r="AF96" s="48"/>
      <c r="AP96" s="292"/>
      <c r="AQ96" s="292" t="s">
        <v>565</v>
      </c>
    </row>
    <row r="97" spans="1:43" ht="34.5" customHeight="1">
      <c r="A97" s="1371" t="s">
        <v>578</v>
      </c>
      <c r="B97" s="2442" t="s">
        <v>1286</v>
      </c>
      <c r="C97" s="2443"/>
      <c r="D97" s="52" t="s">
        <v>4</v>
      </c>
      <c r="E97" s="1363" t="s">
        <v>574</v>
      </c>
      <c r="F97" s="101"/>
      <c r="G97" s="1423">
        <f>R.HN!C59</f>
        <v>0</v>
      </c>
      <c r="H97" s="35">
        <f>(G96-G97)*1.25</f>
        <v>0</v>
      </c>
      <c r="I97" s="35" t="s">
        <v>469</v>
      </c>
      <c r="J97" s="39" t="s">
        <v>8</v>
      </c>
      <c r="K97" s="473" t="str">
        <f>IF(I97&lt;0,0,I97)</f>
        <v>N/A</v>
      </c>
      <c r="L97" s="237" t="s">
        <v>9</v>
      </c>
      <c r="M97" s="270">
        <f>R.HN!D59</f>
        <v>0</v>
      </c>
      <c r="N97" s="35">
        <f>(M96-M97)*1.25</f>
        <v>0</v>
      </c>
      <c r="O97" s="35" t="s">
        <v>469</v>
      </c>
      <c r="P97" s="39" t="s">
        <v>8</v>
      </c>
      <c r="Q97" s="473" t="str">
        <f>IF(O97&lt;0,0,O97)</f>
        <v>N/A</v>
      </c>
      <c r="R97" s="45" t="s">
        <v>9</v>
      </c>
      <c r="S97" s="499"/>
      <c r="T97" s="48"/>
      <c r="AD97" s="292"/>
      <c r="AE97" s="499"/>
      <c r="AF97" s="48"/>
      <c r="AP97" s="292"/>
      <c r="AQ97" s="292" t="s">
        <v>565</v>
      </c>
    </row>
    <row r="98" spans="1:43" ht="34.5" customHeight="1">
      <c r="A98" s="1371" t="s">
        <v>579</v>
      </c>
      <c r="B98" s="2444" t="s">
        <v>580</v>
      </c>
      <c r="C98" s="2445"/>
      <c r="D98" s="52" t="s">
        <v>4</v>
      </c>
      <c r="E98" s="1363" t="s">
        <v>581</v>
      </c>
      <c r="F98" s="112">
        <v>10</v>
      </c>
      <c r="G98" s="1423">
        <f>R.HN!C60</f>
        <v>0</v>
      </c>
      <c r="H98" s="35">
        <f>G98*2.08</f>
        <v>0</v>
      </c>
      <c r="I98" s="35">
        <f>($F$98-H98)*1728/1000</f>
        <v>17.28</v>
      </c>
      <c r="J98" s="39" t="s">
        <v>8</v>
      </c>
      <c r="K98" s="473">
        <f t="shared" si="7"/>
        <v>17.28</v>
      </c>
      <c r="L98" s="237" t="s">
        <v>9</v>
      </c>
      <c r="M98" s="270">
        <f>R.HN!D60</f>
        <v>0</v>
      </c>
      <c r="N98" s="35">
        <f>M98*2.08</f>
        <v>0</v>
      </c>
      <c r="O98" s="35">
        <f>($F$98-N98)*1728/1000</f>
        <v>17.28</v>
      </c>
      <c r="P98" s="39" t="s">
        <v>8</v>
      </c>
      <c r="Q98" s="473">
        <f t="shared" si="8"/>
        <v>17.28</v>
      </c>
      <c r="R98" s="45" t="s">
        <v>9</v>
      </c>
      <c r="S98" s="499"/>
      <c r="T98" s="48"/>
      <c r="AD98" s="292"/>
      <c r="AE98" s="499"/>
      <c r="AF98" s="48"/>
      <c r="AP98" s="292"/>
      <c r="AQ98" s="292" t="s">
        <v>565</v>
      </c>
    </row>
    <row r="99" spans="1:43" ht="34.5" customHeight="1">
      <c r="A99" s="1371" t="s">
        <v>582</v>
      </c>
      <c r="B99" s="2446"/>
      <c r="C99" s="2447"/>
      <c r="D99" s="52" t="s">
        <v>5</v>
      </c>
      <c r="E99" s="1363" t="s">
        <v>583</v>
      </c>
      <c r="F99" s="112"/>
      <c r="G99" s="1423"/>
      <c r="H99" s="679"/>
      <c r="I99" s="1447"/>
      <c r="J99" s="1447"/>
      <c r="K99" s="1383"/>
      <c r="L99" s="1448"/>
      <c r="M99" s="270"/>
      <c r="N99" s="679"/>
      <c r="O99" s="1383"/>
      <c r="P99" s="1383"/>
      <c r="Q99" s="1383"/>
      <c r="R99" s="1448"/>
      <c r="S99" s="499"/>
      <c r="T99" s="48"/>
      <c r="AD99" s="292"/>
      <c r="AE99" s="499"/>
      <c r="AF99" s="48"/>
      <c r="AP99" s="292"/>
      <c r="AQ99" s="292" t="s">
        <v>565</v>
      </c>
    </row>
    <row r="100" spans="1:43" ht="34.5" customHeight="1">
      <c r="A100" s="1371" t="s">
        <v>584</v>
      </c>
      <c r="B100" s="2442" t="s">
        <v>585</v>
      </c>
      <c r="C100" s="2443"/>
      <c r="D100" s="1449" t="s">
        <v>5</v>
      </c>
      <c r="E100" s="119" t="s">
        <v>586</v>
      </c>
      <c r="F100" s="1449"/>
      <c r="G100" s="1450"/>
      <c r="H100" s="679"/>
      <c r="I100" s="1383"/>
      <c r="J100" s="1383"/>
      <c r="K100" s="1383"/>
      <c r="L100" s="1448"/>
      <c r="M100" s="270"/>
      <c r="N100" s="1451"/>
      <c r="O100" s="1383"/>
      <c r="P100" s="1383"/>
      <c r="Q100" s="1383"/>
      <c r="R100" s="1448"/>
      <c r="S100" s="502"/>
      <c r="T100" s="48"/>
      <c r="AD100" s="292"/>
      <c r="AE100" s="499"/>
      <c r="AF100" s="48"/>
      <c r="AP100" s="292"/>
      <c r="AQ100" s="292" t="s">
        <v>565</v>
      </c>
    </row>
    <row r="101" spans="1:43" ht="34.5" customHeight="1">
      <c r="A101" s="1371" t="s">
        <v>587</v>
      </c>
      <c r="B101" s="2442" t="s">
        <v>588</v>
      </c>
      <c r="C101" s="2443"/>
      <c r="D101" s="1449" t="s">
        <v>5</v>
      </c>
      <c r="E101" s="119" t="s">
        <v>589</v>
      </c>
      <c r="F101" s="1449"/>
      <c r="G101" s="1450"/>
      <c r="H101" s="679"/>
      <c r="I101" s="1383"/>
      <c r="J101" s="1383"/>
      <c r="K101" s="1383"/>
      <c r="L101" s="1448"/>
      <c r="M101" s="270"/>
      <c r="N101" s="1451"/>
      <c r="O101" s="1383"/>
      <c r="P101" s="1383"/>
      <c r="Q101" s="1383"/>
      <c r="R101" s="1448"/>
      <c r="S101" s="502"/>
      <c r="T101" s="48"/>
      <c r="AD101" s="292"/>
      <c r="AE101" s="499"/>
      <c r="AF101" s="48"/>
      <c r="AP101" s="292"/>
      <c r="AQ101" s="292" t="s">
        <v>565</v>
      </c>
    </row>
    <row r="102" spans="1:43" ht="34.5" customHeight="1">
      <c r="A102" s="1371" t="s">
        <v>590</v>
      </c>
      <c r="B102" s="2442" t="s">
        <v>591</v>
      </c>
      <c r="C102" s="2443"/>
      <c r="D102" s="1452" t="s">
        <v>5</v>
      </c>
      <c r="E102" s="1368" t="s">
        <v>586</v>
      </c>
      <c r="F102" s="1452"/>
      <c r="G102" s="1453"/>
      <c r="H102" s="679"/>
      <c r="I102" s="1383"/>
      <c r="J102" s="1383"/>
      <c r="K102" s="1383"/>
      <c r="L102" s="1448"/>
      <c r="M102" s="1454"/>
      <c r="N102" s="679"/>
      <c r="O102" s="1383"/>
      <c r="P102" s="1383"/>
      <c r="Q102" s="1383"/>
      <c r="R102" s="1448"/>
      <c r="S102" s="502"/>
      <c r="T102" s="48"/>
      <c r="AD102" s="292"/>
      <c r="AE102" s="499"/>
      <c r="AF102" s="48"/>
      <c r="AP102" s="292"/>
      <c r="AQ102" s="292" t="s">
        <v>565</v>
      </c>
    </row>
    <row r="103" spans="1:43" ht="42" customHeight="1">
      <c r="A103" s="319" t="s">
        <v>76</v>
      </c>
      <c r="B103" s="320"/>
      <c r="C103" s="320"/>
      <c r="D103" s="320"/>
      <c r="E103" s="316"/>
      <c r="F103" s="320"/>
      <c r="G103" s="320"/>
      <c r="H103" s="320"/>
      <c r="I103" s="320"/>
      <c r="J103" s="320"/>
      <c r="K103" s="320"/>
      <c r="L103" s="320"/>
      <c r="M103" s="320"/>
      <c r="N103" s="321"/>
      <c r="O103" s="320"/>
      <c r="P103" s="320"/>
      <c r="Q103" s="320"/>
      <c r="R103" s="321"/>
      <c r="S103" s="320"/>
      <c r="T103" s="48"/>
      <c r="AD103" s="292"/>
      <c r="AE103" s="499"/>
      <c r="AF103" s="48"/>
      <c r="AP103" s="292"/>
    </row>
    <row r="104" spans="1:43" ht="37.5" customHeight="1">
      <c r="A104" s="1367" t="s">
        <v>267</v>
      </c>
      <c r="B104" s="2333" t="s">
        <v>64</v>
      </c>
      <c r="C104" s="2443"/>
      <c r="D104" s="311" t="s">
        <v>66</v>
      </c>
      <c r="E104" s="311" t="s">
        <v>67</v>
      </c>
      <c r="F104" s="119"/>
      <c r="G104" s="119"/>
      <c r="H104" s="313" t="s">
        <v>48</v>
      </c>
      <c r="I104" s="314"/>
      <c r="J104" s="314"/>
      <c r="K104" s="313" t="s">
        <v>65</v>
      </c>
      <c r="L104" s="330"/>
      <c r="M104" s="311"/>
      <c r="N104" s="313" t="s">
        <v>48</v>
      </c>
      <c r="O104" s="314"/>
      <c r="P104" s="314"/>
      <c r="Q104" s="313" t="s">
        <v>65</v>
      </c>
      <c r="R104" s="330"/>
      <c r="S104" s="503"/>
      <c r="T104" s="48"/>
      <c r="AD104" s="292"/>
      <c r="AE104" s="499"/>
      <c r="AF104" s="48"/>
      <c r="AP104" s="292"/>
      <c r="AQ104" s="292" t="s">
        <v>565</v>
      </c>
    </row>
    <row r="105" spans="1:43" ht="38.25" customHeight="1">
      <c r="A105" s="1371" t="s">
        <v>592</v>
      </c>
      <c r="B105" s="2442" t="s">
        <v>563</v>
      </c>
      <c r="C105" s="2443"/>
      <c r="D105" s="110" t="s">
        <v>113</v>
      </c>
      <c r="E105" s="49" t="s">
        <v>1287</v>
      </c>
      <c r="F105" s="49"/>
      <c r="G105" s="49"/>
      <c r="H105" s="2094"/>
      <c r="I105" s="2094"/>
      <c r="J105" s="2094"/>
      <c r="K105" s="2094"/>
      <c r="L105" s="2094"/>
      <c r="M105" s="1455"/>
      <c r="N105" s="2094"/>
      <c r="O105" s="2094"/>
      <c r="P105" s="2094"/>
      <c r="Q105" s="2094"/>
      <c r="R105" s="2094"/>
      <c r="S105" s="504"/>
      <c r="T105" s="48"/>
      <c r="AD105" s="292"/>
      <c r="AE105" s="499"/>
      <c r="AF105" s="48"/>
      <c r="AP105" s="292"/>
      <c r="AQ105" s="292" t="s">
        <v>565</v>
      </c>
    </row>
    <row r="106" spans="1:43" ht="38.25" customHeight="1">
      <c r="A106" s="1371" t="s">
        <v>593</v>
      </c>
      <c r="B106" s="2442" t="s">
        <v>567</v>
      </c>
      <c r="C106" s="2443"/>
      <c r="D106" s="110" t="s">
        <v>113</v>
      </c>
      <c r="E106" s="49" t="s">
        <v>1287</v>
      </c>
      <c r="F106" s="49"/>
      <c r="G106" s="49"/>
      <c r="H106" s="2094"/>
      <c r="I106" s="2094"/>
      <c r="J106" s="2094"/>
      <c r="K106" s="2094"/>
      <c r="L106" s="2094"/>
      <c r="M106" s="1456"/>
      <c r="N106" s="2094"/>
      <c r="O106" s="2094"/>
      <c r="P106" s="2094"/>
      <c r="Q106" s="2094"/>
      <c r="R106" s="2094"/>
      <c r="S106" s="504"/>
      <c r="T106" s="48"/>
      <c r="AD106" s="292"/>
      <c r="AE106" s="499"/>
      <c r="AF106" s="48"/>
      <c r="AP106" s="292"/>
      <c r="AQ106" s="292" t="s">
        <v>565</v>
      </c>
    </row>
    <row r="107" spans="1:43" ht="38.25" customHeight="1">
      <c r="A107" s="1371" t="s">
        <v>594</v>
      </c>
      <c r="B107" s="2442" t="s">
        <v>1288</v>
      </c>
      <c r="C107" s="2443"/>
      <c r="D107" s="110" t="s">
        <v>113</v>
      </c>
      <c r="E107" s="49" t="s">
        <v>1289</v>
      </c>
      <c r="F107" s="49"/>
      <c r="G107" s="49"/>
      <c r="H107" s="2094"/>
      <c r="I107" s="2094"/>
      <c r="J107" s="2094"/>
      <c r="K107" s="2094"/>
      <c r="L107" s="2094"/>
      <c r="M107" s="2094"/>
      <c r="N107" s="2094"/>
      <c r="O107" s="2094"/>
      <c r="P107" s="2094"/>
      <c r="Q107" s="2094"/>
      <c r="R107" s="2094"/>
      <c r="S107" s="504"/>
      <c r="T107" s="48"/>
      <c r="AD107" s="292"/>
      <c r="AE107" s="499"/>
      <c r="AF107" s="48"/>
      <c r="AP107" s="292"/>
      <c r="AQ107" s="292" t="s">
        <v>565</v>
      </c>
    </row>
    <row r="108" spans="1:43" ht="38.25" customHeight="1">
      <c r="A108" s="1371" t="s">
        <v>595</v>
      </c>
      <c r="B108" s="2442" t="s">
        <v>1290</v>
      </c>
      <c r="C108" s="2443"/>
      <c r="D108" s="110" t="s">
        <v>113</v>
      </c>
      <c r="E108" s="49" t="s">
        <v>1289</v>
      </c>
      <c r="F108" s="49"/>
      <c r="G108" s="49"/>
      <c r="H108" s="2094"/>
      <c r="I108" s="2094"/>
      <c r="J108" s="2094"/>
      <c r="K108" s="2094"/>
      <c r="L108" s="2094"/>
      <c r="M108" s="2094"/>
      <c r="N108" s="2094"/>
      <c r="O108" s="2094"/>
      <c r="P108" s="2094"/>
      <c r="Q108" s="2094"/>
      <c r="R108" s="2094"/>
      <c r="S108" s="504"/>
      <c r="T108" s="48"/>
      <c r="AD108" s="292"/>
      <c r="AE108" s="499"/>
      <c r="AF108" s="48"/>
      <c r="AP108" s="292"/>
      <c r="AQ108" s="292" t="s">
        <v>565</v>
      </c>
    </row>
    <row r="109" spans="1:43" ht="38.25" customHeight="1">
      <c r="A109" s="1371" t="s">
        <v>596</v>
      </c>
      <c r="B109" s="2442" t="s">
        <v>1291</v>
      </c>
      <c r="C109" s="2443"/>
      <c r="D109" s="110" t="s">
        <v>113</v>
      </c>
      <c r="E109" s="49" t="s">
        <v>1289</v>
      </c>
      <c r="F109" s="49"/>
      <c r="G109" s="49"/>
      <c r="H109" s="2094"/>
      <c r="I109" s="2094"/>
      <c r="J109" s="2094"/>
      <c r="K109" s="2094"/>
      <c r="L109" s="2094"/>
      <c r="M109" s="2094"/>
      <c r="N109" s="2094"/>
      <c r="O109" s="2094"/>
      <c r="P109" s="2094"/>
      <c r="Q109" s="2094"/>
      <c r="R109" s="2094"/>
      <c r="S109" s="504"/>
      <c r="T109" s="48"/>
      <c r="AD109" s="292"/>
      <c r="AE109" s="499"/>
      <c r="AF109" s="48"/>
      <c r="AP109" s="292"/>
      <c r="AQ109" s="292" t="s">
        <v>565</v>
      </c>
    </row>
    <row r="110" spans="1:43" ht="38.25" customHeight="1">
      <c r="A110" s="1371" t="s">
        <v>597</v>
      </c>
      <c r="B110" s="2442" t="s">
        <v>598</v>
      </c>
      <c r="C110" s="2443"/>
      <c r="D110" s="110" t="s">
        <v>113</v>
      </c>
      <c r="E110" s="49" t="s">
        <v>1292</v>
      </c>
      <c r="F110" s="49"/>
      <c r="G110" s="49"/>
      <c r="H110" s="2094"/>
      <c r="I110" s="2094"/>
      <c r="J110" s="2094"/>
      <c r="K110" s="2094"/>
      <c r="L110" s="2094"/>
      <c r="M110" s="1456"/>
      <c r="N110" s="2094"/>
      <c r="O110" s="2094"/>
      <c r="P110" s="2094"/>
      <c r="Q110" s="2094"/>
      <c r="R110" s="2094"/>
      <c r="S110" s="504"/>
      <c r="T110" s="48"/>
      <c r="AD110" s="292"/>
      <c r="AE110" s="499"/>
      <c r="AF110" s="48"/>
      <c r="AP110" s="292"/>
      <c r="AQ110" s="292" t="s">
        <v>565</v>
      </c>
    </row>
    <row r="111" spans="1:43" ht="38.25" customHeight="1">
      <c r="A111" s="1371" t="s">
        <v>599</v>
      </c>
      <c r="B111" s="2442" t="s">
        <v>585</v>
      </c>
      <c r="C111" s="2443"/>
      <c r="D111" s="110" t="s">
        <v>113</v>
      </c>
      <c r="E111" s="49" t="s">
        <v>1293</v>
      </c>
      <c r="F111" s="52"/>
      <c r="G111" s="52"/>
      <c r="H111" s="2103"/>
      <c r="I111" s="2103"/>
      <c r="J111" s="2103"/>
      <c r="K111" s="2103"/>
      <c r="L111" s="2103"/>
      <c r="M111" s="505"/>
      <c r="N111" s="2103"/>
      <c r="O111" s="2103"/>
      <c r="P111" s="2103"/>
      <c r="Q111" s="2103"/>
      <c r="R111" s="2103"/>
      <c r="S111" s="506"/>
      <c r="T111" s="48"/>
      <c r="AD111" s="292"/>
      <c r="AE111" s="499"/>
      <c r="AF111" s="48"/>
      <c r="AP111" s="292"/>
      <c r="AQ111" s="292" t="s">
        <v>565</v>
      </c>
    </row>
    <row r="112" spans="1:43" ht="38.25" customHeight="1">
      <c r="A112" s="1371" t="s">
        <v>600</v>
      </c>
      <c r="B112" s="2442" t="s">
        <v>588</v>
      </c>
      <c r="C112" s="2443"/>
      <c r="D112" s="110" t="s">
        <v>113</v>
      </c>
      <c r="E112" s="49" t="s">
        <v>1293</v>
      </c>
      <c r="F112" s="52"/>
      <c r="G112" s="52"/>
      <c r="H112" s="2095"/>
      <c r="I112" s="2095"/>
      <c r="J112" s="2095"/>
      <c r="K112" s="2095"/>
      <c r="L112" s="2095"/>
      <c r="M112" s="1456"/>
      <c r="N112" s="2095"/>
      <c r="O112" s="2095"/>
      <c r="P112" s="2095"/>
      <c r="Q112" s="2095"/>
      <c r="R112" s="2095"/>
      <c r="S112" s="506"/>
      <c r="T112" s="48"/>
      <c r="AD112" s="292"/>
      <c r="AE112" s="499"/>
      <c r="AF112" s="48"/>
      <c r="AP112" s="292"/>
      <c r="AQ112" s="292" t="s">
        <v>565</v>
      </c>
    </row>
    <row r="113" spans="1:43" ht="38.25" customHeight="1">
      <c r="A113" s="1371" t="s">
        <v>601</v>
      </c>
      <c r="B113" s="2442" t="s">
        <v>591</v>
      </c>
      <c r="C113" s="2443"/>
      <c r="D113" s="110" t="s">
        <v>113</v>
      </c>
      <c r="E113" s="49" t="s">
        <v>1294</v>
      </c>
      <c r="F113" s="52"/>
      <c r="G113" s="52"/>
      <c r="H113" s="2094"/>
      <c r="I113" s="2094"/>
      <c r="J113" s="2094"/>
      <c r="K113" s="2094"/>
      <c r="L113" s="2094"/>
      <c r="M113" s="1456"/>
      <c r="N113" s="2094"/>
      <c r="O113" s="2094"/>
      <c r="P113" s="2094"/>
      <c r="Q113" s="2094"/>
      <c r="R113" s="2094"/>
      <c r="S113" s="506"/>
      <c r="T113" s="48"/>
      <c r="AD113" s="292"/>
      <c r="AE113" s="506"/>
      <c r="AF113" s="48"/>
      <c r="AP113" s="292"/>
      <c r="AQ113" s="292" t="s">
        <v>565</v>
      </c>
    </row>
    <row r="114" spans="1:43" ht="38.25" customHeight="1">
      <c r="A114" s="1371" t="s">
        <v>602</v>
      </c>
      <c r="B114" s="2442" t="s">
        <v>603</v>
      </c>
      <c r="C114" s="2443"/>
      <c r="D114" s="110" t="s">
        <v>113</v>
      </c>
      <c r="E114" s="49" t="s">
        <v>1295</v>
      </c>
      <c r="F114" s="52"/>
      <c r="G114" s="52"/>
      <c r="H114" s="2095" t="s">
        <v>50</v>
      </c>
      <c r="I114" s="2095"/>
      <c r="J114" s="2095"/>
      <c r="K114" s="2094"/>
      <c r="L114" s="2094"/>
      <c r="M114" s="1456"/>
      <c r="N114" s="2095" t="s">
        <v>50</v>
      </c>
      <c r="O114" s="2095"/>
      <c r="P114" s="2095"/>
      <c r="Q114" s="2094"/>
      <c r="R114" s="2094"/>
      <c r="S114" s="506"/>
      <c r="T114" s="48"/>
      <c r="AD114" s="292"/>
      <c r="AE114" s="506"/>
      <c r="AF114" s="48"/>
      <c r="AP114" s="292"/>
      <c r="AQ114" s="292" t="s">
        <v>565</v>
      </c>
    </row>
    <row r="115" spans="1:43" ht="38.25" customHeight="1"/>
  </sheetData>
  <sheetProtection formatCells="0" formatColumns="0" formatRows="0" insertColumns="0" insertRows="0" insertHyperlinks="0" deleteColumns="0" deleteRows="0" selectLockedCells="1" sort="0" autoFilter="0" pivotTables="0"/>
  <mergeCells count="307">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26:C26"/>
    <mergeCell ref="B27:B29"/>
    <mergeCell ref="D27:D29"/>
    <mergeCell ref="B30:C31"/>
    <mergeCell ref="B33:C33"/>
    <mergeCell ref="B34:C34"/>
    <mergeCell ref="T36:V36"/>
    <mergeCell ref="W36:X36"/>
    <mergeCell ref="H34:J34"/>
    <mergeCell ref="K34:L34"/>
    <mergeCell ref="N34:P34"/>
    <mergeCell ref="Q34:R34"/>
    <mergeCell ref="T34:V34"/>
    <mergeCell ref="W34:X34"/>
    <mergeCell ref="B42:C42"/>
    <mergeCell ref="B43:B45"/>
    <mergeCell ref="C43:C45"/>
    <mergeCell ref="D43:D45"/>
    <mergeCell ref="N39:R39"/>
    <mergeCell ref="T39:X39"/>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B65:C65"/>
    <mergeCell ref="B66:C66"/>
    <mergeCell ref="B67:C67"/>
    <mergeCell ref="B68:C68"/>
    <mergeCell ref="B69:C69"/>
    <mergeCell ref="B70:C70"/>
    <mergeCell ref="B59:C59"/>
    <mergeCell ref="B60:C60"/>
    <mergeCell ref="B61:C61"/>
    <mergeCell ref="B62:C62"/>
    <mergeCell ref="B63:C63"/>
    <mergeCell ref="B64:C6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111:C111"/>
    <mergeCell ref="B112:C112"/>
    <mergeCell ref="B113:C113"/>
    <mergeCell ref="B114:C114"/>
    <mergeCell ref="B102:C102"/>
    <mergeCell ref="B104:C104"/>
    <mergeCell ref="B105:C105"/>
    <mergeCell ref="B106:C106"/>
    <mergeCell ref="B107:C107"/>
    <mergeCell ref="B108:C108"/>
    <mergeCell ref="B109:C109"/>
    <mergeCell ref="B110:C110"/>
    <mergeCell ref="B95:C95"/>
    <mergeCell ref="B96:C96"/>
    <mergeCell ref="B97:C97"/>
    <mergeCell ref="B98:C99"/>
    <mergeCell ref="B100:C100"/>
    <mergeCell ref="B101:C101"/>
    <mergeCell ref="B89:C89"/>
    <mergeCell ref="B90:C90"/>
    <mergeCell ref="B91:C91"/>
    <mergeCell ref="B92:C92"/>
    <mergeCell ref="B93:C93"/>
    <mergeCell ref="B94:C94"/>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N18:P18"/>
    <mergeCell ref="Q18:R18"/>
    <mergeCell ref="T35:V35"/>
    <mergeCell ref="W35:X35"/>
    <mergeCell ref="Z34:AB34"/>
    <mergeCell ref="AC34:AD34"/>
    <mergeCell ref="Z35:AB35"/>
    <mergeCell ref="AC35:AD35"/>
    <mergeCell ref="H108:J108"/>
    <mergeCell ref="H110:J110"/>
    <mergeCell ref="K110:L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s>
  <phoneticPr fontId="6" type="noConversion"/>
  <conditionalFormatting sqref="H6:H7 H26 AL6:AL7 AF6:AF7 Z6:Z7 T6:T7 N6:N7 N26 T26 Z26 AF26 AL26 H42 N42 T42 Z42 AF42 AL42">
    <cfRule type="expression" dxfId="1289" priority="582">
      <formula>H6&lt;10</formula>
    </cfRule>
    <cfRule type="expression" dxfId="1288" priority="583">
      <formula>H6&gt;15</formula>
    </cfRule>
  </conditionalFormatting>
  <conditionalFormatting sqref="H27 AL8 AL11 AF8 AF11 Z8 Z11 T8 T11 N8 N11 H8 H11 N27 T27 Z27 AF27 AL27 H43 N43 T43 Z43 AF43 AL43">
    <cfRule type="expression" dxfId="1287" priority="580">
      <formula>H8&lt;40</formula>
    </cfRule>
    <cfRule type="expression" dxfId="1286" priority="581">
      <formula>H8&gt;60</formula>
    </cfRule>
  </conditionalFormatting>
  <conditionalFormatting sqref="H28 AL9 AL12 AF9 AF12 Z9 Z12 T9 T12 N9 N12 H9 H12 N28 T28 Z28 AF28 AL28 H44 N44 T44 Z44 AF44 AL44">
    <cfRule type="expression" dxfId="1285" priority="578">
      <formula>H9&lt;5.2</formula>
    </cfRule>
    <cfRule type="expression" dxfId="1284" priority="579">
      <formula>H9&gt;7.8</formula>
    </cfRule>
  </conditionalFormatting>
  <conditionalFormatting sqref="H29 AL10 AL13 AF10 AF13 Z10 Z13 T10 T13 N10 N13 H10 H13 N29 T29 Z29 AF29 AL29 H45 N45 T45 Z45 AF45 AL45">
    <cfRule type="expression" dxfId="1283" priority="577">
      <formula>H10&gt;0.4</formula>
    </cfRule>
  </conditionalFormatting>
  <conditionalFormatting sqref="H30 AL14 AF14 Z14 T14 N14 H14 N30 T30 Z30 AF30 AL30 H46 N46 T46 Z46 AF46 AL46">
    <cfRule type="expression" dxfId="1282" priority="575">
      <formula>H14&lt;0.8</formula>
    </cfRule>
    <cfRule type="expression" dxfId="1281" priority="576">
      <formula>H14&gt;1.2</formula>
    </cfRule>
  </conditionalFormatting>
  <conditionalFormatting sqref="AL47 AF47 Z47 T47 N47 H47 AL31 AF31 Z31 T31 N31 AL15 AF15 Z15 T15 N15 H15">
    <cfRule type="expression" dxfId="1280" priority="573">
      <formula>H15&lt;8</formula>
    </cfRule>
    <cfRule type="expression" dxfId="1279" priority="574">
      <formula>H15&gt;10</formula>
    </cfRule>
  </conditionalFormatting>
  <conditionalFormatting sqref="H25 N25 T25 Z25 AF25 AL25 H41 N41 T41 Z41 AF41 AL41">
    <cfRule type="expression" dxfId="1278" priority="571">
      <formula>H25&lt;30</formula>
    </cfRule>
    <cfRule type="expression" dxfId="1277" priority="572">
      <formula>H25&gt;50</formula>
    </cfRule>
  </conditionalFormatting>
  <conditionalFormatting sqref="N57:N59 H57:H59">
    <cfRule type="expression" dxfId="1276" priority="569">
      <formula>H57&lt;10</formula>
    </cfRule>
    <cfRule type="expression" dxfId="1275" priority="570">
      <formula>H57&gt;20</formula>
    </cfRule>
  </conditionalFormatting>
  <conditionalFormatting sqref="N60 H60">
    <cfRule type="expression" dxfId="1274" priority="567">
      <formula>H60&lt;5</formula>
    </cfRule>
    <cfRule type="expression" dxfId="1273" priority="568">
      <formula>H60&gt;15</formula>
    </cfRule>
  </conditionalFormatting>
  <conditionalFormatting sqref="N61 H61">
    <cfRule type="expression" dxfId="1272" priority="566">
      <formula>H61&gt;1.5</formula>
    </cfRule>
  </conditionalFormatting>
  <conditionalFormatting sqref="N62 H62">
    <cfRule type="expression" dxfId="1271" priority="564">
      <formula>H62&lt;20</formula>
    </cfRule>
    <cfRule type="expression" dxfId="1270" priority="565">
      <formula>H62&gt;25</formula>
    </cfRule>
  </conditionalFormatting>
  <conditionalFormatting sqref="N63 H63">
    <cfRule type="expression" dxfId="1269" priority="562">
      <formula>H63&lt;6</formula>
    </cfRule>
    <cfRule type="expression" dxfId="1268" priority="563">
      <formula>H63&gt;9</formula>
    </cfRule>
  </conditionalFormatting>
  <conditionalFormatting sqref="N64 H64">
    <cfRule type="expression" dxfId="1267" priority="560">
      <formula>H64&lt;7</formula>
    </cfRule>
    <cfRule type="expression" dxfId="1266" priority="561">
      <formula>H64&gt;10</formula>
    </cfRule>
  </conditionalFormatting>
  <conditionalFormatting sqref="N65:N66 H65:H66">
    <cfRule type="expression" dxfId="1265" priority="558">
      <formula>H65&lt;5.3</formula>
    </cfRule>
    <cfRule type="expression" dxfId="1264" priority="559">
      <formula>H65&gt;6</formula>
    </cfRule>
  </conditionalFormatting>
  <conditionalFormatting sqref="N89:N90 H89:H90">
    <cfRule type="expression" dxfId="1263" priority="556">
      <formula>H89&lt;20</formula>
    </cfRule>
    <cfRule type="expression" dxfId="1262" priority="557">
      <formula>H89&gt;30</formula>
    </cfRule>
  </conditionalFormatting>
  <conditionalFormatting sqref="N91 H91">
    <cfRule type="expression" dxfId="1261" priority="554">
      <formula>H91&lt;210</formula>
    </cfRule>
    <cfRule type="expression" dxfId="1260" priority="555">
      <formula>H91&gt;290</formula>
    </cfRule>
  </conditionalFormatting>
  <conditionalFormatting sqref="N92 N94 N96 H92 H94 H96">
    <cfRule type="expression" dxfId="1259" priority="552">
      <formula>H92&lt;120</formula>
    </cfRule>
    <cfRule type="expression" dxfId="1258" priority="553">
      <formula>H92&gt;150</formula>
    </cfRule>
  </conditionalFormatting>
  <conditionalFormatting sqref="N93 N95 N97 H93 H95 H97">
    <cfRule type="expression" dxfId="1257" priority="550">
      <formula>H93&lt;1</formula>
    </cfRule>
    <cfRule type="expression" dxfId="1256" priority="551">
      <formula>H93&gt;5</formula>
    </cfRule>
  </conditionalFormatting>
  <conditionalFormatting sqref="N98 H98">
    <cfRule type="expression" dxfId="1255" priority="548">
      <formula>H98&lt;8</formula>
    </cfRule>
    <cfRule type="expression" dxfId="1254" priority="549">
      <formula>H98&gt;12</formula>
    </cfRule>
  </conditionalFormatting>
  <conditionalFormatting sqref="N9 N12 H9 H12 H28 AL9 AL12 AF9 AF12 Z9 Z12 T9 T12 N28 T28 Z28 AF28 AL28 H44 N44 T44 Z44 AF44 AL44">
    <cfRule type="expression" dxfId="1253" priority="547">
      <formula>H9&lt;1</formula>
    </cfRule>
  </conditionalFormatting>
  <conditionalFormatting sqref="H67 H69">
    <cfRule type="expression" dxfId="1252" priority="545">
      <formula>H67&lt;12</formula>
    </cfRule>
    <cfRule type="expression" dxfId="1251" priority="546">
      <formula>H67&gt;18</formula>
    </cfRule>
  </conditionalFormatting>
  <conditionalFormatting sqref="H68 H70">
    <cfRule type="expression" dxfId="1250" priority="543">
      <formula>H68&lt;8</formula>
    </cfRule>
    <cfRule type="expression" dxfId="1249" priority="544">
      <formula>H68&gt;16</formula>
    </cfRule>
  </conditionalFormatting>
  <conditionalFormatting sqref="H18:L19 N18:R19 T18:X19 Z18:AD19 AF18:AJ19 AL18:AP19 H35:L35 N35:R35 T35:X35 Z35:AD35 AF35:AJ35 AL35:AP35">
    <cfRule type="expression" dxfId="1248" priority="541">
      <formula>H18&lt;65</formula>
    </cfRule>
    <cfRule type="expression" dxfId="1247" priority="542">
      <formula>H18&gt;85</formula>
    </cfRule>
  </conditionalFormatting>
  <conditionalFormatting sqref="H20:L20 N20:R20 T20:X20 Z20:AD20 AF20:AJ20 AL20:AP20 H36:L36 N36:R36 T36:X36 Z36:AD36 AF36:AJ36 AL36:AP36">
    <cfRule type="expression" dxfId="1246" priority="539">
      <formula>H20&lt;80</formula>
    </cfRule>
    <cfRule type="expression" dxfId="1245" priority="540">
      <formula>H20&gt;90</formula>
    </cfRule>
  </conditionalFormatting>
  <conditionalFormatting sqref="H51:J51">
    <cfRule type="expression" dxfId="1244" priority="493">
      <formula>H51&lt;65</formula>
    </cfRule>
    <cfRule type="expression" dxfId="1243" priority="494">
      <formula>H51&gt;85</formula>
    </cfRule>
  </conditionalFormatting>
  <conditionalFormatting sqref="H52:J52">
    <cfRule type="expression" dxfId="1242" priority="491">
      <formula>H52&lt;80</formula>
    </cfRule>
    <cfRule type="expression" dxfId="1241" priority="492">
      <formula>H52&gt;90</formula>
    </cfRule>
  </conditionalFormatting>
  <conditionalFormatting sqref="K51:L52">
    <cfRule type="expression" dxfId="1240" priority="489">
      <formula>K51&lt;65</formula>
    </cfRule>
    <cfRule type="expression" dxfId="1239" priority="490">
      <formula>K51&gt;85</formula>
    </cfRule>
  </conditionalFormatting>
  <conditionalFormatting sqref="N51:P51">
    <cfRule type="expression" dxfId="1238" priority="485">
      <formula>N51&lt;65</formula>
    </cfRule>
    <cfRule type="expression" dxfId="1237" priority="486">
      <formula>N51&gt;85</formula>
    </cfRule>
  </conditionalFormatting>
  <conditionalFormatting sqref="N52:P52">
    <cfRule type="expression" dxfId="1236" priority="483">
      <formula>N52&lt;80</formula>
    </cfRule>
    <cfRule type="expression" dxfId="1235" priority="484">
      <formula>N52&gt;90</formula>
    </cfRule>
  </conditionalFormatting>
  <conditionalFormatting sqref="Q51:R51">
    <cfRule type="expression" dxfId="1234" priority="481">
      <formula>Q51&lt;65</formula>
    </cfRule>
    <cfRule type="expression" dxfId="1233" priority="482">
      <formula>Q51&gt;85</formula>
    </cfRule>
  </conditionalFormatting>
  <conditionalFormatting sqref="Q52:R52">
    <cfRule type="expression" dxfId="1232" priority="479">
      <formula>Q52&lt;80</formula>
    </cfRule>
    <cfRule type="expression" dxfId="1231" priority="480">
      <formula>Q52&gt;90</formula>
    </cfRule>
  </conditionalFormatting>
  <conditionalFormatting sqref="T51:V51">
    <cfRule type="expression" dxfId="1230" priority="477">
      <formula>T51&lt;65</formula>
    </cfRule>
    <cfRule type="expression" dxfId="1229" priority="478">
      <formula>T51&gt;85</formula>
    </cfRule>
  </conditionalFormatting>
  <conditionalFormatting sqref="T52:V52">
    <cfRule type="expression" dxfId="1228" priority="475">
      <formula>T52&lt;80</formula>
    </cfRule>
    <cfRule type="expression" dxfId="1227" priority="476">
      <formula>T52&gt;90</formula>
    </cfRule>
  </conditionalFormatting>
  <conditionalFormatting sqref="W51:X51">
    <cfRule type="expression" dxfId="1226" priority="473">
      <formula>W51&lt;65</formula>
    </cfRule>
    <cfRule type="expression" dxfId="1225" priority="474">
      <formula>W51&gt;85</formula>
    </cfRule>
  </conditionalFormatting>
  <conditionalFormatting sqref="W52:X52">
    <cfRule type="expression" dxfId="1224" priority="471">
      <formula>W52&lt;80</formula>
    </cfRule>
    <cfRule type="expression" dxfId="1223" priority="472">
      <formula>W52&gt;90</formula>
    </cfRule>
  </conditionalFormatting>
  <conditionalFormatting sqref="Z51:AB51">
    <cfRule type="expression" dxfId="1222" priority="469">
      <formula>Z51&lt;65</formula>
    </cfRule>
    <cfRule type="expression" dxfId="1221" priority="470">
      <formula>Z51&gt;85</formula>
    </cfRule>
  </conditionalFormatting>
  <conditionalFormatting sqref="Z52:AB52">
    <cfRule type="expression" dxfId="1220" priority="467">
      <formula>Z52&lt;80</formula>
    </cfRule>
    <cfRule type="expression" dxfId="1219" priority="468">
      <formula>Z52&gt;90</formula>
    </cfRule>
  </conditionalFormatting>
  <conditionalFormatting sqref="AC51:AD51">
    <cfRule type="expression" dxfId="1218" priority="465">
      <formula>AC51&lt;65</formula>
    </cfRule>
    <cfRule type="expression" dxfId="1217" priority="466">
      <formula>AC51&gt;85</formula>
    </cfRule>
  </conditionalFormatting>
  <conditionalFormatting sqref="AC52:AD52">
    <cfRule type="expression" dxfId="1216" priority="463">
      <formula>AC52&lt;80</formula>
    </cfRule>
    <cfRule type="expression" dxfId="1215" priority="464">
      <formula>AC52&gt;90</formula>
    </cfRule>
  </conditionalFormatting>
  <conditionalFormatting sqref="AF51:AH51">
    <cfRule type="expression" dxfId="1214" priority="461">
      <formula>AF51&lt;65</formula>
    </cfRule>
    <cfRule type="expression" dxfId="1213" priority="462">
      <formula>AF51&gt;85</formula>
    </cfRule>
  </conditionalFormatting>
  <conditionalFormatting sqref="AF52:AH52">
    <cfRule type="expression" dxfId="1212" priority="459">
      <formula>AF52&lt;80</formula>
    </cfRule>
    <cfRule type="expression" dxfId="1211" priority="460">
      <formula>AF52&gt;90</formula>
    </cfRule>
  </conditionalFormatting>
  <conditionalFormatting sqref="AI51:AJ51">
    <cfRule type="expression" dxfId="1210" priority="457">
      <formula>AI51&lt;65</formula>
    </cfRule>
    <cfRule type="expression" dxfId="1209" priority="458">
      <formula>AI51&gt;85</formula>
    </cfRule>
  </conditionalFormatting>
  <conditionalFormatting sqref="AI52:AJ52">
    <cfRule type="expression" dxfId="1208" priority="455">
      <formula>AI52&lt;80</formula>
    </cfRule>
    <cfRule type="expression" dxfId="1207" priority="456">
      <formula>AI52&gt;90</formula>
    </cfRule>
  </conditionalFormatting>
  <conditionalFormatting sqref="AL51:AN51">
    <cfRule type="expression" dxfId="1206" priority="453">
      <formula>AL51&lt;65</formula>
    </cfRule>
    <cfRule type="expression" dxfId="1205" priority="454">
      <formula>AL51&gt;85</formula>
    </cfRule>
  </conditionalFormatting>
  <conditionalFormatting sqref="AL52:AN52">
    <cfRule type="expression" dxfId="1204" priority="451">
      <formula>AL52&lt;80</formula>
    </cfRule>
    <cfRule type="expression" dxfId="1203" priority="452">
      <formula>AL52&gt;90</formula>
    </cfRule>
  </conditionalFormatting>
  <conditionalFormatting sqref="AO51:AP51">
    <cfRule type="expression" dxfId="1202" priority="449">
      <formula>AO51&lt;65</formula>
    </cfRule>
    <cfRule type="expression" dxfId="1201" priority="450">
      <formula>AO51&gt;85</formula>
    </cfRule>
  </conditionalFormatting>
  <conditionalFormatting sqref="AO52:AP52">
    <cfRule type="expression" dxfId="1200" priority="447">
      <formula>AO52&lt;80</formula>
    </cfRule>
    <cfRule type="expression" dxfId="1199" priority="448">
      <formula>AO52&gt;90</formula>
    </cfRule>
  </conditionalFormatting>
  <conditionalFormatting sqref="H34 K34 N34 Q34 T34 W34 Z34 AC34 AF34 AI34 AL34 AO34">
    <cfRule type="expression" dxfId="1198" priority="441">
      <formula>H34&lt;55</formula>
    </cfRule>
    <cfRule type="expression" dxfId="1197" priority="442">
      <formula>H34&gt;65</formula>
    </cfRule>
  </conditionalFormatting>
  <conditionalFormatting sqref="K75:L75">
    <cfRule type="expression" dxfId="1196" priority="373">
      <formula>K75&lt;51</formula>
    </cfRule>
    <cfRule type="expression" dxfId="1195" priority="374">
      <formula>K75&gt;59</formula>
    </cfRule>
  </conditionalFormatting>
  <conditionalFormatting sqref="K75:L75">
    <cfRule type="expression" dxfId="1194" priority="372">
      <formula>K75&lt;1</formula>
    </cfRule>
  </conditionalFormatting>
  <conditionalFormatting sqref="K76:L77">
    <cfRule type="expression" dxfId="1193" priority="370">
      <formula>K76&lt;51</formula>
    </cfRule>
    <cfRule type="expression" dxfId="1192" priority="371">
      <formula>K76&gt;59</formula>
    </cfRule>
  </conditionalFormatting>
  <conditionalFormatting sqref="K76:L77">
    <cfRule type="expression" dxfId="1191" priority="369">
      <formula>K76&lt;1</formula>
    </cfRule>
  </conditionalFormatting>
  <conditionalFormatting sqref="K78:L78">
    <cfRule type="expression" dxfId="1190" priority="367">
      <formula>K78&lt;30</formula>
    </cfRule>
    <cfRule type="expression" dxfId="1189" priority="368">
      <formula>K78&gt;40</formula>
    </cfRule>
  </conditionalFormatting>
  <conditionalFormatting sqref="K78:L78">
    <cfRule type="expression" dxfId="1188" priority="366">
      <formula>K78&lt;1</formula>
    </cfRule>
  </conditionalFormatting>
  <conditionalFormatting sqref="K79:L79">
    <cfRule type="expression" dxfId="1187" priority="364">
      <formula>K79&lt;26</formula>
    </cfRule>
    <cfRule type="expression" dxfId="1186" priority="365">
      <formula>K79&gt;32</formula>
    </cfRule>
  </conditionalFormatting>
  <conditionalFormatting sqref="K79:L79">
    <cfRule type="expression" dxfId="1185" priority="363">
      <formula>K79&lt;1</formula>
    </cfRule>
  </conditionalFormatting>
  <conditionalFormatting sqref="K80:L80">
    <cfRule type="expression" dxfId="1184" priority="361">
      <formula>K80&lt;26</formula>
    </cfRule>
    <cfRule type="expression" dxfId="1183" priority="362">
      <formula>K80&gt;32</formula>
    </cfRule>
  </conditionalFormatting>
  <conditionalFormatting sqref="K80:L80">
    <cfRule type="expression" dxfId="1182" priority="360">
      <formula>K80&lt;1</formula>
    </cfRule>
  </conditionalFormatting>
  <conditionalFormatting sqref="K75:L75">
    <cfRule type="expression" dxfId="1181" priority="358">
      <formula>K75&lt;51</formula>
    </cfRule>
    <cfRule type="expression" dxfId="1180" priority="359">
      <formula>K75&gt;59</formula>
    </cfRule>
  </conditionalFormatting>
  <conditionalFormatting sqref="K75:L75">
    <cfRule type="expression" dxfId="1179" priority="357">
      <formula>K75&lt;1</formula>
    </cfRule>
  </conditionalFormatting>
  <conditionalFormatting sqref="K76:L77">
    <cfRule type="expression" dxfId="1178" priority="355">
      <formula>K76&lt;51</formula>
    </cfRule>
    <cfRule type="expression" dxfId="1177" priority="356">
      <formula>K76&gt;59</formula>
    </cfRule>
  </conditionalFormatting>
  <conditionalFormatting sqref="K76:L77">
    <cfRule type="expression" dxfId="1176" priority="354">
      <formula>K76&lt;1</formula>
    </cfRule>
  </conditionalFormatting>
  <conditionalFormatting sqref="K78:L78">
    <cfRule type="expression" dxfId="1175" priority="352">
      <formula>K78&lt;30</formula>
    </cfRule>
    <cfRule type="expression" dxfId="1174" priority="353">
      <formula>K78&gt;40</formula>
    </cfRule>
  </conditionalFormatting>
  <conditionalFormatting sqref="K78:L78">
    <cfRule type="expression" dxfId="1173" priority="351">
      <formula>K78&lt;1</formula>
    </cfRule>
  </conditionalFormatting>
  <conditionalFormatting sqref="K79:L79">
    <cfRule type="expression" dxfId="1172" priority="349">
      <formula>K79&lt;26</formula>
    </cfRule>
    <cfRule type="expression" dxfId="1171" priority="350">
      <formula>K79&gt;32</formula>
    </cfRule>
  </conditionalFormatting>
  <conditionalFormatting sqref="K79:L79">
    <cfRule type="expression" dxfId="1170" priority="348">
      <formula>K79&lt;1</formula>
    </cfRule>
  </conditionalFormatting>
  <conditionalFormatting sqref="K80:L80">
    <cfRule type="expression" dxfId="1169" priority="346">
      <formula>K80&lt;26</formula>
    </cfRule>
    <cfRule type="expression" dxfId="1168" priority="347">
      <formula>K80&gt;32</formula>
    </cfRule>
  </conditionalFormatting>
  <conditionalFormatting sqref="K80:L80">
    <cfRule type="expression" dxfId="1167" priority="345">
      <formula>K80&lt;1</formula>
    </cfRule>
  </conditionalFormatting>
  <conditionalFormatting sqref="K81">
    <cfRule type="expression" dxfId="1166" priority="343">
      <formula>K81&lt;170</formula>
    </cfRule>
    <cfRule type="expression" dxfId="1165" priority="344">
      <formula>K81&gt;220</formula>
    </cfRule>
  </conditionalFormatting>
  <conditionalFormatting sqref="K81">
    <cfRule type="expression" dxfId="1164" priority="342">
      <formula>K81&lt;1</formula>
    </cfRule>
  </conditionalFormatting>
  <conditionalFormatting sqref="Q75:R75">
    <cfRule type="expression" dxfId="1163" priority="340">
      <formula>Q75&lt;51</formula>
    </cfRule>
    <cfRule type="expression" dxfId="1162" priority="341">
      <formula>Q75&gt;59</formula>
    </cfRule>
  </conditionalFormatting>
  <conditionalFormatting sqref="Q75:R75">
    <cfRule type="expression" dxfId="1161" priority="339">
      <formula>Q75&lt;1</formula>
    </cfRule>
  </conditionalFormatting>
  <conditionalFormatting sqref="Q76:R77">
    <cfRule type="expression" dxfId="1160" priority="337">
      <formula>Q76&lt;51</formula>
    </cfRule>
    <cfRule type="expression" dxfId="1159" priority="338">
      <formula>Q76&gt;59</formula>
    </cfRule>
  </conditionalFormatting>
  <conditionalFormatting sqref="Q76:R77">
    <cfRule type="expression" dxfId="1158" priority="336">
      <formula>Q76&lt;1</formula>
    </cfRule>
  </conditionalFormatting>
  <conditionalFormatting sqref="Q78:R78">
    <cfRule type="expression" dxfId="1157" priority="334">
      <formula>Q78&lt;30</formula>
    </cfRule>
    <cfRule type="expression" dxfId="1156" priority="335">
      <formula>Q78&gt;40</formula>
    </cfRule>
  </conditionalFormatting>
  <conditionalFormatting sqref="Q78:R78">
    <cfRule type="expression" dxfId="1155" priority="333">
      <formula>Q78&lt;1</formula>
    </cfRule>
  </conditionalFormatting>
  <conditionalFormatting sqref="Q79:R79">
    <cfRule type="expression" dxfId="1154" priority="331">
      <formula>Q79&lt;26</formula>
    </cfRule>
    <cfRule type="expression" dxfId="1153" priority="332">
      <formula>Q79&gt;32</formula>
    </cfRule>
  </conditionalFormatting>
  <conditionalFormatting sqref="Q79:R79">
    <cfRule type="expression" dxfId="1152" priority="330">
      <formula>Q79&lt;1</formula>
    </cfRule>
  </conditionalFormatting>
  <conditionalFormatting sqref="Q80:R80">
    <cfRule type="expression" dxfId="1151" priority="328">
      <formula>Q80&lt;26</formula>
    </cfRule>
    <cfRule type="expression" dxfId="1150" priority="329">
      <formula>Q80&gt;32</formula>
    </cfRule>
  </conditionalFormatting>
  <conditionalFormatting sqref="Q80:R80">
    <cfRule type="expression" dxfId="1149" priority="327">
      <formula>Q80&lt;1</formula>
    </cfRule>
  </conditionalFormatting>
  <conditionalFormatting sqref="Q75:R75">
    <cfRule type="expression" dxfId="1148" priority="325">
      <formula>Q75&lt;51</formula>
    </cfRule>
    <cfRule type="expression" dxfId="1147" priority="326">
      <formula>Q75&gt;59</formula>
    </cfRule>
  </conditionalFormatting>
  <conditionalFormatting sqref="Q75:R75">
    <cfRule type="expression" dxfId="1146" priority="324">
      <formula>Q75&lt;1</formula>
    </cfRule>
  </conditionalFormatting>
  <conditionalFormatting sqref="Q76:R77">
    <cfRule type="expression" dxfId="1145" priority="322">
      <formula>Q76&lt;51</formula>
    </cfRule>
    <cfRule type="expression" dxfId="1144" priority="323">
      <formula>Q76&gt;59</formula>
    </cfRule>
  </conditionalFormatting>
  <conditionalFormatting sqref="Q76:R77">
    <cfRule type="expression" dxfId="1143" priority="321">
      <formula>Q76&lt;1</formula>
    </cfRule>
  </conditionalFormatting>
  <conditionalFormatting sqref="Q78:R78">
    <cfRule type="expression" dxfId="1142" priority="319">
      <formula>Q78&lt;30</formula>
    </cfRule>
    <cfRule type="expression" dxfId="1141" priority="320">
      <formula>Q78&gt;40</formula>
    </cfRule>
  </conditionalFormatting>
  <conditionalFormatting sqref="Q78:R78">
    <cfRule type="expression" dxfId="1140" priority="318">
      <formula>Q78&lt;1</formula>
    </cfRule>
  </conditionalFormatting>
  <conditionalFormatting sqref="Q79:R79">
    <cfRule type="expression" dxfId="1139" priority="316">
      <formula>Q79&lt;26</formula>
    </cfRule>
    <cfRule type="expression" dxfId="1138" priority="317">
      <formula>Q79&gt;32</formula>
    </cfRule>
  </conditionalFormatting>
  <conditionalFormatting sqref="Q79:R79">
    <cfRule type="expression" dxfId="1137" priority="315">
      <formula>Q79&lt;1</formula>
    </cfRule>
  </conditionalFormatting>
  <conditionalFormatting sqref="Q80:R80">
    <cfRule type="expression" dxfId="1136" priority="313">
      <formula>Q80&lt;26</formula>
    </cfRule>
    <cfRule type="expression" dxfId="1135" priority="314">
      <formula>Q80&gt;32</formula>
    </cfRule>
  </conditionalFormatting>
  <conditionalFormatting sqref="Q80:R80">
    <cfRule type="expression" dxfId="1134" priority="312">
      <formula>Q80&lt;1</formula>
    </cfRule>
  </conditionalFormatting>
  <conditionalFormatting sqref="Q81">
    <cfRule type="expression" dxfId="1133" priority="310">
      <formula>Q81&lt;170</formula>
    </cfRule>
    <cfRule type="expression" dxfId="1132" priority="311">
      <formula>Q81&gt;220</formula>
    </cfRule>
  </conditionalFormatting>
  <conditionalFormatting sqref="Q81">
    <cfRule type="expression" dxfId="1131" priority="309">
      <formula>Q81&lt;1</formula>
    </cfRule>
  </conditionalFormatting>
  <conditionalFormatting sqref="N75:P75">
    <cfRule type="expression" dxfId="1130" priority="307">
      <formula>N75&lt;51</formula>
    </cfRule>
    <cfRule type="expression" dxfId="1129" priority="308">
      <formula>N75&gt;59</formula>
    </cfRule>
  </conditionalFormatting>
  <conditionalFormatting sqref="N75:P75">
    <cfRule type="expression" dxfId="1128" priority="306">
      <formula>N75&lt;1</formula>
    </cfRule>
  </conditionalFormatting>
  <conditionalFormatting sqref="N76:P77">
    <cfRule type="expression" dxfId="1127" priority="304">
      <formula>N76&lt;51</formula>
    </cfRule>
    <cfRule type="expression" dxfId="1126" priority="305">
      <formula>N76&gt;59</formula>
    </cfRule>
  </conditionalFormatting>
  <conditionalFormatting sqref="N76:P77">
    <cfRule type="expression" dxfId="1125" priority="303">
      <formula>N76&lt;1</formula>
    </cfRule>
  </conditionalFormatting>
  <conditionalFormatting sqref="N78:P78">
    <cfRule type="expression" dxfId="1124" priority="301">
      <formula>N78&lt;30</formula>
    </cfRule>
    <cfRule type="expression" dxfId="1123" priority="302">
      <formula>N78&gt;40</formula>
    </cfRule>
  </conditionalFormatting>
  <conditionalFormatting sqref="N78:P78">
    <cfRule type="expression" dxfId="1122" priority="300">
      <formula>N78&lt;1</formula>
    </cfRule>
  </conditionalFormatting>
  <conditionalFormatting sqref="N79:P79">
    <cfRule type="expression" dxfId="1121" priority="298">
      <formula>N79&lt;26</formula>
    </cfRule>
    <cfRule type="expression" dxfId="1120" priority="299">
      <formula>N79&gt;32</formula>
    </cfRule>
  </conditionalFormatting>
  <conditionalFormatting sqref="N79:P79">
    <cfRule type="expression" dxfId="1119" priority="297">
      <formula>N79&lt;1</formula>
    </cfRule>
  </conditionalFormatting>
  <conditionalFormatting sqref="N80:P80">
    <cfRule type="expression" dxfId="1118" priority="295">
      <formula>N80&lt;26</formula>
    </cfRule>
    <cfRule type="expression" dxfId="1117" priority="296">
      <formula>N80&gt;32</formula>
    </cfRule>
  </conditionalFormatting>
  <conditionalFormatting sqref="N80:P80">
    <cfRule type="expression" dxfId="1116" priority="294">
      <formula>N80&lt;1</formula>
    </cfRule>
  </conditionalFormatting>
  <conditionalFormatting sqref="N75:P75">
    <cfRule type="expression" dxfId="1115" priority="292">
      <formula>N75&lt;51</formula>
    </cfRule>
    <cfRule type="expression" dxfId="1114" priority="293">
      <formula>N75&gt;59</formula>
    </cfRule>
  </conditionalFormatting>
  <conditionalFormatting sqref="N75:P75">
    <cfRule type="expression" dxfId="1113" priority="291">
      <formula>N75&lt;1</formula>
    </cfRule>
  </conditionalFormatting>
  <conditionalFormatting sqref="N76:P77">
    <cfRule type="expression" dxfId="1112" priority="289">
      <formula>N76&lt;51</formula>
    </cfRule>
    <cfRule type="expression" dxfId="1111" priority="290">
      <formula>N76&gt;59</formula>
    </cfRule>
  </conditionalFormatting>
  <conditionalFormatting sqref="N76:P77">
    <cfRule type="expression" dxfId="1110" priority="288">
      <formula>N76&lt;1</formula>
    </cfRule>
  </conditionalFormatting>
  <conditionalFormatting sqref="N78:P78">
    <cfRule type="expression" dxfId="1109" priority="286">
      <formula>N78&lt;30</formula>
    </cfRule>
    <cfRule type="expression" dxfId="1108" priority="287">
      <formula>N78&gt;40</formula>
    </cfRule>
  </conditionalFormatting>
  <conditionalFormatting sqref="N78:P78">
    <cfRule type="expression" dxfId="1107" priority="285">
      <formula>N78&lt;1</formula>
    </cfRule>
  </conditionalFormatting>
  <conditionalFormatting sqref="N79:P79">
    <cfRule type="expression" dxfId="1106" priority="283">
      <formula>N79&lt;26</formula>
    </cfRule>
    <cfRule type="expression" dxfId="1105" priority="284">
      <formula>N79&gt;32</formula>
    </cfRule>
  </conditionalFormatting>
  <conditionalFormatting sqref="N79:P79">
    <cfRule type="expression" dxfId="1104" priority="282">
      <formula>N79&lt;1</formula>
    </cfRule>
  </conditionalFormatting>
  <conditionalFormatting sqref="N80:P80">
    <cfRule type="expression" dxfId="1103" priority="280">
      <formula>N80&lt;26</formula>
    </cfRule>
    <cfRule type="expression" dxfId="1102" priority="281">
      <formula>N80&gt;32</formula>
    </cfRule>
  </conditionalFormatting>
  <conditionalFormatting sqref="N80:P80">
    <cfRule type="expression" dxfId="1101" priority="279">
      <formula>N80&lt;1</formula>
    </cfRule>
  </conditionalFormatting>
  <conditionalFormatting sqref="H75">
    <cfRule type="expression" dxfId="1100" priority="277">
      <formula>H75&lt;51</formula>
    </cfRule>
    <cfRule type="expression" dxfId="1099" priority="278">
      <formula>H75&gt;59</formula>
    </cfRule>
  </conditionalFormatting>
  <conditionalFormatting sqref="H75">
    <cfRule type="expression" dxfId="1098" priority="276">
      <formula>H75&lt;1</formula>
    </cfRule>
  </conditionalFormatting>
  <conditionalFormatting sqref="H76:H77">
    <cfRule type="expression" dxfId="1097" priority="274">
      <formula>H76&lt;51</formula>
    </cfRule>
    <cfRule type="expression" dxfId="1096" priority="275">
      <formula>H76&gt;59</formula>
    </cfRule>
  </conditionalFormatting>
  <conditionalFormatting sqref="H76:H77">
    <cfRule type="expression" dxfId="1095" priority="273">
      <formula>H76&lt;1</formula>
    </cfRule>
  </conditionalFormatting>
  <conditionalFormatting sqref="H78">
    <cfRule type="expression" dxfId="1094" priority="271">
      <formula>H78&lt;30</formula>
    </cfRule>
    <cfRule type="expression" dxfId="1093" priority="272">
      <formula>H78&gt;40</formula>
    </cfRule>
  </conditionalFormatting>
  <conditionalFormatting sqref="H78">
    <cfRule type="expression" dxfId="1092" priority="270">
      <formula>H78&lt;1</formula>
    </cfRule>
  </conditionalFormatting>
  <conditionalFormatting sqref="H79">
    <cfRule type="expression" dxfId="1091" priority="268">
      <formula>H79&lt;26</formula>
    </cfRule>
    <cfRule type="expression" dxfId="1090" priority="269">
      <formula>H79&gt;32</formula>
    </cfRule>
  </conditionalFormatting>
  <conditionalFormatting sqref="H79">
    <cfRule type="expression" dxfId="1089" priority="267">
      <formula>H79&lt;1</formula>
    </cfRule>
  </conditionalFormatting>
  <conditionalFormatting sqref="H80">
    <cfRule type="expression" dxfId="1088" priority="265">
      <formula>H80&lt;26</formula>
    </cfRule>
    <cfRule type="expression" dxfId="1087" priority="266">
      <formula>H80&gt;32</formula>
    </cfRule>
  </conditionalFormatting>
  <conditionalFormatting sqref="H80">
    <cfRule type="expression" dxfId="1086" priority="264">
      <formula>H80&lt;1</formula>
    </cfRule>
  </conditionalFormatting>
  <conditionalFormatting sqref="H75">
    <cfRule type="expression" dxfId="1085" priority="262">
      <formula>H75&lt;51</formula>
    </cfRule>
    <cfRule type="expression" dxfId="1084" priority="263">
      <formula>H75&gt;59</formula>
    </cfRule>
  </conditionalFormatting>
  <conditionalFormatting sqref="H75">
    <cfRule type="expression" dxfId="1083" priority="261">
      <formula>H75&lt;1</formula>
    </cfRule>
  </conditionalFormatting>
  <conditionalFormatting sqref="H76:H77">
    <cfRule type="expression" dxfId="1082" priority="259">
      <formula>H76&lt;51</formula>
    </cfRule>
    <cfRule type="expression" dxfId="1081" priority="260">
      <formula>H76&gt;59</formula>
    </cfRule>
  </conditionalFormatting>
  <conditionalFormatting sqref="H76:H77">
    <cfRule type="expression" dxfId="1080" priority="258">
      <formula>H76&lt;1</formula>
    </cfRule>
  </conditionalFormatting>
  <conditionalFormatting sqref="H78">
    <cfRule type="expression" dxfId="1079" priority="256">
      <formula>H78&lt;30</formula>
    </cfRule>
    <cfRule type="expression" dxfId="1078" priority="257">
      <formula>H78&gt;40</formula>
    </cfRule>
  </conditionalFormatting>
  <conditionalFormatting sqref="H78">
    <cfRule type="expression" dxfId="1077" priority="255">
      <formula>H78&lt;1</formula>
    </cfRule>
  </conditionalFormatting>
  <conditionalFormatting sqref="H79">
    <cfRule type="expression" dxfId="1076" priority="253">
      <formula>H79&lt;26</formula>
    </cfRule>
    <cfRule type="expression" dxfId="1075" priority="254">
      <formula>H79&gt;32</formula>
    </cfRule>
  </conditionalFormatting>
  <conditionalFormatting sqref="H79">
    <cfRule type="expression" dxfId="1074" priority="252">
      <formula>H79&lt;1</formula>
    </cfRule>
  </conditionalFormatting>
  <conditionalFormatting sqref="H80">
    <cfRule type="expression" dxfId="1073" priority="250">
      <formula>H80&lt;26</formula>
    </cfRule>
    <cfRule type="expression" dxfId="1072" priority="251">
      <formula>H80&gt;32</formula>
    </cfRule>
  </conditionalFormatting>
  <conditionalFormatting sqref="H80">
    <cfRule type="expression" dxfId="1071" priority="249">
      <formula>H80&lt;1</formula>
    </cfRule>
  </conditionalFormatting>
  <conditionalFormatting sqref="N75">
    <cfRule type="expression" dxfId="1070" priority="247">
      <formula>N75&lt;51</formula>
    </cfRule>
    <cfRule type="expression" dxfId="1069" priority="248">
      <formula>N75&gt;59</formula>
    </cfRule>
  </conditionalFormatting>
  <conditionalFormatting sqref="N75">
    <cfRule type="expression" dxfId="1068" priority="246">
      <formula>N75&lt;1</formula>
    </cfRule>
  </conditionalFormatting>
  <conditionalFormatting sqref="N76:N77">
    <cfRule type="expression" dxfId="1067" priority="244">
      <formula>N76&lt;51</formula>
    </cfRule>
    <cfRule type="expression" dxfId="1066" priority="245">
      <formula>N76&gt;59</formula>
    </cfRule>
  </conditionalFormatting>
  <conditionalFormatting sqref="N76:N77">
    <cfRule type="expression" dxfId="1065" priority="243">
      <formula>N76&lt;1</formula>
    </cfRule>
  </conditionalFormatting>
  <conditionalFormatting sqref="N78">
    <cfRule type="expression" dxfId="1064" priority="241">
      <formula>N78&lt;30</formula>
    </cfRule>
    <cfRule type="expression" dxfId="1063" priority="242">
      <formula>N78&gt;40</formula>
    </cfRule>
  </conditionalFormatting>
  <conditionalFormatting sqref="N78">
    <cfRule type="expression" dxfId="1062" priority="240">
      <formula>N78&lt;1</formula>
    </cfRule>
  </conditionalFormatting>
  <conditionalFormatting sqref="N79">
    <cfRule type="expression" dxfId="1061" priority="238">
      <formula>N79&lt;26</formula>
    </cfRule>
    <cfRule type="expression" dxfId="1060" priority="239">
      <formula>N79&gt;32</formula>
    </cfRule>
  </conditionalFormatting>
  <conditionalFormatting sqref="N79">
    <cfRule type="expression" dxfId="1059" priority="237">
      <formula>N79&lt;1</formula>
    </cfRule>
  </conditionalFormatting>
  <conditionalFormatting sqref="N80">
    <cfRule type="expression" dxfId="1058" priority="235">
      <formula>N80&lt;26</formula>
    </cfRule>
    <cfRule type="expression" dxfId="1057" priority="236">
      <formula>N80&gt;32</formula>
    </cfRule>
  </conditionalFormatting>
  <conditionalFormatting sqref="N80">
    <cfRule type="expression" dxfId="1056" priority="234">
      <formula>N80&lt;1</formula>
    </cfRule>
  </conditionalFormatting>
  <conditionalFormatting sqref="N75">
    <cfRule type="expression" dxfId="1055" priority="232">
      <formula>N75&lt;51</formula>
    </cfRule>
    <cfRule type="expression" dxfId="1054" priority="233">
      <formula>N75&gt;59</formula>
    </cfRule>
  </conditionalFormatting>
  <conditionalFormatting sqref="N75">
    <cfRule type="expression" dxfId="1053" priority="231">
      <formula>N75&lt;1</formula>
    </cfRule>
  </conditionalFormatting>
  <conditionalFormatting sqref="N76:N77">
    <cfRule type="expression" dxfId="1052" priority="229">
      <formula>N76&lt;51</formula>
    </cfRule>
    <cfRule type="expression" dxfId="1051" priority="230">
      <formula>N76&gt;59</formula>
    </cfRule>
  </conditionalFormatting>
  <conditionalFormatting sqref="N76:N77">
    <cfRule type="expression" dxfId="1050" priority="228">
      <formula>N76&lt;1</formula>
    </cfRule>
  </conditionalFormatting>
  <conditionalFormatting sqref="N78">
    <cfRule type="expression" dxfId="1049" priority="226">
      <formula>N78&lt;30</formula>
    </cfRule>
    <cfRule type="expression" dxfId="1048" priority="227">
      <formula>N78&gt;40</formula>
    </cfRule>
  </conditionalFormatting>
  <conditionalFormatting sqref="N78">
    <cfRule type="expression" dxfId="1047" priority="225">
      <formula>N78&lt;1</formula>
    </cfRule>
  </conditionalFormatting>
  <conditionalFormatting sqref="N79">
    <cfRule type="expression" dxfId="1046" priority="223">
      <formula>N79&lt;26</formula>
    </cfRule>
    <cfRule type="expression" dxfId="1045" priority="224">
      <formula>N79&gt;32</formula>
    </cfRule>
  </conditionalFormatting>
  <conditionalFormatting sqref="N79">
    <cfRule type="expression" dxfId="1044" priority="222">
      <formula>N79&lt;1</formula>
    </cfRule>
  </conditionalFormatting>
  <conditionalFormatting sqref="N80">
    <cfRule type="expression" dxfId="1043" priority="220">
      <formula>N80&lt;26</formula>
    </cfRule>
    <cfRule type="expression" dxfId="1042" priority="221">
      <formula>N80&gt;32</formula>
    </cfRule>
  </conditionalFormatting>
  <conditionalFormatting sqref="N80">
    <cfRule type="expression" dxfId="1041" priority="219">
      <formula>N80&lt;1</formula>
    </cfRule>
  </conditionalFormatting>
  <conditionalFormatting sqref="H50">
    <cfRule type="expression" dxfId="1040" priority="213">
      <formula>H50&lt;55</formula>
    </cfRule>
    <cfRule type="expression" dxfId="1039" priority="214">
      <formula>H50&gt;65</formula>
    </cfRule>
  </conditionalFormatting>
  <conditionalFormatting sqref="K50">
    <cfRule type="expression" dxfId="1038" priority="211">
      <formula>K50&lt;55</formula>
    </cfRule>
    <cfRule type="expression" dxfId="1037" priority="212">
      <formula>K50&gt;65</formula>
    </cfRule>
  </conditionalFormatting>
  <conditionalFormatting sqref="N50">
    <cfRule type="expression" dxfId="1036" priority="209">
      <formula>N50&lt;55</formula>
    </cfRule>
    <cfRule type="expression" dxfId="1035" priority="210">
      <formula>N50&gt;65</formula>
    </cfRule>
  </conditionalFormatting>
  <conditionalFormatting sqref="Q50">
    <cfRule type="expression" dxfId="1034" priority="207">
      <formula>Q50&lt;55</formula>
    </cfRule>
    <cfRule type="expression" dxfId="1033" priority="208">
      <formula>Q50&gt;65</formula>
    </cfRule>
  </conditionalFormatting>
  <conditionalFormatting sqref="T50">
    <cfRule type="expression" dxfId="1032" priority="205">
      <formula>T50&lt;55</formula>
    </cfRule>
    <cfRule type="expression" dxfId="1031" priority="206">
      <formula>T50&gt;65</formula>
    </cfRule>
  </conditionalFormatting>
  <conditionalFormatting sqref="W50">
    <cfRule type="expression" dxfId="1030" priority="203">
      <formula>W50&lt;55</formula>
    </cfRule>
    <cfRule type="expression" dxfId="1029" priority="204">
      <formula>W50&gt;65</formula>
    </cfRule>
  </conditionalFormatting>
  <conditionalFormatting sqref="Z50">
    <cfRule type="expression" dxfId="1028" priority="201">
      <formula>Z50&lt;55</formula>
    </cfRule>
    <cfRule type="expression" dxfId="1027" priority="202">
      <formula>Z50&gt;65</formula>
    </cfRule>
  </conditionalFormatting>
  <conditionalFormatting sqref="AC50">
    <cfRule type="expression" dxfId="1026" priority="199">
      <formula>AC50&lt;55</formula>
    </cfRule>
    <cfRule type="expression" dxfId="1025" priority="200">
      <formula>AC50&gt;65</formula>
    </cfRule>
  </conditionalFormatting>
  <conditionalFormatting sqref="AF50">
    <cfRule type="expression" dxfId="1024" priority="197">
      <formula>AF50&lt;55</formula>
    </cfRule>
    <cfRule type="expression" dxfId="1023" priority="198">
      <formula>AF50&gt;65</formula>
    </cfRule>
  </conditionalFormatting>
  <conditionalFormatting sqref="AI50">
    <cfRule type="expression" dxfId="1022" priority="195">
      <formula>AI50&lt;55</formula>
    </cfRule>
    <cfRule type="expression" dxfId="1021" priority="196">
      <formula>AI50&gt;65</formula>
    </cfRule>
  </conditionalFormatting>
  <conditionalFormatting sqref="AL50">
    <cfRule type="expression" dxfId="1020" priority="193">
      <formula>AL50&lt;55</formula>
    </cfRule>
    <cfRule type="expression" dxfId="1019" priority="194">
      <formula>AL50&gt;65</formula>
    </cfRule>
  </conditionalFormatting>
  <conditionalFormatting sqref="AO50">
    <cfRule type="expression" dxfId="1018" priority="191">
      <formula>AO50&lt;55</formula>
    </cfRule>
    <cfRule type="expression" dxfId="1017" priority="192">
      <formula>AO50&gt;65</formula>
    </cfRule>
  </conditionalFormatting>
  <conditionalFormatting sqref="K51:M51">
    <cfRule type="expression" dxfId="1016" priority="189">
      <formula>K51&lt;65</formula>
    </cfRule>
    <cfRule type="expression" dxfId="1015" priority="190">
      <formula>K51&gt;85</formula>
    </cfRule>
  </conditionalFormatting>
  <conditionalFormatting sqref="K52:M52">
    <cfRule type="expression" dxfId="1014" priority="187">
      <formula>K52&lt;80</formula>
    </cfRule>
    <cfRule type="expression" dxfId="1013" priority="188">
      <formula>K52&gt;90</formula>
    </cfRule>
  </conditionalFormatting>
  <conditionalFormatting sqref="K50">
    <cfRule type="expression" dxfId="1012" priority="185">
      <formula>K50&lt;55</formula>
    </cfRule>
    <cfRule type="expression" dxfId="1011" priority="186">
      <formula>K50&gt;65</formula>
    </cfRule>
  </conditionalFormatting>
  <conditionalFormatting sqref="N51:P51">
    <cfRule type="expression" dxfId="1010" priority="183">
      <formula>N51&lt;65</formula>
    </cfRule>
    <cfRule type="expression" dxfId="1009" priority="184">
      <formula>N51&gt;85</formula>
    </cfRule>
  </conditionalFormatting>
  <conditionalFormatting sqref="N52:P52">
    <cfRule type="expression" dxfId="1008" priority="181">
      <formula>N52&lt;80</formula>
    </cfRule>
    <cfRule type="expression" dxfId="1007" priority="182">
      <formula>N52&gt;90</formula>
    </cfRule>
  </conditionalFormatting>
  <conditionalFormatting sqref="Q51:R52">
    <cfRule type="expression" dxfId="1006" priority="179">
      <formula>Q51&lt;65</formula>
    </cfRule>
    <cfRule type="expression" dxfId="1005" priority="180">
      <formula>Q51&gt;85</formula>
    </cfRule>
  </conditionalFormatting>
  <conditionalFormatting sqref="N50">
    <cfRule type="expression" dxfId="1004" priority="177">
      <formula>N50&lt;55</formula>
    </cfRule>
    <cfRule type="expression" dxfId="1003" priority="178">
      <formula>N50&gt;65</formula>
    </cfRule>
  </conditionalFormatting>
  <conditionalFormatting sqref="Q50">
    <cfRule type="expression" dxfId="1002" priority="175">
      <formula>Q50&lt;55</formula>
    </cfRule>
    <cfRule type="expression" dxfId="1001" priority="176">
      <formula>Q50&gt;65</formula>
    </cfRule>
  </conditionalFormatting>
  <conditionalFormatting sqref="Q51:S51">
    <cfRule type="expression" dxfId="1000" priority="173">
      <formula>Q51&lt;65</formula>
    </cfRule>
    <cfRule type="expression" dxfId="999" priority="174">
      <formula>Q51&gt;85</formula>
    </cfRule>
  </conditionalFormatting>
  <conditionalFormatting sqref="Q52:S52">
    <cfRule type="expression" dxfId="998" priority="171">
      <formula>Q52&lt;80</formula>
    </cfRule>
    <cfRule type="expression" dxfId="997" priority="172">
      <formula>Q52&gt;90</formula>
    </cfRule>
  </conditionalFormatting>
  <conditionalFormatting sqref="Q50">
    <cfRule type="expression" dxfId="996" priority="169">
      <formula>Q50&lt;55</formula>
    </cfRule>
    <cfRule type="expression" dxfId="995" priority="170">
      <formula>Q50&gt;65</formula>
    </cfRule>
  </conditionalFormatting>
  <conditionalFormatting sqref="T51:V51">
    <cfRule type="expression" dxfId="994" priority="167">
      <formula>T51&lt;65</formula>
    </cfRule>
    <cfRule type="expression" dxfId="993" priority="168">
      <formula>T51&gt;85</formula>
    </cfRule>
  </conditionalFormatting>
  <conditionalFormatting sqref="T52:V52">
    <cfRule type="expression" dxfId="992" priority="165">
      <formula>T52&lt;80</formula>
    </cfRule>
    <cfRule type="expression" dxfId="991" priority="166">
      <formula>T52&gt;90</formula>
    </cfRule>
  </conditionalFormatting>
  <conditionalFormatting sqref="W51:X51">
    <cfRule type="expression" dxfId="990" priority="163">
      <formula>W51&lt;65</formula>
    </cfRule>
    <cfRule type="expression" dxfId="989" priority="164">
      <formula>W51&gt;85</formula>
    </cfRule>
  </conditionalFormatting>
  <conditionalFormatting sqref="W52:X52">
    <cfRule type="expression" dxfId="988" priority="161">
      <formula>W52&lt;80</formula>
    </cfRule>
    <cfRule type="expression" dxfId="987" priority="162">
      <formula>W52&gt;90</formula>
    </cfRule>
  </conditionalFormatting>
  <conditionalFormatting sqref="T50">
    <cfRule type="expression" dxfId="986" priority="159">
      <formula>T50&lt;55</formula>
    </cfRule>
    <cfRule type="expression" dxfId="985" priority="160">
      <formula>T50&gt;65</formula>
    </cfRule>
  </conditionalFormatting>
  <conditionalFormatting sqref="W50">
    <cfRule type="expression" dxfId="984" priority="157">
      <formula>W50&lt;55</formula>
    </cfRule>
    <cfRule type="expression" dxfId="983" priority="158">
      <formula>W50&gt;65</formula>
    </cfRule>
  </conditionalFormatting>
  <conditionalFormatting sqref="T51:V51">
    <cfRule type="expression" dxfId="982" priority="155">
      <formula>T51&lt;65</formula>
    </cfRule>
    <cfRule type="expression" dxfId="981" priority="156">
      <formula>T51&gt;85</formula>
    </cfRule>
  </conditionalFormatting>
  <conditionalFormatting sqref="T52:V52">
    <cfRule type="expression" dxfId="980" priority="153">
      <formula>T52&lt;80</formula>
    </cfRule>
    <cfRule type="expression" dxfId="979" priority="154">
      <formula>T52&gt;90</formula>
    </cfRule>
  </conditionalFormatting>
  <conditionalFormatting sqref="W51:X52">
    <cfRule type="expression" dxfId="978" priority="151">
      <formula>W51&lt;65</formula>
    </cfRule>
    <cfRule type="expression" dxfId="977" priority="152">
      <formula>W51&gt;85</formula>
    </cfRule>
  </conditionalFormatting>
  <conditionalFormatting sqref="T50">
    <cfRule type="expression" dxfId="976" priority="149">
      <formula>T50&lt;55</formula>
    </cfRule>
    <cfRule type="expression" dxfId="975" priority="150">
      <formula>T50&gt;65</formula>
    </cfRule>
  </conditionalFormatting>
  <conditionalFormatting sqref="W50">
    <cfRule type="expression" dxfId="974" priority="147">
      <formula>W50&lt;55</formula>
    </cfRule>
    <cfRule type="expression" dxfId="973" priority="148">
      <formula>W50&gt;65</formula>
    </cfRule>
  </conditionalFormatting>
  <conditionalFormatting sqref="W51:Y51">
    <cfRule type="expression" dxfId="972" priority="145">
      <formula>W51&lt;65</formula>
    </cfRule>
    <cfRule type="expression" dxfId="971" priority="146">
      <formula>W51&gt;85</formula>
    </cfRule>
  </conditionalFormatting>
  <conditionalFormatting sqref="W52:Y52">
    <cfRule type="expression" dxfId="970" priority="143">
      <formula>W52&lt;80</formula>
    </cfRule>
    <cfRule type="expression" dxfId="969" priority="144">
      <formula>W52&gt;90</formula>
    </cfRule>
  </conditionalFormatting>
  <conditionalFormatting sqref="W50">
    <cfRule type="expression" dxfId="968" priority="141">
      <formula>W50&lt;55</formula>
    </cfRule>
    <cfRule type="expression" dxfId="967" priority="142">
      <formula>W50&gt;65</formula>
    </cfRule>
  </conditionalFormatting>
  <conditionalFormatting sqref="Z51:AB51">
    <cfRule type="expression" dxfId="966" priority="139">
      <formula>Z51&lt;65</formula>
    </cfRule>
    <cfRule type="expression" dxfId="965" priority="140">
      <formula>Z51&gt;85</formula>
    </cfRule>
  </conditionalFormatting>
  <conditionalFormatting sqref="Z52:AB52">
    <cfRule type="expression" dxfId="964" priority="137">
      <formula>Z52&lt;80</formula>
    </cfRule>
    <cfRule type="expression" dxfId="963" priority="138">
      <formula>Z52&gt;90</formula>
    </cfRule>
  </conditionalFormatting>
  <conditionalFormatting sqref="AC51:AD51">
    <cfRule type="expression" dxfId="962" priority="135">
      <formula>AC51&lt;65</formula>
    </cfRule>
    <cfRule type="expression" dxfId="961" priority="136">
      <formula>AC51&gt;85</formula>
    </cfRule>
  </conditionalFormatting>
  <conditionalFormatting sqref="AC52:AD52">
    <cfRule type="expression" dxfId="960" priority="133">
      <formula>AC52&lt;80</formula>
    </cfRule>
    <cfRule type="expression" dxfId="959" priority="134">
      <formula>AC52&gt;90</formula>
    </cfRule>
  </conditionalFormatting>
  <conditionalFormatting sqref="Z50">
    <cfRule type="expression" dxfId="958" priority="131">
      <formula>Z50&lt;55</formula>
    </cfRule>
    <cfRule type="expression" dxfId="957" priority="132">
      <formula>Z50&gt;65</formula>
    </cfRule>
  </conditionalFormatting>
  <conditionalFormatting sqref="AC50">
    <cfRule type="expression" dxfId="956" priority="129">
      <formula>AC50&lt;55</formula>
    </cfRule>
    <cfRule type="expression" dxfId="955" priority="130">
      <formula>AC50&gt;65</formula>
    </cfRule>
  </conditionalFormatting>
  <conditionalFormatting sqref="Z51:AB51">
    <cfRule type="expression" dxfId="954" priority="127">
      <formula>Z51&lt;65</formula>
    </cfRule>
    <cfRule type="expression" dxfId="953" priority="128">
      <formula>Z51&gt;85</formula>
    </cfRule>
  </conditionalFormatting>
  <conditionalFormatting sqref="Z52:AB52">
    <cfRule type="expression" dxfId="952" priority="125">
      <formula>Z52&lt;80</formula>
    </cfRule>
    <cfRule type="expression" dxfId="951" priority="126">
      <formula>Z52&gt;90</formula>
    </cfRule>
  </conditionalFormatting>
  <conditionalFormatting sqref="AC51:AD52">
    <cfRule type="expression" dxfId="950" priority="123">
      <formula>AC51&lt;65</formula>
    </cfRule>
    <cfRule type="expression" dxfId="949" priority="124">
      <formula>AC51&gt;85</formula>
    </cfRule>
  </conditionalFormatting>
  <conditionalFormatting sqref="Z50">
    <cfRule type="expression" dxfId="948" priority="121">
      <formula>Z50&lt;55</formula>
    </cfRule>
    <cfRule type="expression" dxfId="947" priority="122">
      <formula>Z50&gt;65</formula>
    </cfRule>
  </conditionalFormatting>
  <conditionalFormatting sqref="AC50">
    <cfRule type="expression" dxfId="946" priority="119">
      <formula>AC50&lt;55</formula>
    </cfRule>
    <cfRule type="expression" dxfId="945" priority="120">
      <formula>AC50&gt;65</formula>
    </cfRule>
  </conditionalFormatting>
  <conditionalFormatting sqref="AC51:AE51">
    <cfRule type="expression" dxfId="944" priority="117">
      <formula>AC51&lt;65</formula>
    </cfRule>
    <cfRule type="expression" dxfId="943" priority="118">
      <formula>AC51&gt;85</formula>
    </cfRule>
  </conditionalFormatting>
  <conditionalFormatting sqref="AC52:AE52">
    <cfRule type="expression" dxfId="942" priority="115">
      <formula>AC52&lt;80</formula>
    </cfRule>
    <cfRule type="expression" dxfId="941" priority="116">
      <formula>AC52&gt;90</formula>
    </cfRule>
  </conditionalFormatting>
  <conditionalFormatting sqref="AC50">
    <cfRule type="expression" dxfId="940" priority="113">
      <formula>AC50&lt;55</formula>
    </cfRule>
    <cfRule type="expression" dxfId="939" priority="114">
      <formula>AC50&gt;65</formula>
    </cfRule>
  </conditionalFormatting>
  <conditionalFormatting sqref="AF51:AH51">
    <cfRule type="expression" dxfId="938" priority="111">
      <formula>AF51&lt;65</formula>
    </cfRule>
    <cfRule type="expression" dxfId="937" priority="112">
      <formula>AF51&gt;85</formula>
    </cfRule>
  </conditionalFormatting>
  <conditionalFormatting sqref="AF52:AH52">
    <cfRule type="expression" dxfId="936" priority="109">
      <formula>AF52&lt;80</formula>
    </cfRule>
    <cfRule type="expression" dxfId="935" priority="110">
      <formula>AF52&gt;90</formula>
    </cfRule>
  </conditionalFormatting>
  <conditionalFormatting sqref="AI51:AJ51">
    <cfRule type="expression" dxfId="934" priority="107">
      <formula>AI51&lt;65</formula>
    </cfRule>
    <cfRule type="expression" dxfId="933" priority="108">
      <formula>AI51&gt;85</formula>
    </cfRule>
  </conditionalFormatting>
  <conditionalFormatting sqref="AI52:AJ52">
    <cfRule type="expression" dxfId="932" priority="105">
      <formula>AI52&lt;80</formula>
    </cfRule>
    <cfRule type="expression" dxfId="931" priority="106">
      <formula>AI52&gt;90</formula>
    </cfRule>
  </conditionalFormatting>
  <conditionalFormatting sqref="AF50">
    <cfRule type="expression" dxfId="930" priority="103">
      <formula>AF50&lt;55</formula>
    </cfRule>
    <cfRule type="expression" dxfId="929" priority="104">
      <formula>AF50&gt;65</formula>
    </cfRule>
  </conditionalFormatting>
  <conditionalFormatting sqref="AI50">
    <cfRule type="expression" dxfId="928" priority="101">
      <formula>AI50&lt;55</formula>
    </cfRule>
    <cfRule type="expression" dxfId="927" priority="102">
      <formula>AI50&gt;65</formula>
    </cfRule>
  </conditionalFormatting>
  <conditionalFormatting sqref="AF51:AH51">
    <cfRule type="expression" dxfId="926" priority="99">
      <formula>AF51&lt;65</formula>
    </cfRule>
    <cfRule type="expression" dxfId="925" priority="100">
      <formula>AF51&gt;85</formula>
    </cfRule>
  </conditionalFormatting>
  <conditionalFormatting sqref="AF52:AH52">
    <cfRule type="expression" dxfId="924" priority="97">
      <formula>AF52&lt;80</formula>
    </cfRule>
    <cfRule type="expression" dxfId="923" priority="98">
      <formula>AF52&gt;90</formula>
    </cfRule>
  </conditionalFormatting>
  <conditionalFormatting sqref="AI51:AJ52">
    <cfRule type="expression" dxfId="922" priority="95">
      <formula>AI51&lt;65</formula>
    </cfRule>
    <cfRule type="expression" dxfId="921" priority="96">
      <formula>AI51&gt;85</formula>
    </cfRule>
  </conditionalFormatting>
  <conditionalFormatting sqref="AF50">
    <cfRule type="expression" dxfId="920" priority="93">
      <formula>AF50&lt;55</formula>
    </cfRule>
    <cfRule type="expression" dxfId="919" priority="94">
      <formula>AF50&gt;65</formula>
    </cfRule>
  </conditionalFormatting>
  <conditionalFormatting sqref="AI50">
    <cfRule type="expression" dxfId="918" priority="91">
      <formula>AI50&lt;55</formula>
    </cfRule>
    <cfRule type="expression" dxfId="917" priority="92">
      <formula>AI50&gt;65</formula>
    </cfRule>
  </conditionalFormatting>
  <conditionalFormatting sqref="AI51:AK51">
    <cfRule type="expression" dxfId="916" priority="89">
      <formula>AI51&lt;65</formula>
    </cfRule>
    <cfRule type="expression" dxfId="915" priority="90">
      <formula>AI51&gt;85</formula>
    </cfRule>
  </conditionalFormatting>
  <conditionalFormatting sqref="AI52:AK52">
    <cfRule type="expression" dxfId="914" priority="87">
      <formula>AI52&lt;80</formula>
    </cfRule>
    <cfRule type="expression" dxfId="913" priority="88">
      <formula>AI52&gt;90</formula>
    </cfRule>
  </conditionalFormatting>
  <conditionalFormatting sqref="AI50">
    <cfRule type="expression" dxfId="912" priority="85">
      <formula>AI50&lt;55</formula>
    </cfRule>
    <cfRule type="expression" dxfId="911" priority="86">
      <formula>AI50&gt;65</formula>
    </cfRule>
  </conditionalFormatting>
  <conditionalFormatting sqref="AL51:AN51">
    <cfRule type="expression" dxfId="910" priority="83">
      <formula>AL51&lt;65</formula>
    </cfRule>
    <cfRule type="expression" dxfId="909" priority="84">
      <formula>AL51&gt;85</formula>
    </cfRule>
  </conditionalFormatting>
  <conditionalFormatting sqref="AL52:AN52">
    <cfRule type="expression" dxfId="908" priority="81">
      <formula>AL52&lt;80</formula>
    </cfRule>
    <cfRule type="expression" dxfId="907" priority="82">
      <formula>AL52&gt;90</formula>
    </cfRule>
  </conditionalFormatting>
  <conditionalFormatting sqref="AO51:AP51">
    <cfRule type="expression" dxfId="906" priority="79">
      <formula>AO51&lt;65</formula>
    </cfRule>
    <cfRule type="expression" dxfId="905" priority="80">
      <formula>AO51&gt;85</formula>
    </cfRule>
  </conditionalFormatting>
  <conditionalFormatting sqref="AO52:AP52">
    <cfRule type="expression" dxfId="904" priority="77">
      <formula>AO52&lt;80</formula>
    </cfRule>
    <cfRule type="expression" dxfId="903" priority="78">
      <formula>AO52&gt;90</formula>
    </cfRule>
  </conditionalFormatting>
  <conditionalFormatting sqref="AL50">
    <cfRule type="expression" dxfId="902" priority="75">
      <formula>AL50&lt;55</formula>
    </cfRule>
    <cfRule type="expression" dxfId="901" priority="76">
      <formula>AL50&gt;65</formula>
    </cfRule>
  </conditionalFormatting>
  <conditionalFormatting sqref="AO50">
    <cfRule type="expression" dxfId="900" priority="73">
      <formula>AO50&lt;55</formula>
    </cfRule>
    <cfRule type="expression" dxfId="899" priority="74">
      <formula>AO50&gt;65</formula>
    </cfRule>
  </conditionalFormatting>
  <conditionalFormatting sqref="AL51:AN51">
    <cfRule type="expression" dxfId="898" priority="71">
      <formula>AL51&lt;65</formula>
    </cfRule>
    <cfRule type="expression" dxfId="897" priority="72">
      <formula>AL51&gt;85</formula>
    </cfRule>
  </conditionalFormatting>
  <conditionalFormatting sqref="AL52:AN52">
    <cfRule type="expression" dxfId="896" priority="69">
      <formula>AL52&lt;80</formula>
    </cfRule>
    <cfRule type="expression" dxfId="895" priority="70">
      <formula>AL52&gt;90</formula>
    </cfRule>
  </conditionalFormatting>
  <conditionalFormatting sqref="AO51:AP52">
    <cfRule type="expression" dxfId="894" priority="67">
      <formula>AO51&lt;65</formula>
    </cfRule>
    <cfRule type="expression" dxfId="893" priority="68">
      <formula>AO51&gt;85</formula>
    </cfRule>
  </conditionalFormatting>
  <conditionalFormatting sqref="AL50">
    <cfRule type="expression" dxfId="892" priority="65">
      <formula>AL50&lt;55</formula>
    </cfRule>
    <cfRule type="expression" dxfId="891" priority="66">
      <formula>AL50&gt;65</formula>
    </cfRule>
  </conditionalFormatting>
  <conditionalFormatting sqref="AO50">
    <cfRule type="expression" dxfId="890" priority="63">
      <formula>AO50&lt;55</formula>
    </cfRule>
    <cfRule type="expression" dxfId="889" priority="64">
      <formula>AO50&gt;65</formula>
    </cfRule>
  </conditionalFormatting>
  <conditionalFormatting sqref="AO51:AQ51">
    <cfRule type="expression" dxfId="888" priority="61">
      <formula>AO51&lt;65</formula>
    </cfRule>
    <cfRule type="expression" dxfId="887" priority="62">
      <formula>AO51&gt;85</formula>
    </cfRule>
  </conditionalFormatting>
  <conditionalFormatting sqref="AO52:AQ52">
    <cfRule type="expression" dxfId="886" priority="59">
      <formula>AO52&lt;80</formula>
    </cfRule>
    <cfRule type="expression" dxfId="885" priority="60">
      <formula>AO52&gt;90</formula>
    </cfRule>
  </conditionalFormatting>
  <conditionalFormatting sqref="AO50">
    <cfRule type="expression" dxfId="884" priority="57">
      <formula>AO50&lt;55</formula>
    </cfRule>
    <cfRule type="expression" dxfId="883" priority="58">
      <formula>AO50&gt;65</formula>
    </cfRule>
  </conditionalFormatting>
  <conditionalFormatting sqref="H105">
    <cfRule type="expression" dxfId="882" priority="55">
      <formula>H105&lt;45</formula>
    </cfRule>
    <cfRule type="expression" dxfId="881" priority="56">
      <formula>H105&gt;65</formula>
    </cfRule>
  </conditionalFormatting>
  <conditionalFormatting sqref="H99">
    <cfRule type="expression" dxfId="880" priority="53">
      <formula>H99&lt;6</formula>
    </cfRule>
    <cfRule type="expression" dxfId="879" priority="54">
      <formula>H99&gt;8</formula>
    </cfRule>
  </conditionalFormatting>
  <conditionalFormatting sqref="H102">
    <cfRule type="expression" dxfId="878" priority="51">
      <formula>H102&lt;5.4</formula>
    </cfRule>
    <cfRule type="expression" dxfId="877" priority="52">
      <formula>H102&gt;5.8</formula>
    </cfRule>
  </conditionalFormatting>
  <conditionalFormatting sqref="H106">
    <cfRule type="expression" dxfId="876" priority="49">
      <formula>H106&lt;45</formula>
    </cfRule>
    <cfRule type="expression" dxfId="875" priority="50">
      <formula>H106&gt;65</formula>
    </cfRule>
  </conditionalFormatting>
  <conditionalFormatting sqref="H110">
    <cfRule type="expression" dxfId="874" priority="47">
      <formula>H110&lt;30</formula>
    </cfRule>
    <cfRule type="expression" dxfId="873" priority="48">
      <formula>H110&gt;60</formula>
    </cfRule>
  </conditionalFormatting>
  <conditionalFormatting sqref="H113">
    <cfRule type="expression" dxfId="872" priority="45">
      <formula>H113&lt;55</formula>
    </cfRule>
    <cfRule type="expression" dxfId="871" priority="46">
      <formula>H113&gt;65</formula>
    </cfRule>
  </conditionalFormatting>
  <conditionalFormatting sqref="K114">
    <cfRule type="expression" dxfId="870" priority="43">
      <formula>K114&lt;100</formula>
    </cfRule>
    <cfRule type="expression" dxfId="869" priority="44">
      <formula>K114&gt;110</formula>
    </cfRule>
  </conditionalFormatting>
  <conditionalFormatting sqref="K105">
    <cfRule type="expression" dxfId="868" priority="41">
      <formula>K105&lt;45</formula>
    </cfRule>
    <cfRule type="expression" dxfId="867" priority="42">
      <formula>K105&gt;65</formula>
    </cfRule>
  </conditionalFormatting>
  <conditionalFormatting sqref="K106">
    <cfRule type="expression" dxfId="866" priority="39">
      <formula>K106&lt;45</formula>
    </cfRule>
    <cfRule type="expression" dxfId="865" priority="40">
      <formula>K106&gt;65</formula>
    </cfRule>
  </conditionalFormatting>
  <conditionalFormatting sqref="K110">
    <cfRule type="expression" dxfId="864" priority="37">
      <formula>K110&lt;30</formula>
    </cfRule>
    <cfRule type="expression" dxfId="863" priority="38">
      <formula>K110&gt;60</formula>
    </cfRule>
  </conditionalFormatting>
  <conditionalFormatting sqref="K113">
    <cfRule type="expression" dxfId="862" priority="35">
      <formula>K113&lt;55</formula>
    </cfRule>
    <cfRule type="expression" dxfId="861" priority="36">
      <formula>K113&gt;65</formula>
    </cfRule>
  </conditionalFormatting>
  <conditionalFormatting sqref="N105">
    <cfRule type="expression" dxfId="860" priority="33">
      <formula>N105&lt;45</formula>
    </cfRule>
    <cfRule type="expression" dxfId="859" priority="34">
      <formula>N105&gt;65</formula>
    </cfRule>
  </conditionalFormatting>
  <conditionalFormatting sqref="N106">
    <cfRule type="expression" dxfId="858" priority="31">
      <formula>N106&lt;45</formula>
    </cfRule>
    <cfRule type="expression" dxfId="857" priority="32">
      <formula>N106&gt;65</formula>
    </cfRule>
  </conditionalFormatting>
  <conditionalFormatting sqref="N110">
    <cfRule type="expression" dxfId="856" priority="29">
      <formula>N110&lt;30</formula>
    </cfRule>
    <cfRule type="expression" dxfId="855" priority="30">
      <formula>N110&gt;60</formula>
    </cfRule>
  </conditionalFormatting>
  <conditionalFormatting sqref="N113">
    <cfRule type="expression" dxfId="854" priority="27">
      <formula>N113&lt;55</formula>
    </cfRule>
    <cfRule type="expression" dxfId="853" priority="28">
      <formula>N113&gt;65</formula>
    </cfRule>
  </conditionalFormatting>
  <conditionalFormatting sqref="Q114">
    <cfRule type="expression" dxfId="852" priority="25">
      <formula>Q114&lt;100</formula>
    </cfRule>
    <cfRule type="expression" dxfId="851" priority="26">
      <formula>Q114&gt;110</formula>
    </cfRule>
  </conditionalFormatting>
  <conditionalFormatting sqref="Q105">
    <cfRule type="expression" dxfId="850" priority="23">
      <formula>Q105&lt;45</formula>
    </cfRule>
    <cfRule type="expression" dxfId="849" priority="24">
      <formula>Q105&gt;65</formula>
    </cfRule>
  </conditionalFormatting>
  <conditionalFormatting sqref="Q106">
    <cfRule type="expression" dxfId="848" priority="21">
      <formula>Q106&lt;45</formula>
    </cfRule>
    <cfRule type="expression" dxfId="847" priority="22">
      <formula>Q106&gt;65</formula>
    </cfRule>
  </conditionalFormatting>
  <conditionalFormatting sqref="Q110">
    <cfRule type="expression" dxfId="846" priority="19">
      <formula>Q110&lt;30</formula>
    </cfRule>
    <cfRule type="expression" dxfId="845" priority="20">
      <formula>Q110&gt;60</formula>
    </cfRule>
  </conditionalFormatting>
  <conditionalFormatting sqref="Q113">
    <cfRule type="expression" dxfId="844" priority="17">
      <formula>Q113&lt;55</formula>
    </cfRule>
    <cfRule type="expression" dxfId="843" priority="18">
      <formula>Q113&gt;65</formula>
    </cfRule>
  </conditionalFormatting>
  <conditionalFormatting sqref="N99">
    <cfRule type="expression" dxfId="842" priority="15">
      <formula>N99&lt;6</formula>
    </cfRule>
    <cfRule type="expression" dxfId="841" priority="16">
      <formula>N99&gt;8</formula>
    </cfRule>
  </conditionalFormatting>
  <conditionalFormatting sqref="N102">
    <cfRule type="expression" dxfId="840" priority="13">
      <formula>N102&lt;5.4</formula>
    </cfRule>
    <cfRule type="expression" dxfId="839" priority="14">
      <formula>N102&gt;5.8</formula>
    </cfRule>
  </conditionalFormatting>
  <conditionalFormatting sqref="H107">
    <cfRule type="expression" dxfId="838" priority="11">
      <formula>H107&lt;18</formula>
    </cfRule>
    <cfRule type="expression" dxfId="837" priority="12">
      <formula>H107&gt;25</formula>
    </cfRule>
  </conditionalFormatting>
  <conditionalFormatting sqref="H108:H109">
    <cfRule type="expression" dxfId="836" priority="9">
      <formula>H108&lt;18</formula>
    </cfRule>
    <cfRule type="expression" dxfId="835" priority="10">
      <formula>H108&gt;25</formula>
    </cfRule>
  </conditionalFormatting>
  <conditionalFormatting sqref="K107 N107 Q107">
    <cfRule type="expression" dxfId="834" priority="7">
      <formula>K107&lt;18</formula>
    </cfRule>
    <cfRule type="expression" dxfId="833" priority="8">
      <formula>K107&gt;25</formula>
    </cfRule>
  </conditionalFormatting>
  <conditionalFormatting sqref="K108:K109 N108:N109 Q108:Q109">
    <cfRule type="expression" dxfId="832" priority="5">
      <formula>K108&lt;18</formula>
    </cfRule>
    <cfRule type="expression" dxfId="831" priority="6">
      <formula>K108&gt;25</formula>
    </cfRule>
  </conditionalFormatting>
  <conditionalFormatting sqref="H100">
    <cfRule type="expression" dxfId="830" priority="3">
      <formula>H100&lt;5.4</formula>
    </cfRule>
    <cfRule type="expression" dxfId="829" priority="4">
      <formula>H100&gt;5.8</formula>
    </cfRule>
  </conditionalFormatting>
  <conditionalFormatting sqref="H101">
    <cfRule type="expression" dxfId="828" priority="1">
      <formula>H101&lt;5.4</formula>
    </cfRule>
    <cfRule type="expression" dxfId="827" priority="2">
      <formula>H101&gt;5.8</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3" max="1048575" man="1"/>
  </colBreaks>
  <drawing r:id="rId2"/>
</worksheet>
</file>

<file path=xl/worksheets/sheet33.xml><?xml version="1.0" encoding="utf-8"?>
<worksheet xmlns="http://schemas.openxmlformats.org/spreadsheetml/2006/main" xmlns:r="http://schemas.openxmlformats.org/officeDocument/2006/relationships">
  <sheetPr codeName="Sheet22">
    <tabColor rgb="FFFFC000"/>
  </sheetPr>
  <dimension ref="A1:P34"/>
  <sheetViews>
    <sheetView topLeftCell="A13" zoomScale="55" zoomScaleNormal="55" workbookViewId="0">
      <selection activeCell="U13" sqref="U13"/>
    </sheetView>
  </sheetViews>
  <sheetFormatPr defaultRowHeight="15"/>
  <cols>
    <col min="1" max="1" width="4.125" style="924" customWidth="1"/>
    <col min="2" max="2" width="8.875" style="32" customWidth="1"/>
    <col min="3" max="3" width="6.125" style="32" customWidth="1"/>
    <col min="4" max="4" width="2.875" style="32" customWidth="1"/>
    <col min="5" max="5" width="12.375" style="32" customWidth="1"/>
    <col min="6" max="6" width="9.25" style="19" customWidth="1"/>
    <col min="7" max="7" width="16.125" style="33" customWidth="1"/>
    <col min="8" max="8" width="12.875" style="19" customWidth="1"/>
    <col min="9" max="9" width="3.75" style="19" customWidth="1"/>
    <col min="10" max="10" width="8.375" style="19" customWidth="1"/>
    <col min="11" max="11" width="3.75" style="19" customWidth="1"/>
    <col min="12" max="12" width="12.875" style="19" customWidth="1"/>
    <col min="13" max="13" width="5" style="19" customWidth="1"/>
    <col min="14" max="14" width="8.75" style="19" customWidth="1"/>
    <col min="15" max="15" width="6.125" style="19" customWidth="1"/>
    <col min="16" max="16" width="14.25" style="19" customWidth="1"/>
    <col min="17" max="16384" width="9" style="19"/>
  </cols>
  <sheetData>
    <row r="1" spans="1:16" ht="36" customHeight="1">
      <c r="A1" s="2488" t="s">
        <v>604</v>
      </c>
      <c r="B1" s="2488"/>
      <c r="C1" s="2488"/>
      <c r="D1" s="2488"/>
      <c r="E1" s="2488"/>
      <c r="F1" s="2488"/>
      <c r="G1" s="2488"/>
      <c r="H1" s="2488"/>
      <c r="I1" s="2488"/>
      <c r="J1" s="2488"/>
      <c r="K1" s="507"/>
      <c r="L1" s="508"/>
      <c r="M1" s="508"/>
      <c r="N1" s="507"/>
      <c r="O1" s="507"/>
      <c r="P1" s="509">
        <f>'1. XL-1E kh'!$AG$1</f>
        <v>0</v>
      </c>
    </row>
    <row r="2" spans="1:16" ht="51" customHeight="1">
      <c r="A2" s="2489" t="s">
        <v>605</v>
      </c>
      <c r="B2" s="2489"/>
      <c r="C2" s="2489"/>
      <c r="D2" s="2489"/>
      <c r="E2" s="2489"/>
      <c r="F2" s="2489"/>
      <c r="G2" s="2489"/>
      <c r="H2" s="2489"/>
      <c r="I2" s="2489"/>
      <c r="J2" s="2489"/>
      <c r="K2" s="2489"/>
      <c r="L2" s="2489"/>
      <c r="M2" s="2489"/>
      <c r="N2" s="2268" t="s">
        <v>96</v>
      </c>
      <c r="O2" s="2130"/>
      <c r="P2" s="360" t="s">
        <v>97</v>
      </c>
    </row>
    <row r="3" spans="1:16" ht="38.25" customHeight="1">
      <c r="A3" s="921"/>
      <c r="B3" s="510"/>
      <c r="C3" s="24"/>
      <c r="D3" s="24"/>
      <c r="E3" s="25"/>
      <c r="F3" s="511"/>
      <c r="G3" s="1728" t="str">
        <f>'1. XL-1E kh'!$G$3</f>
        <v>2023/03/21</v>
      </c>
      <c r="H3" s="512"/>
      <c r="I3" s="512"/>
      <c r="J3" s="512"/>
      <c r="K3" s="512"/>
      <c r="L3" s="512"/>
      <c r="M3" s="512"/>
      <c r="N3" s="2490" t="str">
        <f>'1. XL-1E kh'!$AD$3</f>
        <v>Trang</v>
      </c>
      <c r="O3" s="2491"/>
      <c r="P3" s="3" t="s">
        <v>11</v>
      </c>
    </row>
    <row r="4" spans="1:16" s="518" customFormat="1" ht="42.75" customHeight="1">
      <c r="A4" s="2492" t="s">
        <v>7</v>
      </c>
      <c r="B4" s="2493" t="s">
        <v>79</v>
      </c>
      <c r="C4" s="2494"/>
      <c r="D4" s="2494"/>
      <c r="E4" s="2495"/>
      <c r="F4" s="2487" t="s">
        <v>101</v>
      </c>
      <c r="G4" s="2503" t="s">
        <v>67</v>
      </c>
      <c r="H4" s="513"/>
      <c r="I4" s="514" t="s">
        <v>606</v>
      </c>
      <c r="J4" s="515"/>
      <c r="K4" s="515"/>
      <c r="L4" s="515"/>
      <c r="M4" s="515"/>
      <c r="N4" s="516"/>
      <c r="O4" s="517"/>
      <c r="P4" s="2483" t="s">
        <v>98</v>
      </c>
    </row>
    <row r="5" spans="1:16" s="518" customFormat="1" ht="31.5" customHeight="1">
      <c r="A5" s="2492"/>
      <c r="B5" s="2496"/>
      <c r="C5" s="2497"/>
      <c r="D5" s="2497"/>
      <c r="E5" s="2498"/>
      <c r="F5" s="2487"/>
      <c r="G5" s="2504"/>
      <c r="H5" s="2485">
        <v>0.375</v>
      </c>
      <c r="I5" s="2486"/>
      <c r="J5" s="2486"/>
      <c r="K5" s="2486"/>
      <c r="L5" s="2485">
        <v>0.54166666666666663</v>
      </c>
      <c r="M5" s="2486"/>
      <c r="N5" s="2486"/>
      <c r="O5" s="2486"/>
      <c r="P5" s="2484"/>
    </row>
    <row r="6" spans="1:16" s="518" customFormat="1" ht="37.5" customHeight="1">
      <c r="A6" s="2492"/>
      <c r="B6" s="2499"/>
      <c r="C6" s="2500"/>
      <c r="D6" s="2500"/>
      <c r="E6" s="2501"/>
      <c r="F6" s="2502"/>
      <c r="G6" s="2505"/>
      <c r="H6" s="519" t="s">
        <v>607</v>
      </c>
      <c r="I6" s="2487" t="s">
        <v>1</v>
      </c>
      <c r="J6" s="2487"/>
      <c r="K6" s="2487"/>
      <c r="L6" s="519" t="s">
        <v>607</v>
      </c>
      <c r="M6" s="2487" t="s">
        <v>1</v>
      </c>
      <c r="N6" s="2487"/>
      <c r="O6" s="2487"/>
      <c r="P6" s="2209"/>
    </row>
    <row r="7" spans="1:16" ht="42" customHeight="1">
      <c r="A7" s="920">
        <v>1</v>
      </c>
      <c r="B7" s="2291" t="s">
        <v>608</v>
      </c>
      <c r="C7" s="2312"/>
      <c r="D7" s="2312" t="s">
        <v>108</v>
      </c>
      <c r="E7" s="2292"/>
      <c r="F7" s="52" t="s">
        <v>466</v>
      </c>
      <c r="G7" s="119" t="s">
        <v>510</v>
      </c>
      <c r="H7" s="1849">
        <f>'R.FILE GOC'!H57</f>
        <v>0</v>
      </c>
      <c r="I7" s="1199" t="s">
        <v>8</v>
      </c>
      <c r="J7" s="63">
        <f>'R.FILE GOC'!K57</f>
        <v>108.21599999999999</v>
      </c>
      <c r="K7" s="64" t="s">
        <v>9</v>
      </c>
      <c r="L7" s="1849">
        <f>'R.FILE GOC'!N57</f>
        <v>0</v>
      </c>
      <c r="M7" s="62" t="s">
        <v>8</v>
      </c>
      <c r="N7" s="63">
        <f>'R.FILE GOC'!Q57</f>
        <v>108.21599999999999</v>
      </c>
      <c r="O7" s="64" t="s">
        <v>9</v>
      </c>
      <c r="P7" s="300"/>
    </row>
    <row r="8" spans="1:16" ht="42" customHeight="1">
      <c r="A8" s="920">
        <v>2</v>
      </c>
      <c r="B8" s="2291" t="s">
        <v>609</v>
      </c>
      <c r="C8" s="2312" t="s">
        <v>513</v>
      </c>
      <c r="D8" s="2312" t="s">
        <v>513</v>
      </c>
      <c r="E8" s="2292" t="s">
        <v>513</v>
      </c>
      <c r="F8" s="52" t="s">
        <v>466</v>
      </c>
      <c r="G8" s="119" t="s">
        <v>510</v>
      </c>
      <c r="H8" s="1849">
        <f>'R.FILE GOC'!H58</f>
        <v>0</v>
      </c>
      <c r="I8" s="1199" t="s">
        <v>8</v>
      </c>
      <c r="J8" s="63">
        <f>'R.FILE GOC'!K58</f>
        <v>108.21599999999999</v>
      </c>
      <c r="K8" s="64" t="s">
        <v>9</v>
      </c>
      <c r="L8" s="1849">
        <f>'R.FILE GOC'!N58</f>
        <v>0</v>
      </c>
      <c r="M8" s="62" t="s">
        <v>8</v>
      </c>
      <c r="N8" s="63">
        <f>'R.FILE GOC'!Q58</f>
        <v>108.21599999999999</v>
      </c>
      <c r="O8" s="64" t="s">
        <v>9</v>
      </c>
      <c r="P8" s="20"/>
    </row>
    <row r="9" spans="1:16" ht="42" customHeight="1">
      <c r="A9" s="920">
        <v>3</v>
      </c>
      <c r="B9" s="2291" t="s">
        <v>610</v>
      </c>
      <c r="C9" s="2312" t="s">
        <v>611</v>
      </c>
      <c r="D9" s="2312" t="s">
        <v>611</v>
      </c>
      <c r="E9" s="2292" t="s">
        <v>611</v>
      </c>
      <c r="F9" s="52" t="s">
        <v>466</v>
      </c>
      <c r="G9" s="119" t="s">
        <v>510</v>
      </c>
      <c r="H9" s="1849">
        <f>'R.FILE GOC'!H59</f>
        <v>0</v>
      </c>
      <c r="I9" s="1199" t="s">
        <v>8</v>
      </c>
      <c r="J9" s="63">
        <f>'R.FILE GOC'!K59</f>
        <v>134.86500000000001</v>
      </c>
      <c r="K9" s="64" t="s">
        <v>10</v>
      </c>
      <c r="L9" s="1849">
        <f>'R.FILE GOC'!N59</f>
        <v>0</v>
      </c>
      <c r="M9" s="62" t="s">
        <v>8</v>
      </c>
      <c r="N9" s="63">
        <f>'R.FILE GOC'!Q59</f>
        <v>134.86500000000001</v>
      </c>
      <c r="O9" s="64" t="s">
        <v>10</v>
      </c>
      <c r="P9" s="20"/>
    </row>
    <row r="10" spans="1:16" ht="42" customHeight="1">
      <c r="A10" s="920">
        <v>4</v>
      </c>
      <c r="B10" s="2291" t="s">
        <v>612</v>
      </c>
      <c r="C10" s="2312" t="s">
        <v>613</v>
      </c>
      <c r="D10" s="2312" t="s">
        <v>613</v>
      </c>
      <c r="E10" s="2292" t="s">
        <v>613</v>
      </c>
      <c r="F10" s="52" t="s">
        <v>466</v>
      </c>
      <c r="G10" s="119" t="s">
        <v>1031</v>
      </c>
      <c r="H10" s="338">
        <f>'R.FILE GOC'!H60</f>
        <v>0</v>
      </c>
      <c r="I10" s="62" t="s">
        <v>8</v>
      </c>
      <c r="J10" s="63">
        <f>'R.FILE GOC'!K60</f>
        <v>124.63199999999999</v>
      </c>
      <c r="K10" s="64" t="s">
        <v>9</v>
      </c>
      <c r="L10" s="338">
        <f>'R.FILE GOC'!N60</f>
        <v>0</v>
      </c>
      <c r="M10" s="62" t="s">
        <v>8</v>
      </c>
      <c r="N10" s="63">
        <f>'R.FILE GOC'!Q60</f>
        <v>124.63199999999999</v>
      </c>
      <c r="O10" s="64" t="s">
        <v>9</v>
      </c>
      <c r="P10" s="300"/>
    </row>
    <row r="11" spans="1:16" ht="42" customHeight="1">
      <c r="A11" s="920">
        <v>5</v>
      </c>
      <c r="B11" s="2477" t="s">
        <v>614</v>
      </c>
      <c r="C11" s="2478" t="s">
        <v>615</v>
      </c>
      <c r="D11" s="2478" t="s">
        <v>615</v>
      </c>
      <c r="E11" s="2479" t="s">
        <v>615</v>
      </c>
      <c r="F11" s="52" t="s">
        <v>466</v>
      </c>
      <c r="G11" s="119" t="s">
        <v>520</v>
      </c>
      <c r="H11" s="463">
        <f>'R.FILE GOC'!H61</f>
        <v>0</v>
      </c>
      <c r="I11" s="62" t="s">
        <v>8</v>
      </c>
      <c r="J11" s="63">
        <f>'R.FILE GOC'!K61</f>
        <v>0</v>
      </c>
      <c r="K11" s="64" t="s">
        <v>9</v>
      </c>
      <c r="L11" s="463">
        <f>'R.FILE GOC'!N61</f>
        <v>0</v>
      </c>
      <c r="M11" s="62" t="s">
        <v>8</v>
      </c>
      <c r="N11" s="63">
        <f>'R.FILE GOC'!Q61</f>
        <v>0</v>
      </c>
      <c r="O11" s="64" t="s">
        <v>9</v>
      </c>
      <c r="P11" s="20"/>
    </row>
    <row r="12" spans="1:16" ht="42" customHeight="1">
      <c r="A12" s="920">
        <v>6</v>
      </c>
      <c r="B12" s="2477" t="s">
        <v>616</v>
      </c>
      <c r="C12" s="2478" t="s">
        <v>617</v>
      </c>
      <c r="D12" s="2478" t="s">
        <v>617</v>
      </c>
      <c r="E12" s="2479" t="s">
        <v>617</v>
      </c>
      <c r="F12" s="52" t="s">
        <v>466</v>
      </c>
      <c r="G12" s="119" t="s">
        <v>523</v>
      </c>
      <c r="H12" s="338">
        <f>'R.FILE GOC'!H62</f>
        <v>0</v>
      </c>
      <c r="I12" s="62" t="s">
        <v>8</v>
      </c>
      <c r="J12" s="63">
        <f>'R.FILE GOC'!K62</f>
        <v>213.84</v>
      </c>
      <c r="K12" s="64" t="s">
        <v>9</v>
      </c>
      <c r="L12" s="338">
        <f>'R.FILE GOC'!N62</f>
        <v>0</v>
      </c>
      <c r="M12" s="62" t="s">
        <v>8</v>
      </c>
      <c r="N12" s="63">
        <f>'R.FILE GOC'!Q62</f>
        <v>213.84</v>
      </c>
      <c r="O12" s="64" t="s">
        <v>9</v>
      </c>
      <c r="P12" s="300"/>
    </row>
    <row r="13" spans="1:16" ht="42" customHeight="1">
      <c r="A13" s="920">
        <v>7</v>
      </c>
      <c r="B13" s="2477" t="s">
        <v>618</v>
      </c>
      <c r="C13" s="2478" t="s">
        <v>619</v>
      </c>
      <c r="D13" s="2478" t="s">
        <v>619</v>
      </c>
      <c r="E13" s="2479" t="s">
        <v>619</v>
      </c>
      <c r="F13" s="52" t="s">
        <v>466</v>
      </c>
      <c r="G13" s="119" t="s">
        <v>526</v>
      </c>
      <c r="H13" s="338">
        <f>'R.FILE GOC'!H63</f>
        <v>0</v>
      </c>
      <c r="I13" s="62" t="s">
        <v>8</v>
      </c>
      <c r="J13" s="63">
        <f>'R.FILE GOC'!K63</f>
        <v>7.8367500000000003</v>
      </c>
      <c r="K13" s="64" t="s">
        <v>9</v>
      </c>
      <c r="L13" s="338">
        <f>'R.FILE GOC'!N63</f>
        <v>0</v>
      </c>
      <c r="M13" s="62" t="s">
        <v>8</v>
      </c>
      <c r="N13" s="63">
        <f>'R.FILE GOC'!Q63</f>
        <v>7.8367500000000003</v>
      </c>
      <c r="O13" s="64" t="s">
        <v>9</v>
      </c>
      <c r="P13" s="20"/>
    </row>
    <row r="14" spans="1:16" ht="42" customHeight="1">
      <c r="A14" s="920">
        <v>8</v>
      </c>
      <c r="B14" s="2291" t="s">
        <v>620</v>
      </c>
      <c r="C14" s="2312" t="s">
        <v>528</v>
      </c>
      <c r="D14" s="2312" t="s">
        <v>528</v>
      </c>
      <c r="E14" s="2292" t="s">
        <v>528</v>
      </c>
      <c r="F14" s="52" t="s">
        <v>5</v>
      </c>
      <c r="G14" s="119" t="s">
        <v>529</v>
      </c>
      <c r="H14" s="338">
        <f>'R.FILE GOC'!H64</f>
        <v>0</v>
      </c>
      <c r="I14" s="62"/>
      <c r="J14" s="63"/>
      <c r="K14" s="64"/>
      <c r="L14" s="338">
        <f>'R.FILE GOC'!N64</f>
        <v>0</v>
      </c>
      <c r="M14" s="62"/>
      <c r="N14" s="63"/>
      <c r="O14" s="64"/>
      <c r="P14" s="20"/>
    </row>
    <row r="15" spans="1:16" ht="42" customHeight="1">
      <c r="A15" s="920">
        <v>9</v>
      </c>
      <c r="B15" s="2477" t="s">
        <v>621</v>
      </c>
      <c r="C15" s="2478" t="s">
        <v>619</v>
      </c>
      <c r="D15" s="2478" t="s">
        <v>619</v>
      </c>
      <c r="E15" s="2479" t="s">
        <v>619</v>
      </c>
      <c r="F15" s="52" t="s">
        <v>5</v>
      </c>
      <c r="G15" s="119" t="s">
        <v>532</v>
      </c>
      <c r="H15" s="520">
        <f>'R.FILE GOC'!H65</f>
        <v>0</v>
      </c>
      <c r="I15" s="62"/>
      <c r="J15" s="63"/>
      <c r="K15" s="64"/>
      <c r="L15" s="520">
        <f>'R.FILE GOC'!N65</f>
        <v>0</v>
      </c>
      <c r="M15" s="62"/>
      <c r="N15" s="63"/>
      <c r="O15" s="64"/>
      <c r="P15" s="20"/>
    </row>
    <row r="16" spans="1:16" ht="36.75" hidden="1" customHeight="1">
      <c r="A16" s="920">
        <v>10</v>
      </c>
      <c r="B16" s="2477" t="s">
        <v>622</v>
      </c>
      <c r="C16" s="2478" t="s">
        <v>619</v>
      </c>
      <c r="D16" s="2478" t="s">
        <v>619</v>
      </c>
      <c r="E16" s="2479" t="s">
        <v>619</v>
      </c>
      <c r="F16" s="52" t="s">
        <v>5</v>
      </c>
      <c r="G16" s="119" t="s">
        <v>532</v>
      </c>
      <c r="H16" s="521">
        <f>'R.FILE GOC'!H66</f>
        <v>0</v>
      </c>
      <c r="I16" s="62"/>
      <c r="J16" s="63"/>
      <c r="K16" s="64"/>
      <c r="L16" s="521">
        <f>'R.FILE GOC'!N66</f>
        <v>0</v>
      </c>
      <c r="M16" s="62"/>
      <c r="N16" s="63"/>
      <c r="O16" s="64"/>
      <c r="P16" s="20"/>
    </row>
    <row r="17" spans="1:16" ht="39.75" customHeight="1">
      <c r="A17" s="920">
        <v>11</v>
      </c>
      <c r="B17" s="2477" t="s">
        <v>406</v>
      </c>
      <c r="C17" s="2478"/>
      <c r="D17" s="2478"/>
      <c r="E17" s="2479"/>
      <c r="F17" s="52" t="s">
        <v>3</v>
      </c>
      <c r="G17" s="485" t="s">
        <v>407</v>
      </c>
      <c r="H17" s="486" t="str">
        <f>'R.FILE GOC'!H67</f>
        <v/>
      </c>
      <c r="I17" s="62" t="s">
        <v>8</v>
      </c>
      <c r="J17" s="63" t="str">
        <f>'R.FILE GOC'!K67</f>
        <v/>
      </c>
      <c r="K17" s="64" t="s">
        <v>10</v>
      </c>
      <c r="L17" s="1105" t="s">
        <v>1032</v>
      </c>
      <c r="M17" s="62"/>
      <c r="N17" s="63"/>
      <c r="O17" s="64"/>
      <c r="P17" s="1105"/>
    </row>
    <row r="18" spans="1:16" ht="39.75" customHeight="1">
      <c r="A18" s="920">
        <v>12</v>
      </c>
      <c r="B18" s="2477" t="s">
        <v>408</v>
      </c>
      <c r="C18" s="2478"/>
      <c r="D18" s="2478"/>
      <c r="E18" s="2479"/>
      <c r="F18" s="52" t="s">
        <v>3</v>
      </c>
      <c r="G18" s="485" t="s">
        <v>409</v>
      </c>
      <c r="H18" s="486" t="str">
        <f>'R.FILE GOC'!H68</f>
        <v/>
      </c>
      <c r="I18" s="62" t="s">
        <v>8</v>
      </c>
      <c r="J18" s="63" t="str">
        <f>'R.FILE GOC'!K68</f>
        <v/>
      </c>
      <c r="K18" s="64" t="s">
        <v>10</v>
      </c>
      <c r="L18" s="1105" t="s">
        <v>1033</v>
      </c>
      <c r="M18" s="62"/>
      <c r="N18" s="63"/>
      <c r="O18" s="64"/>
      <c r="P18" s="20"/>
    </row>
    <row r="19" spans="1:16" ht="36.75" hidden="1" customHeight="1">
      <c r="A19" s="920">
        <v>13</v>
      </c>
      <c r="B19" s="2477" t="s">
        <v>410</v>
      </c>
      <c r="C19" s="2478"/>
      <c r="D19" s="2478"/>
      <c r="E19" s="2479"/>
      <c r="F19" s="52" t="s">
        <v>3</v>
      </c>
      <c r="G19" s="485" t="s">
        <v>407</v>
      </c>
      <c r="H19" s="487" t="str">
        <f>'R.FILE GOC'!H69</f>
        <v/>
      </c>
      <c r="I19" s="62"/>
      <c r="J19" s="63" t="str">
        <f>'R.FILE GOC'!K69</f>
        <v/>
      </c>
      <c r="K19" s="64"/>
      <c r="L19" s="1105"/>
      <c r="M19" s="62"/>
      <c r="N19" s="63"/>
      <c r="O19" s="64"/>
      <c r="P19" s="20"/>
    </row>
    <row r="20" spans="1:16" ht="36.75" hidden="1" customHeight="1">
      <c r="A20" s="920">
        <v>14</v>
      </c>
      <c r="B20" s="2477" t="s">
        <v>411</v>
      </c>
      <c r="C20" s="2478"/>
      <c r="D20" s="2478"/>
      <c r="E20" s="2479"/>
      <c r="F20" s="52" t="s">
        <v>3</v>
      </c>
      <c r="G20" s="485" t="s">
        <v>409</v>
      </c>
      <c r="H20" s="487" t="str">
        <f>'R.FILE GOC'!H70</f>
        <v/>
      </c>
      <c r="I20" s="62"/>
      <c r="J20" s="63" t="str">
        <f>'R.FILE GOC'!K70</f>
        <v/>
      </c>
      <c r="K20" s="64"/>
      <c r="L20" s="1105"/>
      <c r="M20" s="62"/>
      <c r="N20" s="63"/>
      <c r="O20" s="64"/>
      <c r="P20" s="20"/>
    </row>
    <row r="21" spans="1:16" ht="41.25" customHeight="1">
      <c r="A21" s="920">
        <v>15</v>
      </c>
      <c r="B21" s="2477" t="s">
        <v>412</v>
      </c>
      <c r="C21" s="2478" t="s">
        <v>412</v>
      </c>
      <c r="D21" s="2478" t="s">
        <v>412</v>
      </c>
      <c r="E21" s="2479" t="s">
        <v>412</v>
      </c>
      <c r="F21" s="52" t="s">
        <v>3</v>
      </c>
      <c r="G21" s="119" t="s">
        <v>413</v>
      </c>
      <c r="H21" s="67" t="str">
        <f>'R.FILE GOC'!H71</f>
        <v/>
      </c>
      <c r="I21" s="62"/>
      <c r="J21" s="63"/>
      <c r="K21" s="64"/>
      <c r="L21" s="1105" t="s">
        <v>1032</v>
      </c>
      <c r="M21" s="62"/>
      <c r="N21" s="63"/>
      <c r="O21" s="64"/>
      <c r="P21" s="20"/>
    </row>
    <row r="22" spans="1:16" ht="41.25" customHeight="1">
      <c r="A22" s="920">
        <v>16</v>
      </c>
      <c r="B22" s="2477" t="s">
        <v>415</v>
      </c>
      <c r="C22" s="2478" t="s">
        <v>415</v>
      </c>
      <c r="D22" s="2478" t="s">
        <v>415</v>
      </c>
      <c r="E22" s="2479" t="s">
        <v>415</v>
      </c>
      <c r="F22" s="52" t="s">
        <v>3</v>
      </c>
      <c r="G22" s="119" t="s">
        <v>416</v>
      </c>
      <c r="H22" s="67" t="str">
        <f>'R.FILE GOC'!H72</f>
        <v/>
      </c>
      <c r="I22" s="62"/>
      <c r="J22" s="63"/>
      <c r="K22" s="64"/>
      <c r="L22" s="1105" t="s">
        <v>1032</v>
      </c>
      <c r="M22" s="62"/>
      <c r="N22" s="63"/>
      <c r="O22" s="64"/>
      <c r="P22" s="20"/>
    </row>
    <row r="23" spans="1:16" ht="48.75" customHeight="1">
      <c r="A23" s="922"/>
      <c r="B23" s="522"/>
      <c r="C23" s="523"/>
      <c r="D23" s="523"/>
      <c r="E23" s="523"/>
      <c r="F23" s="523"/>
      <c r="G23" s="523"/>
      <c r="H23" s="524" t="s">
        <v>117</v>
      </c>
      <c r="I23" s="523"/>
      <c r="J23" s="523"/>
      <c r="K23" s="523"/>
      <c r="L23" s="523"/>
      <c r="M23" s="523"/>
      <c r="N23" s="523"/>
      <c r="O23" s="523"/>
      <c r="P23" s="525"/>
    </row>
    <row r="24" spans="1:16" ht="59.25" customHeight="1">
      <c r="A24" s="923" t="s">
        <v>7</v>
      </c>
      <c r="B24" s="2480" t="s">
        <v>64</v>
      </c>
      <c r="C24" s="2481"/>
      <c r="D24" s="2481"/>
      <c r="E24" s="2482"/>
      <c r="F24" s="527" t="s">
        <v>66</v>
      </c>
      <c r="G24" s="362" t="s">
        <v>67</v>
      </c>
      <c r="H24" s="430" t="s">
        <v>48</v>
      </c>
      <c r="I24" s="2340" t="s">
        <v>65</v>
      </c>
      <c r="J24" s="2476"/>
      <c r="K24" s="2476"/>
      <c r="L24" s="430" t="s">
        <v>48</v>
      </c>
      <c r="M24" s="2340" t="s">
        <v>65</v>
      </c>
      <c r="N24" s="2476"/>
      <c r="O24" s="2476"/>
      <c r="P24" s="366" t="s">
        <v>98</v>
      </c>
    </row>
    <row r="25" spans="1:16" ht="51" customHeight="1">
      <c r="A25" s="923">
        <v>1</v>
      </c>
      <c r="B25" s="2333" t="s">
        <v>509</v>
      </c>
      <c r="C25" s="2334"/>
      <c r="D25" s="2334"/>
      <c r="E25" s="2335"/>
      <c r="F25" s="21" t="s">
        <v>113</v>
      </c>
      <c r="G25" s="119" t="s">
        <v>542</v>
      </c>
      <c r="H25" s="528">
        <f>'R.FILE GOC'!H75</f>
        <v>0</v>
      </c>
      <c r="I25" s="2181">
        <f>'R.FILE GOC'!K75</f>
        <v>0</v>
      </c>
      <c r="J25" s="2182"/>
      <c r="K25" s="2184"/>
      <c r="L25" s="528">
        <f>'R.FILE GOC'!N75</f>
        <v>0</v>
      </c>
      <c r="M25" s="2181">
        <f>'R.FILE GOC'!Q75</f>
        <v>0</v>
      </c>
      <c r="N25" s="2182"/>
      <c r="O25" s="2184"/>
      <c r="P25" s="20"/>
    </row>
    <row r="26" spans="1:16" ht="51" customHeight="1">
      <c r="A26" s="923">
        <v>2</v>
      </c>
      <c r="B26" s="2333" t="s">
        <v>513</v>
      </c>
      <c r="C26" s="2334" t="s">
        <v>513</v>
      </c>
      <c r="D26" s="2334" t="s">
        <v>513</v>
      </c>
      <c r="E26" s="2335" t="s">
        <v>513</v>
      </c>
      <c r="F26" s="21" t="s">
        <v>113</v>
      </c>
      <c r="G26" s="119" t="s">
        <v>542</v>
      </c>
      <c r="H26" s="528">
        <f>'R.FILE GOC'!H76</f>
        <v>0</v>
      </c>
      <c r="I26" s="2181">
        <f>'R.FILE GOC'!K76</f>
        <v>0</v>
      </c>
      <c r="J26" s="2182"/>
      <c r="K26" s="2184"/>
      <c r="L26" s="528">
        <f>'R.FILE GOC'!N76</f>
        <v>0</v>
      </c>
      <c r="M26" s="2181">
        <f>'R.FILE GOC'!Q76</f>
        <v>0</v>
      </c>
      <c r="N26" s="2182"/>
      <c r="O26" s="2184"/>
      <c r="P26" s="20"/>
    </row>
    <row r="27" spans="1:16" ht="51" customHeight="1">
      <c r="A27" s="923">
        <v>3</v>
      </c>
      <c r="B27" s="2333" t="s">
        <v>515</v>
      </c>
      <c r="C27" s="2334" t="s">
        <v>515</v>
      </c>
      <c r="D27" s="2334" t="s">
        <v>515</v>
      </c>
      <c r="E27" s="2335" t="s">
        <v>515</v>
      </c>
      <c r="F27" s="21" t="s">
        <v>113</v>
      </c>
      <c r="G27" s="119" t="s">
        <v>542</v>
      </c>
      <c r="H27" s="528">
        <f>'R.FILE GOC'!H77</f>
        <v>0</v>
      </c>
      <c r="I27" s="2181">
        <f>'R.FILE GOC'!K77</f>
        <v>0</v>
      </c>
      <c r="J27" s="2182"/>
      <c r="K27" s="2184"/>
      <c r="L27" s="528">
        <f>'R.FILE GOC'!N77</f>
        <v>0</v>
      </c>
      <c r="M27" s="2181">
        <f>'R.FILE GOC'!Q77</f>
        <v>0</v>
      </c>
      <c r="N27" s="2182"/>
      <c r="O27" s="2184"/>
      <c r="P27" s="20"/>
    </row>
    <row r="28" spans="1:16" ht="51" customHeight="1">
      <c r="A28" s="923">
        <v>4</v>
      </c>
      <c r="B28" s="2333" t="s">
        <v>1029</v>
      </c>
      <c r="C28" s="2334" t="s">
        <v>546</v>
      </c>
      <c r="D28" s="2334" t="s">
        <v>546</v>
      </c>
      <c r="E28" s="2335" t="s">
        <v>546</v>
      </c>
      <c r="F28" s="21" t="s">
        <v>113</v>
      </c>
      <c r="G28" s="119" t="s">
        <v>547</v>
      </c>
      <c r="H28" s="528">
        <f>'R.FILE GOC'!H78</f>
        <v>0</v>
      </c>
      <c r="I28" s="2181">
        <f>'R.FILE GOC'!K78</f>
        <v>0</v>
      </c>
      <c r="J28" s="2182"/>
      <c r="K28" s="2184"/>
      <c r="L28" s="528">
        <f>'R.FILE GOC'!N78</f>
        <v>0</v>
      </c>
      <c r="M28" s="2181">
        <f>'R.FILE GOC'!Q78</f>
        <v>0</v>
      </c>
      <c r="N28" s="2182"/>
      <c r="O28" s="2184"/>
      <c r="P28" s="20"/>
    </row>
    <row r="29" spans="1:16" ht="51" customHeight="1">
      <c r="A29" s="923">
        <v>5</v>
      </c>
      <c r="B29" s="2333" t="s">
        <v>623</v>
      </c>
      <c r="C29" s="2334"/>
      <c r="D29" s="2334"/>
      <c r="E29" s="2335"/>
      <c r="F29" s="21" t="s">
        <v>113</v>
      </c>
      <c r="G29" s="119" t="s">
        <v>550</v>
      </c>
      <c r="H29" s="528">
        <f>'R.FILE GOC'!H79</f>
        <v>0</v>
      </c>
      <c r="I29" s="2181">
        <f>'R.FILE GOC'!K79</f>
        <v>0</v>
      </c>
      <c r="J29" s="2182"/>
      <c r="K29" s="2184"/>
      <c r="L29" s="528">
        <f>'R.FILE GOC'!N79</f>
        <v>0</v>
      </c>
      <c r="M29" s="2181">
        <f>'R.FILE GOC'!Q79</f>
        <v>0</v>
      </c>
      <c r="N29" s="2182"/>
      <c r="O29" s="2184"/>
      <c r="P29" s="20"/>
    </row>
    <row r="30" spans="1:16" ht="43.5" hidden="1" customHeight="1">
      <c r="A30" s="923">
        <v>6</v>
      </c>
      <c r="B30" s="2333" t="s">
        <v>624</v>
      </c>
      <c r="C30" s="2334"/>
      <c r="D30" s="2334"/>
      <c r="E30" s="2335"/>
      <c r="F30" s="21" t="s">
        <v>113</v>
      </c>
      <c r="G30" s="119" t="s">
        <v>550</v>
      </c>
      <c r="H30" s="528">
        <f>'R.FILE GOC'!H80</f>
        <v>0</v>
      </c>
      <c r="I30" s="2181">
        <f>'R.FILE GOC'!K80</f>
        <v>0</v>
      </c>
      <c r="J30" s="2182"/>
      <c r="K30" s="2184"/>
      <c r="L30" s="528">
        <f>'R.FILE GOC'!N80</f>
        <v>0</v>
      </c>
      <c r="M30" s="2181">
        <f>'R.FILE GOC'!Q80</f>
        <v>0</v>
      </c>
      <c r="N30" s="2182"/>
      <c r="O30" s="2184"/>
      <c r="P30" s="20"/>
    </row>
    <row r="31" spans="1:16" ht="50.25" customHeight="1">
      <c r="A31" s="923">
        <v>7</v>
      </c>
      <c r="B31" s="2333" t="s">
        <v>554</v>
      </c>
      <c r="C31" s="2334" t="s">
        <v>554</v>
      </c>
      <c r="D31" s="2334" t="s">
        <v>554</v>
      </c>
      <c r="E31" s="2335" t="s">
        <v>554</v>
      </c>
      <c r="F31" s="21" t="s">
        <v>113</v>
      </c>
      <c r="G31" s="119" t="s">
        <v>555</v>
      </c>
      <c r="H31" s="273" t="str">
        <f>'R.FILE GOC'!H81</f>
        <v>\</v>
      </c>
      <c r="I31" s="2181">
        <f>'R.FILE GOC'!K81</f>
        <v>0</v>
      </c>
      <c r="J31" s="2182"/>
      <c r="K31" s="2182"/>
      <c r="L31" s="273" t="str">
        <f>'R.FILE GOC'!N81</f>
        <v>\</v>
      </c>
      <c r="M31" s="2181">
        <f>'R.FILE GOC'!Q81</f>
        <v>0</v>
      </c>
      <c r="N31" s="2182"/>
      <c r="O31" s="2182"/>
      <c r="P31" s="20"/>
    </row>
    <row r="32" spans="1:16" ht="48" hidden="1" customHeight="1">
      <c r="A32" s="922"/>
      <c r="B32" s="529"/>
      <c r="C32" s="530"/>
      <c r="D32" s="530"/>
      <c r="E32" s="530"/>
      <c r="F32" s="530"/>
      <c r="G32" s="530"/>
      <c r="H32" s="531" t="s">
        <v>556</v>
      </c>
      <c r="I32" s="530"/>
      <c r="J32" s="530"/>
      <c r="K32" s="530"/>
      <c r="L32" s="530"/>
      <c r="M32" s="530"/>
      <c r="N32" s="530"/>
      <c r="O32" s="530"/>
      <c r="P32" s="532"/>
    </row>
    <row r="33" spans="1:16" ht="52.5" hidden="1" customHeight="1">
      <c r="A33" s="923">
        <v>1</v>
      </c>
      <c r="B33" s="2291" t="s">
        <v>556</v>
      </c>
      <c r="C33" s="2312"/>
      <c r="D33" s="2312"/>
      <c r="E33" s="2292"/>
      <c r="F33" s="362" t="s">
        <v>557</v>
      </c>
      <c r="G33" s="362" t="s">
        <v>558</v>
      </c>
      <c r="H33" s="2340">
        <f>'R.FILE GOC'!H83</f>
        <v>0</v>
      </c>
      <c r="I33" s="2476"/>
      <c r="J33" s="2476"/>
      <c r="K33" s="2476"/>
      <c r="L33" s="2340">
        <f>'R.FILE GOC'!N83</f>
        <v>0</v>
      </c>
      <c r="M33" s="2476"/>
      <c r="N33" s="2476"/>
      <c r="O33" s="2476"/>
      <c r="P33" s="366"/>
    </row>
    <row r="34" spans="1:16" ht="52.5" hidden="1" customHeight="1">
      <c r="A34" s="923">
        <v>2</v>
      </c>
      <c r="B34" s="2333" t="s">
        <v>559</v>
      </c>
      <c r="C34" s="2334"/>
      <c r="D34" s="2334"/>
      <c r="E34" s="2335"/>
      <c r="F34" s="362" t="s">
        <v>557</v>
      </c>
      <c r="G34" s="119" t="s">
        <v>560</v>
      </c>
      <c r="H34" s="2340">
        <f>'R.FILE GOC'!H84</f>
        <v>0</v>
      </c>
      <c r="I34" s="2476"/>
      <c r="J34" s="2476"/>
      <c r="K34" s="2476"/>
      <c r="L34" s="2340">
        <f>'R.FILE GOC'!N84</f>
        <v>0</v>
      </c>
      <c r="M34" s="2476"/>
      <c r="N34" s="2476"/>
      <c r="O34" s="2476"/>
      <c r="P34" s="20"/>
    </row>
  </sheetData>
  <sheetProtection formatCells="0" formatColumns="0" formatRows="0" insertColumns="0" insertRows="0" insertHyperlinks="0" deleteColumns="0" deleteRows="0" selectLockedCells="1" sort="0" autoFilter="0" pivotTables="0"/>
  <mergeCells count="59">
    <mergeCell ref="A1:J1"/>
    <mergeCell ref="A2:M2"/>
    <mergeCell ref="N2:O2"/>
    <mergeCell ref="N3:O3"/>
    <mergeCell ref="A4:A6"/>
    <mergeCell ref="B4:E6"/>
    <mergeCell ref="F4:F6"/>
    <mergeCell ref="G4:G6"/>
    <mergeCell ref="B13:E13"/>
    <mergeCell ref="P4:P6"/>
    <mergeCell ref="H5:K5"/>
    <mergeCell ref="L5:O5"/>
    <mergeCell ref="I6:K6"/>
    <mergeCell ref="M6:O6"/>
    <mergeCell ref="B7:E7"/>
    <mergeCell ref="B8:E8"/>
    <mergeCell ref="B9:E9"/>
    <mergeCell ref="B10:E10"/>
    <mergeCell ref="B11:E11"/>
    <mergeCell ref="B12:E12"/>
    <mergeCell ref="M24:O24"/>
    <mergeCell ref="B14:E14"/>
    <mergeCell ref="B15:E15"/>
    <mergeCell ref="B16:E16"/>
    <mergeCell ref="B17:E17"/>
    <mergeCell ref="B18:E18"/>
    <mergeCell ref="B19:E19"/>
    <mergeCell ref="B20:E20"/>
    <mergeCell ref="B21:E21"/>
    <mergeCell ref="B22:E22"/>
    <mergeCell ref="B24:E24"/>
    <mergeCell ref="I24:K24"/>
    <mergeCell ref="B25:E25"/>
    <mergeCell ref="I25:K25"/>
    <mergeCell ref="M25:O25"/>
    <mergeCell ref="B26:E26"/>
    <mergeCell ref="I26:K26"/>
    <mergeCell ref="M26:O26"/>
    <mergeCell ref="B27:E27"/>
    <mergeCell ref="I27:K27"/>
    <mergeCell ref="M27:O27"/>
    <mergeCell ref="B28:E28"/>
    <mergeCell ref="I28:K28"/>
    <mergeCell ref="M28:O28"/>
    <mergeCell ref="B29:E29"/>
    <mergeCell ref="I29:K29"/>
    <mergeCell ref="M29:O29"/>
    <mergeCell ref="B30:E30"/>
    <mergeCell ref="I30:K30"/>
    <mergeCell ref="M30:O30"/>
    <mergeCell ref="B34:E34"/>
    <mergeCell ref="H34:K34"/>
    <mergeCell ref="L34:O34"/>
    <mergeCell ref="B31:E31"/>
    <mergeCell ref="I31:K31"/>
    <mergeCell ref="M31:O31"/>
    <mergeCell ref="B33:E33"/>
    <mergeCell ref="H33:K33"/>
    <mergeCell ref="L33:O33"/>
  </mergeCells>
  <phoneticPr fontId="6" type="noConversion"/>
  <conditionalFormatting sqref="H10 L10">
    <cfRule type="expression" dxfId="826" priority="143">
      <formula>H10&lt;5</formula>
    </cfRule>
    <cfRule type="expression" dxfId="825" priority="144">
      <formula>H10&gt;15</formula>
    </cfRule>
  </conditionalFormatting>
  <conditionalFormatting sqref="H11 L11">
    <cfRule type="expression" dxfId="824" priority="142">
      <formula>H11&gt;1.5</formula>
    </cfRule>
  </conditionalFormatting>
  <conditionalFormatting sqref="H12 L12">
    <cfRule type="expression" dxfId="823" priority="140">
      <formula>H12&lt;20</formula>
    </cfRule>
    <cfRule type="expression" dxfId="822" priority="141">
      <formula>H12&gt;25</formula>
    </cfRule>
  </conditionalFormatting>
  <conditionalFormatting sqref="H13 L13">
    <cfRule type="expression" dxfId="821" priority="138">
      <formula>H13&lt;6</formula>
    </cfRule>
    <cfRule type="expression" dxfId="820" priority="139">
      <formula>H13&gt;9</formula>
    </cfRule>
  </conditionalFormatting>
  <conditionalFormatting sqref="H14 L14">
    <cfRule type="expression" dxfId="819" priority="136">
      <formula>H14&lt;7</formula>
    </cfRule>
    <cfRule type="expression" dxfId="818" priority="137">
      <formula>H14&gt;10</formula>
    </cfRule>
  </conditionalFormatting>
  <conditionalFormatting sqref="H15:H16 L15:L16">
    <cfRule type="expression" dxfId="817" priority="134">
      <formula>H15&lt;5.3</formula>
    </cfRule>
    <cfRule type="expression" dxfId="816" priority="135">
      <formula>H15&gt;6</formula>
    </cfRule>
  </conditionalFormatting>
  <conditionalFormatting sqref="H17 H19">
    <cfRule type="expression" dxfId="815" priority="130">
      <formula>H17&lt;12</formula>
    </cfRule>
    <cfRule type="expression" dxfId="814" priority="131">
      <formula>H17&gt;18</formula>
    </cfRule>
  </conditionalFormatting>
  <conditionalFormatting sqref="H18 H20">
    <cfRule type="expression" dxfId="813" priority="126">
      <formula>H18&lt;8</formula>
    </cfRule>
    <cfRule type="expression" dxfId="812" priority="127">
      <formula>H18&gt;16</formula>
    </cfRule>
  </conditionalFormatting>
  <conditionalFormatting sqref="H25:O27">
    <cfRule type="expression" dxfId="811" priority="95">
      <formula>H25&lt;51</formula>
    </cfRule>
    <cfRule type="expression" dxfId="810" priority="96">
      <formula>H25&gt;59</formula>
    </cfRule>
  </conditionalFormatting>
  <conditionalFormatting sqref="H25:O30 I31 M31">
    <cfRule type="expression" dxfId="809" priority="94">
      <formula>H25&lt;1</formula>
    </cfRule>
  </conditionalFormatting>
  <conditionalFormatting sqref="H28:O28">
    <cfRule type="expression" dxfId="808" priority="89">
      <formula>H28&lt;30</formula>
    </cfRule>
    <cfRule type="expression" dxfId="807" priority="90">
      <formula>H28&gt;40</formula>
    </cfRule>
  </conditionalFormatting>
  <conditionalFormatting sqref="H29:O30">
    <cfRule type="expression" dxfId="806" priority="86">
      <formula>H29&lt;26</formula>
    </cfRule>
    <cfRule type="expression" dxfId="805" priority="87">
      <formula>H29&gt;32</formula>
    </cfRule>
  </conditionalFormatting>
  <conditionalFormatting sqref="I31 M31">
    <cfRule type="expression" dxfId="804" priority="35">
      <formula>I31&lt;170</formula>
    </cfRule>
    <cfRule type="expression" dxfId="803" priority="36">
      <formula>I31&gt;220</formula>
    </cfRule>
  </conditionalFormatting>
  <pageMargins left="0.5699999999999999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3">
    <tabColor rgb="FFFFC000"/>
  </sheetPr>
  <dimension ref="A1:S44"/>
  <sheetViews>
    <sheetView topLeftCell="A7" zoomScale="85" zoomScaleNormal="85" workbookViewId="0">
      <selection activeCell="E24" sqref="E24"/>
    </sheetView>
  </sheetViews>
  <sheetFormatPr defaultRowHeight="13.5"/>
  <cols>
    <col min="1" max="1" width="3.875" style="535" customWidth="1"/>
    <col min="2" max="2" width="21.625" style="585" customWidth="1"/>
    <col min="3" max="3" width="21.625" style="585" hidden="1" customWidth="1"/>
    <col min="4" max="4" width="7.625" style="535" customWidth="1"/>
    <col min="5" max="5" width="14.375" style="535" customWidth="1"/>
    <col min="6" max="6" width="8.75" style="535" customWidth="1"/>
    <col min="7" max="7" width="2.375" style="535" customWidth="1"/>
    <col min="8" max="8" width="6.5" style="586" customWidth="1"/>
    <col min="9" max="9" width="3.125" style="586" customWidth="1"/>
    <col min="10" max="10" width="8.125" style="586" customWidth="1"/>
    <col min="11" max="11" width="2.5" style="586" customWidth="1"/>
    <col min="12" max="12" width="6.5" style="586" customWidth="1"/>
    <col min="13" max="13" width="3.75" style="586" customWidth="1"/>
    <col min="14" max="14" width="8.125" style="586" customWidth="1"/>
    <col min="15" max="15" width="2.5" style="586" customWidth="1"/>
    <col min="16" max="16" width="6.5" style="586" customWidth="1"/>
    <col min="17" max="17" width="3.75" style="586" customWidth="1"/>
    <col min="18" max="18" width="7.375" style="534" customWidth="1"/>
    <col min="19" max="19" width="5.75" style="534" customWidth="1"/>
    <col min="20" max="16384" width="9" style="535"/>
  </cols>
  <sheetData>
    <row r="1" spans="1:19" ht="33" customHeight="1">
      <c r="A1" s="2546" t="s">
        <v>625</v>
      </c>
      <c r="B1" s="2546"/>
      <c r="C1" s="2546"/>
      <c r="D1" s="2546"/>
      <c r="E1" s="2546"/>
      <c r="F1" s="2546"/>
      <c r="G1" s="2546"/>
      <c r="H1" s="2546"/>
      <c r="I1" s="2546"/>
      <c r="J1" s="2546"/>
      <c r="K1" s="2546"/>
      <c r="L1" s="2546"/>
      <c r="M1" s="2546"/>
      <c r="N1" s="533"/>
      <c r="O1" s="533"/>
      <c r="P1" s="533"/>
      <c r="Q1" s="533"/>
    </row>
    <row r="2" spans="1:19" ht="39.75" customHeight="1">
      <c r="A2" s="2543" t="s">
        <v>972</v>
      </c>
      <c r="B2" s="2543"/>
      <c r="C2" s="2543"/>
      <c r="D2" s="2543"/>
      <c r="E2" s="2543"/>
      <c r="F2" s="2543"/>
      <c r="G2" s="2543"/>
      <c r="H2" s="2543"/>
      <c r="I2" s="2543"/>
      <c r="J2" s="2543"/>
      <c r="K2" s="2543"/>
      <c r="L2" s="2543"/>
      <c r="M2" s="2543"/>
      <c r="N2" s="536"/>
      <c r="O2" s="536"/>
      <c r="P2" s="2547" t="s">
        <v>626</v>
      </c>
      <c r="Q2" s="2548"/>
      <c r="R2" s="2549" t="s">
        <v>627</v>
      </c>
      <c r="S2" s="2550"/>
    </row>
    <row r="3" spans="1:19" ht="22.5" customHeight="1">
      <c r="A3" s="537"/>
      <c r="B3" s="538" t="s">
        <v>628</v>
      </c>
      <c r="C3" s="538"/>
      <c r="D3" s="539"/>
      <c r="E3" s="1729" t="str">
        <f>'1.xi den'!$G$3</f>
        <v>2023/03/21</v>
      </c>
      <c r="F3" s="537"/>
      <c r="G3" s="537"/>
      <c r="H3" s="537"/>
      <c r="I3" s="537"/>
      <c r="J3" s="541"/>
      <c r="K3" s="541"/>
      <c r="L3" s="541"/>
      <c r="M3" s="541"/>
      <c r="N3" s="541"/>
      <c r="O3" s="541"/>
      <c r="P3" s="2551" t="str">
        <f>'1.xi den'!$N$3</f>
        <v>Trang</v>
      </c>
      <c r="Q3" s="2552"/>
      <c r="R3" s="2553" t="s">
        <v>629</v>
      </c>
      <c r="S3" s="2554"/>
    </row>
    <row r="4" spans="1:19" s="543" customFormat="1" ht="33" customHeight="1">
      <c r="A4" s="2545" t="s">
        <v>630</v>
      </c>
      <c r="B4" s="2516" t="s">
        <v>631</v>
      </c>
      <c r="C4" s="542"/>
      <c r="D4" s="2516" t="s">
        <v>136</v>
      </c>
      <c r="E4" s="2526" t="s">
        <v>632</v>
      </c>
      <c r="F4" s="2508" t="s">
        <v>976</v>
      </c>
      <c r="G4" s="2509"/>
      <c r="H4" s="2509"/>
      <c r="I4" s="2509"/>
      <c r="J4" s="2509"/>
      <c r="K4" s="2509"/>
      <c r="L4" s="2509"/>
      <c r="M4" s="2509"/>
      <c r="N4" s="2509"/>
      <c r="O4" s="2509"/>
      <c r="P4" s="2509"/>
      <c r="Q4" s="2510"/>
      <c r="R4" s="2532" t="s">
        <v>634</v>
      </c>
      <c r="S4" s="2532"/>
    </row>
    <row r="5" spans="1:19" s="543" customFormat="1" ht="15.75" customHeight="1">
      <c r="A5" s="2521"/>
      <c r="B5" s="2516"/>
      <c r="C5" s="542"/>
      <c r="D5" s="2516"/>
      <c r="E5" s="2526"/>
      <c r="F5" s="2533">
        <v>0.33333333333333331</v>
      </c>
      <c r="G5" s="2524"/>
      <c r="H5" s="2524"/>
      <c r="I5" s="2524"/>
      <c r="J5" s="2534">
        <v>0.52083333333333337</v>
      </c>
      <c r="K5" s="2535"/>
      <c r="L5" s="2535"/>
      <c r="M5" s="2536"/>
      <c r="N5" s="2534">
        <v>0.66666666666666663</v>
      </c>
      <c r="O5" s="2535"/>
      <c r="P5" s="2535"/>
      <c r="Q5" s="2536"/>
      <c r="R5" s="2532"/>
      <c r="S5" s="2532"/>
    </row>
    <row r="6" spans="1:19" s="543" customFormat="1" ht="44.25" customHeight="1">
      <c r="A6" s="2522"/>
      <c r="B6" s="2524"/>
      <c r="C6" s="544"/>
      <c r="D6" s="2524"/>
      <c r="E6" s="2527"/>
      <c r="F6" s="545" t="s">
        <v>635</v>
      </c>
      <c r="G6" s="2537" t="s">
        <v>636</v>
      </c>
      <c r="H6" s="2538"/>
      <c r="I6" s="2539"/>
      <c r="J6" s="545" t="s">
        <v>635</v>
      </c>
      <c r="K6" s="2528" t="s">
        <v>636</v>
      </c>
      <c r="L6" s="2529"/>
      <c r="M6" s="2530"/>
      <c r="N6" s="545" t="s">
        <v>635</v>
      </c>
      <c r="O6" s="2528" t="s">
        <v>636</v>
      </c>
      <c r="P6" s="2529"/>
      <c r="Q6" s="2530"/>
      <c r="R6" s="2540" t="s">
        <v>637</v>
      </c>
      <c r="S6" s="2540"/>
    </row>
    <row r="7" spans="1:19" ht="29.25" customHeight="1">
      <c r="A7" s="544">
        <v>1</v>
      </c>
      <c r="B7" s="546" t="s">
        <v>638</v>
      </c>
      <c r="C7" s="546"/>
      <c r="D7" s="547" t="s">
        <v>639</v>
      </c>
      <c r="E7" s="548" t="s">
        <v>640</v>
      </c>
      <c r="F7" s="549">
        <f>'R.FILE GOC'!H6</f>
        <v>0</v>
      </c>
      <c r="G7" s="550" t="s">
        <v>641</v>
      </c>
      <c r="H7" s="551">
        <f>'R.FILE GOC'!K6</f>
        <v>292.1875</v>
      </c>
      <c r="I7" s="544" t="s">
        <v>10</v>
      </c>
      <c r="J7" s="549">
        <f>'R.FILE GOC'!N6</f>
        <v>0</v>
      </c>
      <c r="K7" s="550" t="s">
        <v>641</v>
      </c>
      <c r="L7" s="551">
        <f>'R.FILE GOC'!Q6</f>
        <v>292.1875</v>
      </c>
      <c r="M7" s="544" t="s">
        <v>10</v>
      </c>
      <c r="N7" s="549">
        <f>'R.FILE GOC'!T6</f>
        <v>0</v>
      </c>
      <c r="O7" s="550" t="s">
        <v>641</v>
      </c>
      <c r="P7" s="551">
        <f>'R.FILE GOC'!W6</f>
        <v>292.1875</v>
      </c>
      <c r="Q7" s="544" t="s">
        <v>10</v>
      </c>
      <c r="R7" s="2515" t="s">
        <v>642</v>
      </c>
      <c r="S7" s="2515"/>
    </row>
    <row r="8" spans="1:19" ht="29.25" hidden="1" customHeight="1">
      <c r="A8" s="544">
        <v>2</v>
      </c>
      <c r="B8" s="546" t="s">
        <v>643</v>
      </c>
      <c r="C8" s="552"/>
      <c r="D8" s="547" t="s">
        <v>639</v>
      </c>
      <c r="E8" s="548" t="s">
        <v>640</v>
      </c>
      <c r="F8" s="553">
        <f>'R.FILE GOC'!H7</f>
        <v>0</v>
      </c>
      <c r="G8" s="554" t="s">
        <v>641</v>
      </c>
      <c r="H8" s="555">
        <f>'R.FILE GOC'!K7</f>
        <v>292.1875</v>
      </c>
      <c r="I8" s="235" t="s">
        <v>10</v>
      </c>
      <c r="J8" s="553">
        <f>'R.FILE GOC'!N7</f>
        <v>0</v>
      </c>
      <c r="K8" s="554" t="s">
        <v>641</v>
      </c>
      <c r="L8" s="555">
        <f>'R.FILE GOC'!Q7</f>
        <v>292.1875</v>
      </c>
      <c r="M8" s="235" t="s">
        <v>10</v>
      </c>
      <c r="N8" s="553">
        <f>'R.FILE GOC'!T7</f>
        <v>0</v>
      </c>
      <c r="O8" s="554" t="s">
        <v>641</v>
      </c>
      <c r="P8" s="555">
        <f>'R.FILE GOC'!W7</f>
        <v>292.1875</v>
      </c>
      <c r="Q8" s="235" t="s">
        <v>10</v>
      </c>
      <c r="R8" s="556"/>
      <c r="S8" s="556"/>
    </row>
    <row r="9" spans="1:19" ht="29.25" customHeight="1">
      <c r="A9" s="544">
        <v>3</v>
      </c>
      <c r="B9" s="2517" t="s">
        <v>644</v>
      </c>
      <c r="C9" s="557"/>
      <c r="D9" s="2520" t="s">
        <v>466</v>
      </c>
      <c r="E9" s="548" t="s">
        <v>645</v>
      </c>
      <c r="F9" s="549">
        <f>'R.FILE GOC'!H8</f>
        <v>0</v>
      </c>
      <c r="G9" s="550" t="s">
        <v>646</v>
      </c>
      <c r="H9" s="551">
        <f>'R.FILE GOC'!K8</f>
        <v>69.400000000000006</v>
      </c>
      <c r="I9" s="544" t="s">
        <v>647</v>
      </c>
      <c r="J9" s="549">
        <f>'R.FILE GOC'!N8</f>
        <v>0</v>
      </c>
      <c r="K9" s="550" t="s">
        <v>646</v>
      </c>
      <c r="L9" s="551">
        <f>'R.FILE GOC'!Q8</f>
        <v>69.400000000000006</v>
      </c>
      <c r="M9" s="544" t="s">
        <v>647</v>
      </c>
      <c r="N9" s="549">
        <f>'R.FILE GOC'!T8</f>
        <v>0</v>
      </c>
      <c r="O9" s="550" t="s">
        <v>646</v>
      </c>
      <c r="P9" s="551">
        <f>'R.FILE GOC'!W8</f>
        <v>69.400000000000006</v>
      </c>
      <c r="Q9" s="544" t="s">
        <v>647</v>
      </c>
      <c r="R9" s="2515" t="s">
        <v>648</v>
      </c>
      <c r="S9" s="2515"/>
    </row>
    <row r="10" spans="1:19" ht="29.25" customHeight="1">
      <c r="A10" s="544">
        <v>4</v>
      </c>
      <c r="B10" s="2518"/>
      <c r="C10" s="558"/>
      <c r="D10" s="2520"/>
      <c r="E10" s="548" t="s">
        <v>649</v>
      </c>
      <c r="F10" s="549">
        <f>'R.FILE GOC'!H9</f>
        <v>0</v>
      </c>
      <c r="G10" s="550" t="s">
        <v>646</v>
      </c>
      <c r="H10" s="551">
        <f>'R.FILE GOC'!K9</f>
        <v>4.5110000000000001</v>
      </c>
      <c r="I10" s="544" t="s">
        <v>647</v>
      </c>
      <c r="J10" s="549">
        <f>'R.FILE GOC'!N9</f>
        <v>0</v>
      </c>
      <c r="K10" s="550" t="s">
        <v>646</v>
      </c>
      <c r="L10" s="551">
        <f>'R.FILE GOC'!Q9</f>
        <v>4.5110000000000001</v>
      </c>
      <c r="M10" s="544" t="s">
        <v>647</v>
      </c>
      <c r="N10" s="549">
        <f>'R.FILE GOC'!T9</f>
        <v>0</v>
      </c>
      <c r="O10" s="550" t="s">
        <v>646</v>
      </c>
      <c r="P10" s="551">
        <f>'R.FILE GOC'!W9</f>
        <v>4.5110000000000001</v>
      </c>
      <c r="Q10" s="544" t="s">
        <v>647</v>
      </c>
      <c r="R10" s="2515" t="s">
        <v>650</v>
      </c>
      <c r="S10" s="2515"/>
    </row>
    <row r="11" spans="1:19" ht="29.25" customHeight="1">
      <c r="A11" s="544">
        <v>5</v>
      </c>
      <c r="B11" s="2519"/>
      <c r="C11" s="559"/>
      <c r="D11" s="2520"/>
      <c r="E11" s="548" t="s">
        <v>651</v>
      </c>
      <c r="F11" s="560">
        <f>'R.FILE GOC'!H10</f>
        <v>0</v>
      </c>
      <c r="G11" s="550" t="s">
        <v>646</v>
      </c>
      <c r="H11" s="551">
        <f>'R.FILE GOC'!K10</f>
        <v>0</v>
      </c>
      <c r="I11" s="544" t="s">
        <v>647</v>
      </c>
      <c r="J11" s="560">
        <f>'R.FILE GOC'!N10</f>
        <v>0</v>
      </c>
      <c r="K11" s="550" t="s">
        <v>646</v>
      </c>
      <c r="L11" s="551">
        <f>'R.FILE GOC'!Q10</f>
        <v>0</v>
      </c>
      <c r="M11" s="544" t="s">
        <v>647</v>
      </c>
      <c r="N11" s="560">
        <f>'R.FILE GOC'!T10</f>
        <v>0</v>
      </c>
      <c r="O11" s="550" t="s">
        <v>646</v>
      </c>
      <c r="P11" s="551">
        <f>'R.FILE GOC'!W10</f>
        <v>0</v>
      </c>
      <c r="Q11" s="544" t="s">
        <v>647</v>
      </c>
      <c r="R11" s="2515"/>
      <c r="S11" s="2515"/>
    </row>
    <row r="12" spans="1:19" ht="29.25" customHeight="1">
      <c r="A12" s="544">
        <v>6</v>
      </c>
      <c r="B12" s="2517" t="s">
        <v>652</v>
      </c>
      <c r="C12" s="557"/>
      <c r="D12" s="2520" t="s">
        <v>466</v>
      </c>
      <c r="E12" s="548" t="s">
        <v>645</v>
      </c>
      <c r="F12" s="549">
        <f>'R.FILE GOC'!H11</f>
        <v>0</v>
      </c>
      <c r="G12" s="550" t="s">
        <v>646</v>
      </c>
      <c r="H12" s="551">
        <f>'R.FILE GOC'!K11</f>
        <v>69.400000000000006</v>
      </c>
      <c r="I12" s="544"/>
      <c r="J12" s="549">
        <f>'R.FILE GOC'!N11</f>
        <v>0</v>
      </c>
      <c r="K12" s="550" t="s">
        <v>646</v>
      </c>
      <c r="L12" s="551">
        <f>'R.FILE GOC'!Q11</f>
        <v>69.400000000000006</v>
      </c>
      <c r="M12" s="544" t="s">
        <v>647</v>
      </c>
      <c r="N12" s="549">
        <f>'R.FILE GOC'!T11</f>
        <v>0</v>
      </c>
      <c r="O12" s="550" t="s">
        <v>646</v>
      </c>
      <c r="P12" s="551">
        <f>'R.FILE GOC'!W11</f>
        <v>69.400000000000006</v>
      </c>
      <c r="Q12" s="544" t="s">
        <v>647</v>
      </c>
      <c r="R12" s="2515" t="s">
        <v>648</v>
      </c>
      <c r="S12" s="2515"/>
    </row>
    <row r="13" spans="1:19" ht="29.25" customHeight="1">
      <c r="A13" s="544">
        <v>7</v>
      </c>
      <c r="B13" s="2518"/>
      <c r="C13" s="558"/>
      <c r="D13" s="2520"/>
      <c r="E13" s="548" t="s">
        <v>649</v>
      </c>
      <c r="F13" s="560">
        <f>'R.FILE GOC'!H12</f>
        <v>0</v>
      </c>
      <c r="G13" s="550" t="s">
        <v>646</v>
      </c>
      <c r="H13" s="551">
        <f>'R.FILE GOC'!K12</f>
        <v>4.5110000000000001</v>
      </c>
      <c r="I13" s="544"/>
      <c r="J13" s="560">
        <f>'R.FILE GOC'!N12</f>
        <v>0</v>
      </c>
      <c r="K13" s="550" t="s">
        <v>646</v>
      </c>
      <c r="L13" s="551">
        <f>'R.FILE GOC'!Q12</f>
        <v>4.5110000000000001</v>
      </c>
      <c r="M13" s="544" t="s">
        <v>647</v>
      </c>
      <c r="N13" s="560">
        <f>'R.FILE GOC'!T12</f>
        <v>0</v>
      </c>
      <c r="O13" s="550" t="s">
        <v>646</v>
      </c>
      <c r="P13" s="551">
        <f>'R.FILE GOC'!W12</f>
        <v>4.5110000000000001</v>
      </c>
      <c r="Q13" s="544" t="s">
        <v>647</v>
      </c>
      <c r="R13" s="2515" t="s">
        <v>650</v>
      </c>
      <c r="S13" s="2515"/>
    </row>
    <row r="14" spans="1:19" ht="29.25" customHeight="1">
      <c r="A14" s="544">
        <v>8</v>
      </c>
      <c r="B14" s="2519"/>
      <c r="C14" s="559"/>
      <c r="D14" s="2520"/>
      <c r="E14" s="548" t="s">
        <v>651</v>
      </c>
      <c r="F14" s="560">
        <f>'R.FILE GOC'!H13</f>
        <v>0</v>
      </c>
      <c r="G14" s="550" t="s">
        <v>646</v>
      </c>
      <c r="H14" s="551">
        <f>'R.FILE GOC'!K13</f>
        <v>0</v>
      </c>
      <c r="I14" s="544"/>
      <c r="J14" s="560">
        <f>'R.FILE GOC'!N13</f>
        <v>0</v>
      </c>
      <c r="K14" s="550" t="s">
        <v>646</v>
      </c>
      <c r="L14" s="551">
        <f>'R.FILE GOC'!Q13</f>
        <v>0</v>
      </c>
      <c r="M14" s="544" t="s">
        <v>647</v>
      </c>
      <c r="N14" s="560">
        <f>'R.FILE GOC'!T13</f>
        <v>0</v>
      </c>
      <c r="O14" s="550" t="s">
        <v>646</v>
      </c>
      <c r="P14" s="551">
        <f>'R.FILE GOC'!W13</f>
        <v>0</v>
      </c>
      <c r="Q14" s="544" t="s">
        <v>647</v>
      </c>
      <c r="R14" s="2515"/>
      <c r="S14" s="2515"/>
    </row>
    <row r="15" spans="1:19" s="564" customFormat="1" ht="29.25" customHeight="1">
      <c r="A15" s="544">
        <v>9</v>
      </c>
      <c r="B15" s="2513" t="s">
        <v>653</v>
      </c>
      <c r="C15" s="552"/>
      <c r="D15" s="561" t="s">
        <v>466</v>
      </c>
      <c r="E15" s="548" t="s">
        <v>476</v>
      </c>
      <c r="F15" s="549">
        <f>'R.FILE GOC'!H14</f>
        <v>0</v>
      </c>
      <c r="G15" s="550" t="s">
        <v>654</v>
      </c>
      <c r="H15" s="562">
        <f>'R.FILE GOC'!K14</f>
        <v>4.3680000000000003</v>
      </c>
      <c r="I15" s="563" t="s">
        <v>655</v>
      </c>
      <c r="J15" s="549">
        <f>'R.FILE GOC'!N14</f>
        <v>0</v>
      </c>
      <c r="K15" s="550" t="s">
        <v>654</v>
      </c>
      <c r="L15" s="562">
        <f>'R.FILE GOC'!Q14</f>
        <v>4.3680000000000003</v>
      </c>
      <c r="M15" s="563" t="s">
        <v>655</v>
      </c>
      <c r="N15" s="549">
        <f>'R.FILE GOC'!T14</f>
        <v>0</v>
      </c>
      <c r="O15" s="550" t="s">
        <v>654</v>
      </c>
      <c r="P15" s="562">
        <f>'R.FILE GOC'!W14</f>
        <v>4.3680000000000003</v>
      </c>
      <c r="Q15" s="563" t="s">
        <v>655</v>
      </c>
      <c r="R15" s="2515"/>
      <c r="S15" s="2515"/>
    </row>
    <row r="16" spans="1:19" s="564" customFormat="1" ht="29.25" customHeight="1">
      <c r="A16" s="544">
        <v>10</v>
      </c>
      <c r="B16" s="2514"/>
      <c r="C16" s="565"/>
      <c r="D16" s="561" t="s">
        <v>656</v>
      </c>
      <c r="E16" s="548" t="s">
        <v>657</v>
      </c>
      <c r="F16" s="549">
        <f>'R.FILE GOC'!H15</f>
        <v>0</v>
      </c>
      <c r="G16" s="550" t="s">
        <v>654</v>
      </c>
      <c r="H16" s="551"/>
      <c r="I16" s="563"/>
      <c r="J16" s="549">
        <f>'R.FILE GOC'!N15</f>
        <v>0</v>
      </c>
      <c r="K16" s="550" t="s">
        <v>654</v>
      </c>
      <c r="L16" s="551"/>
      <c r="M16" s="563"/>
      <c r="N16" s="549">
        <f>'R.FILE GOC'!T15</f>
        <v>0</v>
      </c>
      <c r="O16" s="550" t="s">
        <v>654</v>
      </c>
      <c r="P16" s="551"/>
      <c r="Q16" s="563"/>
      <c r="R16" s="2515"/>
      <c r="S16" s="2515"/>
    </row>
    <row r="17" spans="1:19" s="564" customFormat="1" ht="30" customHeight="1">
      <c r="A17" s="2516" t="s">
        <v>658</v>
      </c>
      <c r="B17" s="2516"/>
      <c r="C17" s="2516"/>
      <c r="D17" s="2516"/>
      <c r="E17" s="2516"/>
      <c r="F17" s="2516"/>
      <c r="G17" s="2516"/>
      <c r="H17" s="2516"/>
      <c r="I17" s="2516"/>
      <c r="J17" s="2516"/>
      <c r="K17" s="2516"/>
      <c r="L17" s="2516"/>
      <c r="M17" s="2516"/>
      <c r="N17" s="2516"/>
      <c r="O17" s="2516"/>
      <c r="P17" s="2516"/>
      <c r="Q17" s="2516"/>
      <c r="R17" s="2516"/>
      <c r="S17" s="2516"/>
    </row>
    <row r="18" spans="1:19" s="564" customFormat="1" ht="40.5" customHeight="1">
      <c r="A18" s="544" t="s">
        <v>659</v>
      </c>
      <c r="B18" s="566" t="s">
        <v>660</v>
      </c>
      <c r="C18" s="566"/>
      <c r="D18" s="542" t="s">
        <v>661</v>
      </c>
      <c r="E18" s="542" t="s">
        <v>662</v>
      </c>
      <c r="F18" s="2508" t="s">
        <v>663</v>
      </c>
      <c r="G18" s="2509"/>
      <c r="H18" s="2509"/>
      <c r="I18" s="2509"/>
      <c r="J18" s="2509"/>
      <c r="K18" s="2509"/>
      <c r="L18" s="2509"/>
      <c r="M18" s="2509"/>
      <c r="N18" s="2509"/>
      <c r="O18" s="2509"/>
      <c r="P18" s="2509"/>
      <c r="Q18" s="2510"/>
      <c r="R18" s="2511" t="s">
        <v>634</v>
      </c>
      <c r="S18" s="2512"/>
    </row>
    <row r="19" spans="1:19" s="564" customFormat="1" ht="28.5" customHeight="1">
      <c r="A19" s="544">
        <v>1</v>
      </c>
      <c r="B19" s="567" t="s">
        <v>480</v>
      </c>
      <c r="C19" s="567"/>
      <c r="D19" s="568" t="s">
        <v>664</v>
      </c>
      <c r="E19" s="569" t="s">
        <v>665</v>
      </c>
      <c r="F19" s="2506">
        <f>'R.FILE GOC'!H18</f>
        <v>0</v>
      </c>
      <c r="G19" s="2507"/>
      <c r="H19" s="2507"/>
      <c r="I19" s="2507"/>
      <c r="J19" s="2506">
        <f>'R.FILE GOC'!N18</f>
        <v>0</v>
      </c>
      <c r="K19" s="2507"/>
      <c r="L19" s="2507"/>
      <c r="M19" s="2507"/>
      <c r="N19" s="2506">
        <f>'R.FILE GOC'!T18</f>
        <v>0</v>
      </c>
      <c r="O19" s="2507"/>
      <c r="P19" s="2507"/>
      <c r="Q19" s="2507"/>
      <c r="R19" s="570"/>
      <c r="S19" s="570"/>
    </row>
    <row r="20" spans="1:19" s="564" customFormat="1" ht="28.5" customHeight="1">
      <c r="A20" s="544">
        <v>2</v>
      </c>
      <c r="B20" s="567" t="s">
        <v>482</v>
      </c>
      <c r="C20" s="567"/>
      <c r="D20" s="568" t="s">
        <v>664</v>
      </c>
      <c r="E20" s="569" t="s">
        <v>665</v>
      </c>
      <c r="F20" s="2506">
        <f>'R.FILE GOC'!H19</f>
        <v>0</v>
      </c>
      <c r="G20" s="2507"/>
      <c r="H20" s="2507"/>
      <c r="I20" s="2507"/>
      <c r="J20" s="2506">
        <f>'R.FILE GOC'!N19</f>
        <v>0</v>
      </c>
      <c r="K20" s="2507"/>
      <c r="L20" s="2507"/>
      <c r="M20" s="2507"/>
      <c r="N20" s="2506">
        <f>'R.FILE GOC'!T19</f>
        <v>0</v>
      </c>
      <c r="O20" s="2507"/>
      <c r="P20" s="2507"/>
      <c r="Q20" s="2507"/>
      <c r="R20" s="571"/>
      <c r="S20" s="571"/>
    </row>
    <row r="21" spans="1:19" s="564" customFormat="1" ht="28.5" customHeight="1">
      <c r="A21" s="544">
        <v>3</v>
      </c>
      <c r="B21" s="567" t="s">
        <v>475</v>
      </c>
      <c r="C21" s="567"/>
      <c r="D21" s="568" t="s">
        <v>664</v>
      </c>
      <c r="E21" s="569" t="s">
        <v>666</v>
      </c>
      <c r="F21" s="2506">
        <f>'R.FILE GOC'!H20</f>
        <v>0</v>
      </c>
      <c r="G21" s="2507"/>
      <c r="H21" s="2507"/>
      <c r="I21" s="2507"/>
      <c r="J21" s="2506">
        <f>'R.FILE GOC'!N20</f>
        <v>0</v>
      </c>
      <c r="K21" s="2507"/>
      <c r="L21" s="2507"/>
      <c r="M21" s="2507"/>
      <c r="N21" s="2506">
        <f>'R.FILE GOC'!T20</f>
        <v>0</v>
      </c>
      <c r="O21" s="2507"/>
      <c r="P21" s="2507"/>
      <c r="Q21" s="2507"/>
      <c r="R21" s="571"/>
      <c r="S21" s="571"/>
    </row>
    <row r="22" spans="1:19" s="564" customFormat="1" ht="28.5" customHeight="1">
      <c r="A22" s="572"/>
      <c r="B22" s="573"/>
      <c r="C22" s="573"/>
      <c r="D22" s="574"/>
      <c r="E22" s="575"/>
      <c r="F22" s="2542"/>
      <c r="G22" s="2542"/>
      <c r="H22" s="2542"/>
      <c r="I22" s="2542"/>
      <c r="J22" s="2542"/>
      <c r="K22" s="2542"/>
      <c r="L22" s="2542"/>
      <c r="M22" s="2542"/>
      <c r="N22" s="2542"/>
      <c r="O22" s="2542"/>
      <c r="P22" s="2542"/>
      <c r="Q22" s="2542"/>
      <c r="R22" s="576"/>
      <c r="S22" s="576"/>
    </row>
    <row r="23" spans="1:19" ht="39" customHeight="1">
      <c r="A23" s="2543" t="s">
        <v>972</v>
      </c>
      <c r="B23" s="2543"/>
      <c r="C23" s="2543"/>
      <c r="D23" s="2543"/>
      <c r="E23" s="2543"/>
      <c r="F23" s="2543"/>
      <c r="G23" s="2543"/>
      <c r="H23" s="2543"/>
      <c r="I23" s="2543"/>
      <c r="J23" s="2543"/>
      <c r="K23" s="2543"/>
      <c r="L23" s="2543"/>
      <c r="M23" s="2543"/>
      <c r="N23" s="536"/>
      <c r="O23" s="536"/>
      <c r="P23" s="536"/>
      <c r="Q23" s="536"/>
      <c r="R23" s="2544"/>
      <c r="S23" s="2544"/>
    </row>
    <row r="24" spans="1:19" ht="23.25" customHeight="1">
      <c r="A24" s="538"/>
      <c r="B24" s="538" t="s">
        <v>667</v>
      </c>
      <c r="C24" s="538"/>
      <c r="D24" s="539"/>
      <c r="E24" s="617" t="str">
        <f>$E$3</f>
        <v>2023/03/21</v>
      </c>
      <c r="F24" s="537"/>
      <c r="G24" s="537"/>
      <c r="H24" s="537"/>
      <c r="I24" s="537"/>
      <c r="J24" s="537"/>
      <c r="K24" s="537"/>
      <c r="L24" s="537"/>
      <c r="M24" s="537"/>
      <c r="N24" s="537"/>
      <c r="O24" s="537"/>
      <c r="P24" s="537"/>
      <c r="Q24" s="537"/>
      <c r="R24" s="2541"/>
      <c r="S24" s="2541"/>
    </row>
    <row r="25" spans="1:19" s="543" customFormat="1" ht="36.75" customHeight="1">
      <c r="A25" s="2521" t="s">
        <v>668</v>
      </c>
      <c r="B25" s="2523" t="s">
        <v>631</v>
      </c>
      <c r="C25" s="577"/>
      <c r="D25" s="2523" t="s">
        <v>136</v>
      </c>
      <c r="E25" s="2525" t="s">
        <v>632</v>
      </c>
      <c r="F25" s="2508" t="s">
        <v>633</v>
      </c>
      <c r="G25" s="2509"/>
      <c r="H25" s="2509"/>
      <c r="I25" s="2509"/>
      <c r="J25" s="2509"/>
      <c r="K25" s="2509"/>
      <c r="L25" s="2509"/>
      <c r="M25" s="2509"/>
      <c r="N25" s="2509"/>
      <c r="O25" s="2509"/>
      <c r="P25" s="2509"/>
      <c r="Q25" s="2510"/>
      <c r="R25" s="2531" t="s">
        <v>634</v>
      </c>
      <c r="S25" s="2531"/>
    </row>
    <row r="26" spans="1:19" s="543" customFormat="1" ht="16.5" customHeight="1">
      <c r="A26" s="2521"/>
      <c r="B26" s="2516"/>
      <c r="C26" s="542"/>
      <c r="D26" s="2516"/>
      <c r="E26" s="2526"/>
      <c r="F26" s="2533">
        <v>0.83333333333333337</v>
      </c>
      <c r="G26" s="2524"/>
      <c r="H26" s="2524"/>
      <c r="I26" s="2524"/>
      <c r="J26" s="2534">
        <v>4.1666666666666664E-2</v>
      </c>
      <c r="K26" s="2535"/>
      <c r="L26" s="2535"/>
      <c r="M26" s="2536"/>
      <c r="N26" s="2534">
        <v>0.16666666666666666</v>
      </c>
      <c r="O26" s="2535"/>
      <c r="P26" s="2535"/>
      <c r="Q26" s="2536"/>
      <c r="R26" s="2532"/>
      <c r="S26" s="2532"/>
    </row>
    <row r="27" spans="1:19" s="543" customFormat="1" ht="38.25" customHeight="1">
      <c r="A27" s="2522"/>
      <c r="B27" s="2524"/>
      <c r="C27" s="544"/>
      <c r="D27" s="2524"/>
      <c r="E27" s="2527"/>
      <c r="F27" s="545" t="s">
        <v>635</v>
      </c>
      <c r="G27" s="2537" t="s">
        <v>636</v>
      </c>
      <c r="H27" s="2538"/>
      <c r="I27" s="2539"/>
      <c r="J27" s="545" t="s">
        <v>635</v>
      </c>
      <c r="K27" s="2528" t="s">
        <v>636</v>
      </c>
      <c r="L27" s="2529"/>
      <c r="M27" s="2530"/>
      <c r="N27" s="545" t="s">
        <v>635</v>
      </c>
      <c r="O27" s="2528" t="s">
        <v>636</v>
      </c>
      <c r="P27" s="2529"/>
      <c r="Q27" s="2530"/>
      <c r="R27" s="2540" t="s">
        <v>669</v>
      </c>
      <c r="S27" s="2540"/>
    </row>
    <row r="28" spans="1:19" ht="28.5" customHeight="1">
      <c r="A28" s="544">
        <v>1</v>
      </c>
      <c r="B28" s="546" t="s">
        <v>638</v>
      </c>
      <c r="C28" s="546"/>
      <c r="D28" s="547" t="s">
        <v>639</v>
      </c>
      <c r="E28" s="548" t="s">
        <v>640</v>
      </c>
      <c r="F28" s="549">
        <f>'R.FILE GOC'!Z6</f>
        <v>0</v>
      </c>
      <c r="G28" s="550" t="s">
        <v>654</v>
      </c>
      <c r="H28" s="551">
        <f>'R.FILE GOC'!AC6</f>
        <v>292.1875</v>
      </c>
      <c r="I28" s="544" t="s">
        <v>10</v>
      </c>
      <c r="J28" s="549">
        <f>'R.FILE GOC'!AF6</f>
        <v>0</v>
      </c>
      <c r="K28" s="550" t="s">
        <v>654</v>
      </c>
      <c r="L28" s="551">
        <f>'R.FILE GOC'!AI6</f>
        <v>292.1875</v>
      </c>
      <c r="M28" s="544" t="s">
        <v>10</v>
      </c>
      <c r="N28" s="549">
        <f>'R.FILE GOC'!AL6</f>
        <v>0</v>
      </c>
      <c r="O28" s="550" t="s">
        <v>654</v>
      </c>
      <c r="P28" s="551">
        <f>'R.FILE GOC'!AO6</f>
        <v>292.1875</v>
      </c>
      <c r="Q28" s="544" t="s">
        <v>10</v>
      </c>
      <c r="R28" s="2515" t="s">
        <v>670</v>
      </c>
      <c r="S28" s="2515"/>
    </row>
    <row r="29" spans="1:19" ht="28.5" hidden="1" customHeight="1">
      <c r="A29" s="544">
        <v>2</v>
      </c>
      <c r="B29" s="546" t="s">
        <v>643</v>
      </c>
      <c r="C29" s="552"/>
      <c r="D29" s="547" t="s">
        <v>639</v>
      </c>
      <c r="E29" s="548" t="s">
        <v>640</v>
      </c>
      <c r="F29" s="553">
        <f>'R.FILE GOC'!Z7</f>
        <v>0</v>
      </c>
      <c r="G29" s="554" t="s">
        <v>654</v>
      </c>
      <c r="H29" s="555">
        <f>'R.FILE GOC'!AC7</f>
        <v>292.1875</v>
      </c>
      <c r="I29" s="235" t="s">
        <v>10</v>
      </c>
      <c r="J29" s="553">
        <f>'R.FILE GOC'!AF7</f>
        <v>0</v>
      </c>
      <c r="K29" s="554" t="s">
        <v>654</v>
      </c>
      <c r="L29" s="555">
        <f>'R.FILE GOC'!AI7</f>
        <v>292.1875</v>
      </c>
      <c r="M29" s="235" t="s">
        <v>10</v>
      </c>
      <c r="N29" s="553">
        <f>'R.FILE GOC'!AL7</f>
        <v>0</v>
      </c>
      <c r="O29" s="554" t="s">
        <v>654</v>
      </c>
      <c r="P29" s="555">
        <f>'R.FILE GOC'!AO7</f>
        <v>292.1875</v>
      </c>
      <c r="Q29" s="235" t="s">
        <v>10</v>
      </c>
      <c r="R29" s="2515" t="s">
        <v>671</v>
      </c>
      <c r="S29" s="2515"/>
    </row>
    <row r="30" spans="1:19" ht="28.5" customHeight="1">
      <c r="A30" s="544">
        <v>3</v>
      </c>
      <c r="B30" s="2517" t="s">
        <v>672</v>
      </c>
      <c r="C30" s="557"/>
      <c r="D30" s="2520" t="s">
        <v>466</v>
      </c>
      <c r="E30" s="548" t="s">
        <v>645</v>
      </c>
      <c r="F30" s="549">
        <f>'R.FILE GOC'!Z8</f>
        <v>0</v>
      </c>
      <c r="G30" s="550" t="s">
        <v>654</v>
      </c>
      <c r="H30" s="551">
        <f>'R.FILE GOC'!AC8</f>
        <v>69.400000000000006</v>
      </c>
      <c r="I30" s="544" t="s">
        <v>655</v>
      </c>
      <c r="J30" s="549">
        <f>'R.FILE GOC'!AF8</f>
        <v>0</v>
      </c>
      <c r="K30" s="550" t="s">
        <v>654</v>
      </c>
      <c r="L30" s="551">
        <f>'R.FILE GOC'!AI8</f>
        <v>69.400000000000006</v>
      </c>
      <c r="M30" s="544" t="s">
        <v>655</v>
      </c>
      <c r="N30" s="549">
        <f>'R.FILE GOC'!AL8</f>
        <v>0</v>
      </c>
      <c r="O30" s="550" t="s">
        <v>654</v>
      </c>
      <c r="P30" s="551">
        <f>'R.FILE GOC'!AO8</f>
        <v>69.400000000000006</v>
      </c>
      <c r="Q30" s="544" t="s">
        <v>655</v>
      </c>
      <c r="R30" s="2515" t="s">
        <v>673</v>
      </c>
      <c r="S30" s="2515"/>
    </row>
    <row r="31" spans="1:19" ht="28.5" customHeight="1">
      <c r="A31" s="544">
        <v>4</v>
      </c>
      <c r="B31" s="2518"/>
      <c r="C31" s="558"/>
      <c r="D31" s="2520"/>
      <c r="E31" s="548" t="s">
        <v>649</v>
      </c>
      <c r="F31" s="549">
        <f>'R.FILE GOC'!Z9</f>
        <v>0</v>
      </c>
      <c r="G31" s="550" t="s">
        <v>654</v>
      </c>
      <c r="H31" s="551">
        <f>'R.FILE GOC'!AC9</f>
        <v>4.5110000000000001</v>
      </c>
      <c r="I31" s="544" t="s">
        <v>655</v>
      </c>
      <c r="J31" s="549">
        <f>'R.FILE GOC'!AF9</f>
        <v>0</v>
      </c>
      <c r="K31" s="550" t="s">
        <v>654</v>
      </c>
      <c r="L31" s="551">
        <f>'R.FILE GOC'!AI9</f>
        <v>4.5110000000000001</v>
      </c>
      <c r="M31" s="544" t="s">
        <v>655</v>
      </c>
      <c r="N31" s="549">
        <f>'R.FILE GOC'!AL9</f>
        <v>0</v>
      </c>
      <c r="O31" s="550" t="s">
        <v>654</v>
      </c>
      <c r="P31" s="551">
        <f>'R.FILE GOC'!AO9</f>
        <v>4.5110000000000001</v>
      </c>
      <c r="Q31" s="544" t="s">
        <v>655</v>
      </c>
      <c r="R31" s="2515" t="s">
        <v>674</v>
      </c>
      <c r="S31" s="2515"/>
    </row>
    <row r="32" spans="1:19" ht="28.5" customHeight="1">
      <c r="A32" s="544">
        <v>5</v>
      </c>
      <c r="B32" s="2519"/>
      <c r="C32" s="559"/>
      <c r="D32" s="2520"/>
      <c r="E32" s="548" t="s">
        <v>651</v>
      </c>
      <c r="F32" s="560">
        <f>'R.FILE GOC'!Z10</f>
        <v>0</v>
      </c>
      <c r="G32" s="550" t="s">
        <v>675</v>
      </c>
      <c r="H32" s="551">
        <f>'R.FILE GOC'!AC10</f>
        <v>0</v>
      </c>
      <c r="I32" s="544" t="s">
        <v>676</v>
      </c>
      <c r="J32" s="560">
        <f>'R.FILE GOC'!AF10</f>
        <v>0</v>
      </c>
      <c r="K32" s="550" t="s">
        <v>675</v>
      </c>
      <c r="L32" s="551">
        <f>'R.FILE GOC'!AI10</f>
        <v>0</v>
      </c>
      <c r="M32" s="544" t="s">
        <v>676</v>
      </c>
      <c r="N32" s="560">
        <f>'R.FILE GOC'!AL10</f>
        <v>0</v>
      </c>
      <c r="O32" s="550" t="s">
        <v>675</v>
      </c>
      <c r="P32" s="551" t="str">
        <f>'R.FILE GOC'!AO10</f>
        <v>N/A</v>
      </c>
      <c r="Q32" s="544" t="s">
        <v>676</v>
      </c>
      <c r="R32" s="2515"/>
      <c r="S32" s="2515"/>
    </row>
    <row r="33" spans="1:19" ht="28.5" customHeight="1">
      <c r="A33" s="544">
        <v>6</v>
      </c>
      <c r="B33" s="2517" t="s">
        <v>652</v>
      </c>
      <c r="C33" s="557"/>
      <c r="D33" s="2520" t="s">
        <v>466</v>
      </c>
      <c r="E33" s="548" t="s">
        <v>645</v>
      </c>
      <c r="F33" s="549">
        <f>'R.FILE GOC'!Z11</f>
        <v>0</v>
      </c>
      <c r="G33" s="550" t="s">
        <v>675</v>
      </c>
      <c r="H33" s="551">
        <f>'R.FILE GOC'!AC11</f>
        <v>69.400000000000006</v>
      </c>
      <c r="I33" s="544" t="s">
        <v>676</v>
      </c>
      <c r="J33" s="549">
        <f>'R.FILE GOC'!AF11</f>
        <v>0</v>
      </c>
      <c r="K33" s="550" t="s">
        <v>675</v>
      </c>
      <c r="L33" s="551">
        <f>'R.FILE GOC'!AI11</f>
        <v>69.400000000000006</v>
      </c>
      <c r="M33" s="544" t="s">
        <v>676</v>
      </c>
      <c r="N33" s="549">
        <f>'R.FILE GOC'!AL11</f>
        <v>0</v>
      </c>
      <c r="O33" s="550" t="s">
        <v>675</v>
      </c>
      <c r="P33" s="551">
        <f>'R.FILE GOC'!AO11</f>
        <v>69.400000000000006</v>
      </c>
      <c r="Q33" s="544" t="s">
        <v>676</v>
      </c>
      <c r="R33" s="2515" t="s">
        <v>673</v>
      </c>
      <c r="S33" s="2515"/>
    </row>
    <row r="34" spans="1:19" ht="28.5" customHeight="1">
      <c r="A34" s="544">
        <v>7</v>
      </c>
      <c r="B34" s="2518"/>
      <c r="C34" s="558"/>
      <c r="D34" s="2520"/>
      <c r="E34" s="548" t="s">
        <v>649</v>
      </c>
      <c r="F34" s="560">
        <f>'R.FILE GOC'!Z12</f>
        <v>0</v>
      </c>
      <c r="G34" s="550" t="s">
        <v>675</v>
      </c>
      <c r="H34" s="551">
        <f>'R.FILE GOC'!AC12</f>
        <v>4.5110000000000001</v>
      </c>
      <c r="I34" s="544" t="s">
        <v>676</v>
      </c>
      <c r="J34" s="560">
        <f>'R.FILE GOC'!AF12</f>
        <v>0</v>
      </c>
      <c r="K34" s="550" t="s">
        <v>675</v>
      </c>
      <c r="L34" s="551">
        <f>'R.FILE GOC'!AI12</f>
        <v>4.5110000000000001</v>
      </c>
      <c r="M34" s="544" t="s">
        <v>676</v>
      </c>
      <c r="N34" s="560">
        <f>'R.FILE GOC'!AL12</f>
        <v>0</v>
      </c>
      <c r="O34" s="550" t="s">
        <v>675</v>
      </c>
      <c r="P34" s="551">
        <f>'R.FILE GOC'!AO12</f>
        <v>4.5110000000000001</v>
      </c>
      <c r="Q34" s="544" t="s">
        <v>676</v>
      </c>
      <c r="R34" s="2515" t="s">
        <v>674</v>
      </c>
      <c r="S34" s="2515"/>
    </row>
    <row r="35" spans="1:19" ht="28.5" customHeight="1">
      <c r="A35" s="544">
        <v>8</v>
      </c>
      <c r="B35" s="2519"/>
      <c r="C35" s="559"/>
      <c r="D35" s="2520"/>
      <c r="E35" s="548" t="s">
        <v>651</v>
      </c>
      <c r="F35" s="560">
        <f>'R.FILE GOC'!Z13</f>
        <v>0</v>
      </c>
      <c r="G35" s="550" t="s">
        <v>675</v>
      </c>
      <c r="H35" s="551">
        <f>'R.FILE GOC'!AC13</f>
        <v>0</v>
      </c>
      <c r="I35" s="544" t="s">
        <v>676</v>
      </c>
      <c r="J35" s="560">
        <f>'R.FILE GOC'!AF13</f>
        <v>0</v>
      </c>
      <c r="K35" s="550" t="s">
        <v>675</v>
      </c>
      <c r="L35" s="551">
        <f>'R.FILE GOC'!AI13</f>
        <v>0</v>
      </c>
      <c r="M35" s="544" t="s">
        <v>676</v>
      </c>
      <c r="N35" s="560">
        <f>'R.FILE GOC'!AL13</f>
        <v>0</v>
      </c>
      <c r="O35" s="550" t="s">
        <v>675</v>
      </c>
      <c r="P35" s="551" t="str">
        <f>'R.FILE GOC'!AO13</f>
        <v>N/A</v>
      </c>
      <c r="Q35" s="544" t="s">
        <v>676</v>
      </c>
      <c r="R35" s="2515"/>
      <c r="S35" s="2515"/>
    </row>
    <row r="36" spans="1:19" s="564" customFormat="1" ht="28.5" customHeight="1">
      <c r="A36" s="544">
        <v>9</v>
      </c>
      <c r="B36" s="2513" t="s">
        <v>653</v>
      </c>
      <c r="C36" s="552"/>
      <c r="D36" s="561" t="s">
        <v>466</v>
      </c>
      <c r="E36" s="548" t="s">
        <v>476</v>
      </c>
      <c r="F36" s="549">
        <f>'R.FILE GOC'!Z14</f>
        <v>0</v>
      </c>
      <c r="G36" s="550" t="s">
        <v>654</v>
      </c>
      <c r="H36" s="562">
        <f>'R.FILE GOC'!AC14</f>
        <v>4.3680000000000003</v>
      </c>
      <c r="I36" s="563" t="s">
        <v>655</v>
      </c>
      <c r="J36" s="549">
        <f>'R.FILE GOC'!AF14</f>
        <v>0</v>
      </c>
      <c r="K36" s="550" t="s">
        <v>654</v>
      </c>
      <c r="L36" s="562">
        <f>'R.FILE GOC'!AI14</f>
        <v>4.3680000000000003</v>
      </c>
      <c r="M36" s="563" t="s">
        <v>655</v>
      </c>
      <c r="N36" s="549">
        <f>'R.FILE GOC'!AL14</f>
        <v>0</v>
      </c>
      <c r="O36" s="550" t="s">
        <v>654</v>
      </c>
      <c r="P36" s="562">
        <f>'R.FILE GOC'!AO14</f>
        <v>4.3680000000000003</v>
      </c>
      <c r="Q36" s="563" t="s">
        <v>655</v>
      </c>
      <c r="R36" s="2515"/>
      <c r="S36" s="2515"/>
    </row>
    <row r="37" spans="1:19" s="564" customFormat="1" ht="28.5" customHeight="1">
      <c r="A37" s="544">
        <v>10</v>
      </c>
      <c r="B37" s="2514"/>
      <c r="C37" s="565"/>
      <c r="D37" s="561" t="s">
        <v>656</v>
      </c>
      <c r="E37" s="548" t="s">
        <v>657</v>
      </c>
      <c r="F37" s="549">
        <f>'R.FILE GOC'!Z15</f>
        <v>0</v>
      </c>
      <c r="G37" s="550"/>
      <c r="H37" s="551"/>
      <c r="I37" s="563"/>
      <c r="J37" s="549">
        <f>'R.FILE GOC'!AF15</f>
        <v>0</v>
      </c>
      <c r="K37" s="550"/>
      <c r="L37" s="551"/>
      <c r="M37" s="563"/>
      <c r="N37" s="549">
        <f>'R.FILE GOC'!AL15</f>
        <v>0</v>
      </c>
      <c r="O37" s="550"/>
      <c r="P37" s="551"/>
      <c r="Q37" s="563"/>
      <c r="R37" s="2515"/>
      <c r="S37" s="2515"/>
    </row>
    <row r="38" spans="1:19" s="564" customFormat="1" ht="27" customHeight="1">
      <c r="A38" s="2516" t="s">
        <v>658</v>
      </c>
      <c r="B38" s="2516"/>
      <c r="C38" s="2516"/>
      <c r="D38" s="2516"/>
      <c r="E38" s="2516"/>
      <c r="F38" s="2516"/>
      <c r="G38" s="2516"/>
      <c r="H38" s="2516"/>
      <c r="I38" s="2516"/>
      <c r="J38" s="2516"/>
      <c r="K38" s="2516"/>
      <c r="L38" s="2516"/>
      <c r="M38" s="2516"/>
      <c r="N38" s="2516"/>
      <c r="O38" s="2516"/>
      <c r="P38" s="2516"/>
      <c r="Q38" s="2516"/>
      <c r="R38" s="2516"/>
      <c r="S38" s="2516"/>
    </row>
    <row r="39" spans="1:19" s="564" customFormat="1" ht="34.5" customHeight="1">
      <c r="A39" s="544" t="s">
        <v>677</v>
      </c>
      <c r="B39" s="566" t="s">
        <v>660</v>
      </c>
      <c r="C39" s="566"/>
      <c r="D39" s="542" t="s">
        <v>661</v>
      </c>
      <c r="E39" s="542" t="s">
        <v>662</v>
      </c>
      <c r="F39" s="2508" t="s">
        <v>663</v>
      </c>
      <c r="G39" s="2509"/>
      <c r="H39" s="2509"/>
      <c r="I39" s="2509"/>
      <c r="J39" s="2509"/>
      <c r="K39" s="2509"/>
      <c r="L39" s="2509"/>
      <c r="M39" s="2509"/>
      <c r="N39" s="2509"/>
      <c r="O39" s="2509"/>
      <c r="P39" s="2509"/>
      <c r="Q39" s="2510"/>
      <c r="R39" s="2511" t="s">
        <v>634</v>
      </c>
      <c r="S39" s="2512"/>
    </row>
    <row r="40" spans="1:19" s="564" customFormat="1" ht="30.75" customHeight="1">
      <c r="A40" s="544">
        <v>1</v>
      </c>
      <c r="B40" s="567" t="s">
        <v>480</v>
      </c>
      <c r="C40" s="567"/>
      <c r="D40" s="568" t="s">
        <v>664</v>
      </c>
      <c r="E40" s="569" t="s">
        <v>665</v>
      </c>
      <c r="F40" s="2506">
        <f>'R.FILE GOC'!Z18</f>
        <v>0</v>
      </c>
      <c r="G40" s="2507"/>
      <c r="H40" s="2507"/>
      <c r="I40" s="2507"/>
      <c r="J40" s="2506">
        <f>'R.FILE GOC'!AF18</f>
        <v>0</v>
      </c>
      <c r="K40" s="2507"/>
      <c r="L40" s="2507"/>
      <c r="M40" s="2507"/>
      <c r="N40" s="2506">
        <f>'R.FILE GOC'!AL18</f>
        <v>0</v>
      </c>
      <c r="O40" s="2507"/>
      <c r="P40" s="2507"/>
      <c r="Q40" s="2507"/>
      <c r="R40" s="570"/>
      <c r="S40" s="570"/>
    </row>
    <row r="41" spans="1:19" s="564" customFormat="1" ht="30.75" customHeight="1">
      <c r="A41" s="544">
        <v>2</v>
      </c>
      <c r="B41" s="567" t="s">
        <v>482</v>
      </c>
      <c r="C41" s="567"/>
      <c r="D41" s="568" t="s">
        <v>664</v>
      </c>
      <c r="E41" s="569" t="s">
        <v>665</v>
      </c>
      <c r="F41" s="2506">
        <f>'R.FILE GOC'!Z19</f>
        <v>0</v>
      </c>
      <c r="G41" s="2507"/>
      <c r="H41" s="2507"/>
      <c r="I41" s="2507"/>
      <c r="J41" s="2506">
        <f>'R.FILE GOC'!AF19</f>
        <v>0</v>
      </c>
      <c r="K41" s="2507"/>
      <c r="L41" s="2507"/>
      <c r="M41" s="2507"/>
      <c r="N41" s="2506">
        <f>'R.FILE GOC'!AL19</f>
        <v>0</v>
      </c>
      <c r="O41" s="2507"/>
      <c r="P41" s="2507"/>
      <c r="Q41" s="2507"/>
      <c r="R41" s="570"/>
      <c r="S41" s="570"/>
    </row>
    <row r="42" spans="1:19" s="564" customFormat="1" ht="30.75" customHeight="1">
      <c r="A42" s="544">
        <v>3</v>
      </c>
      <c r="B42" s="567" t="s">
        <v>475</v>
      </c>
      <c r="C42" s="567"/>
      <c r="D42" s="568" t="s">
        <v>664</v>
      </c>
      <c r="E42" s="569" t="s">
        <v>666</v>
      </c>
      <c r="F42" s="2506">
        <f>'R.FILE GOC'!Z20</f>
        <v>0</v>
      </c>
      <c r="G42" s="2507"/>
      <c r="H42" s="2507"/>
      <c r="I42" s="2507"/>
      <c r="J42" s="2506">
        <f>'R.FILE GOC'!AF20</f>
        <v>0</v>
      </c>
      <c r="K42" s="2507"/>
      <c r="L42" s="2507"/>
      <c r="M42" s="2507"/>
      <c r="N42" s="2506">
        <f>'R.FILE GOC'!AL20</f>
        <v>0</v>
      </c>
      <c r="O42" s="2507"/>
      <c r="P42" s="2507"/>
      <c r="Q42" s="2507"/>
      <c r="R42" s="571"/>
      <c r="S42" s="571"/>
    </row>
    <row r="43" spans="1:19" ht="20.25" customHeight="1">
      <c r="A43" s="578"/>
      <c r="B43" s="579"/>
      <c r="C43" s="579"/>
      <c r="D43" s="580"/>
      <c r="E43" s="579"/>
      <c r="F43" s="579"/>
      <c r="G43" s="579"/>
      <c r="H43" s="579"/>
      <c r="I43" s="579"/>
      <c r="J43" s="579"/>
      <c r="K43" s="579"/>
      <c r="L43" s="579"/>
      <c r="M43" s="579"/>
      <c r="N43" s="579"/>
      <c r="O43" s="579"/>
      <c r="P43" s="579"/>
      <c r="Q43" s="579"/>
    </row>
    <row r="44" spans="1:19" ht="12.75" customHeight="1">
      <c r="A44" s="581"/>
      <c r="B44" s="579"/>
      <c r="C44" s="579"/>
      <c r="D44" s="572"/>
      <c r="E44" s="579"/>
      <c r="F44" s="582"/>
      <c r="G44" s="583"/>
      <c r="H44" s="572"/>
      <c r="I44" s="584"/>
      <c r="J44" s="584"/>
      <c r="K44" s="584"/>
      <c r="L44" s="584"/>
      <c r="M44" s="584"/>
      <c r="N44" s="584"/>
      <c r="O44" s="584"/>
      <c r="P44" s="584"/>
      <c r="Q44" s="584"/>
    </row>
  </sheetData>
  <sheetProtection selectLockedCells="1"/>
  <mergeCells count="91">
    <mergeCell ref="A1:M1"/>
    <mergeCell ref="A2:M2"/>
    <mergeCell ref="P2:Q2"/>
    <mergeCell ref="R2:S2"/>
    <mergeCell ref="P3:Q3"/>
    <mergeCell ref="R3:S3"/>
    <mergeCell ref="R4:S5"/>
    <mergeCell ref="F5:I5"/>
    <mergeCell ref="J5:M5"/>
    <mergeCell ref="N5:Q5"/>
    <mergeCell ref="G6:I6"/>
    <mergeCell ref="R6:S6"/>
    <mergeCell ref="A4:A6"/>
    <mergeCell ref="B4:B6"/>
    <mergeCell ref="D4:D6"/>
    <mergeCell ref="E4:E6"/>
    <mergeCell ref="F4:Q4"/>
    <mergeCell ref="K6:M6"/>
    <mergeCell ref="O6:Q6"/>
    <mergeCell ref="R7:S7"/>
    <mergeCell ref="B9:B11"/>
    <mergeCell ref="D9:D11"/>
    <mergeCell ref="R9:S9"/>
    <mergeCell ref="R10:S10"/>
    <mergeCell ref="R11:S11"/>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24:S24"/>
    <mergeCell ref="F20:I20"/>
    <mergeCell ref="J20:M20"/>
    <mergeCell ref="N20:Q20"/>
    <mergeCell ref="F21:I21"/>
    <mergeCell ref="J21:M21"/>
    <mergeCell ref="N21:Q21"/>
    <mergeCell ref="F22:I22"/>
    <mergeCell ref="J22:M22"/>
    <mergeCell ref="N22:Q22"/>
    <mergeCell ref="A23:M23"/>
    <mergeCell ref="R23:S23"/>
    <mergeCell ref="R25:S26"/>
    <mergeCell ref="F26:I26"/>
    <mergeCell ref="J26:M26"/>
    <mergeCell ref="N26:Q26"/>
    <mergeCell ref="G27:I27"/>
    <mergeCell ref="R27:S27"/>
    <mergeCell ref="A25:A27"/>
    <mergeCell ref="B25:B27"/>
    <mergeCell ref="D25:D27"/>
    <mergeCell ref="E25:E27"/>
    <mergeCell ref="F25:Q25"/>
    <mergeCell ref="K27:M27"/>
    <mergeCell ref="O27:Q27"/>
    <mergeCell ref="R28:S28"/>
    <mergeCell ref="R29:S29"/>
    <mergeCell ref="R34:S34"/>
    <mergeCell ref="R35:S35"/>
    <mergeCell ref="A38:S38"/>
    <mergeCell ref="B33:B35"/>
    <mergeCell ref="D33:D35"/>
    <mergeCell ref="R33:S33"/>
    <mergeCell ref="B30:B32"/>
    <mergeCell ref="D30:D32"/>
    <mergeCell ref="R30:S30"/>
    <mergeCell ref="R31:S31"/>
    <mergeCell ref="R32:S32"/>
    <mergeCell ref="F39:Q39"/>
    <mergeCell ref="R39:S39"/>
    <mergeCell ref="B36:B37"/>
    <mergeCell ref="R36:S36"/>
    <mergeCell ref="R37:S37"/>
    <mergeCell ref="F42:I42"/>
    <mergeCell ref="J42:M42"/>
    <mergeCell ref="N42:Q42"/>
    <mergeCell ref="F40:I40"/>
    <mergeCell ref="J40:M40"/>
    <mergeCell ref="N40:Q40"/>
    <mergeCell ref="F41:I41"/>
    <mergeCell ref="J41:M41"/>
    <mergeCell ref="N41:Q41"/>
  </mergeCells>
  <phoneticPr fontId="6" type="noConversion"/>
  <conditionalFormatting sqref="F40:Q41 F19:Q20">
    <cfRule type="expression" dxfId="802" priority="53">
      <formula>F19&lt;65</formula>
    </cfRule>
    <cfRule type="expression" dxfId="801" priority="54">
      <formula>F19&gt;85</formula>
    </cfRule>
  </conditionalFormatting>
  <conditionalFormatting sqref="F42:Q42 F21:Q21">
    <cfRule type="expression" dxfId="800" priority="51">
      <formula>F21&lt;80</formula>
    </cfRule>
    <cfRule type="expression" dxfId="799" priority="52">
      <formula>F21&gt;90</formula>
    </cfRule>
  </conditionalFormatting>
  <conditionalFormatting sqref="F8 J8">
    <cfRule type="expression" dxfId="798" priority="49">
      <formula>F8&lt;10</formula>
    </cfRule>
    <cfRule type="expression" dxfId="797" priority="50">
      <formula>F8&gt;15</formula>
    </cfRule>
  </conditionalFormatting>
  <conditionalFormatting sqref="N8">
    <cfRule type="expression" dxfId="796" priority="47">
      <formula>N8&lt;10</formula>
    </cfRule>
    <cfRule type="expression" dxfId="795" priority="48">
      <formula>N8&gt;15</formula>
    </cfRule>
  </conditionalFormatting>
  <conditionalFormatting sqref="J8">
    <cfRule type="expression" dxfId="794" priority="45">
      <formula>J8&lt;10</formula>
    </cfRule>
    <cfRule type="expression" dxfId="793" priority="46">
      <formula>J8&gt;15</formula>
    </cfRule>
  </conditionalFormatting>
  <conditionalFormatting sqref="N8">
    <cfRule type="expression" dxfId="792" priority="43">
      <formula>N8&lt;10</formula>
    </cfRule>
    <cfRule type="expression" dxfId="791" priority="44">
      <formula>N8&gt;15</formula>
    </cfRule>
  </conditionalFormatting>
  <conditionalFormatting sqref="F8">
    <cfRule type="expression" dxfId="790" priority="41">
      <formula>F8&lt;10</formula>
    </cfRule>
    <cfRule type="expression" dxfId="789" priority="42">
      <formula>F8&gt;15</formula>
    </cfRule>
  </conditionalFormatting>
  <conditionalFormatting sqref="F8 J8">
    <cfRule type="expression" dxfId="788" priority="39">
      <formula>F8&lt;10</formula>
    </cfRule>
    <cfRule type="expression" dxfId="787" priority="40">
      <formula>F8&gt;15</formula>
    </cfRule>
  </conditionalFormatting>
  <conditionalFormatting sqref="N8">
    <cfRule type="expression" dxfId="786" priority="37">
      <formula>N8&lt;10</formula>
    </cfRule>
    <cfRule type="expression" dxfId="785" priority="38">
      <formula>N8&gt;15</formula>
    </cfRule>
  </conditionalFormatting>
  <conditionalFormatting sqref="F8">
    <cfRule type="expression" dxfId="784" priority="35">
      <formula>F8&lt;10</formula>
    </cfRule>
    <cfRule type="expression" dxfId="783" priority="36">
      <formula>F8&gt;15</formula>
    </cfRule>
  </conditionalFormatting>
  <conditionalFormatting sqref="F8">
    <cfRule type="expression" dxfId="782" priority="34">
      <formula>F8&lt;1</formula>
    </cfRule>
  </conditionalFormatting>
  <conditionalFormatting sqref="J8">
    <cfRule type="expression" dxfId="781" priority="32">
      <formula>J8&lt;10</formula>
    </cfRule>
    <cfRule type="expression" dxfId="780" priority="33">
      <formula>J8&gt;15</formula>
    </cfRule>
  </conditionalFormatting>
  <conditionalFormatting sqref="J8">
    <cfRule type="expression" dxfId="779" priority="31">
      <formula>J8&lt;1</formula>
    </cfRule>
  </conditionalFormatting>
  <conditionalFormatting sqref="N8">
    <cfRule type="expression" dxfId="778" priority="29">
      <formula>N8&lt;10</formula>
    </cfRule>
    <cfRule type="expression" dxfId="777" priority="30">
      <formula>N8&gt;15</formula>
    </cfRule>
  </conditionalFormatting>
  <conditionalFormatting sqref="N8">
    <cfRule type="expression" dxfId="776" priority="27">
      <formula>N8&lt;10</formula>
    </cfRule>
    <cfRule type="expression" dxfId="775" priority="28">
      <formula>N8&gt;15</formula>
    </cfRule>
  </conditionalFormatting>
  <conditionalFormatting sqref="N8">
    <cfRule type="expression" dxfId="774" priority="26">
      <formula>N8&lt;1</formula>
    </cfRule>
  </conditionalFormatting>
  <conditionalFormatting sqref="F29 J29">
    <cfRule type="expression" dxfId="773" priority="24">
      <formula>F29&lt;10</formula>
    </cfRule>
    <cfRule type="expression" dxfId="772" priority="25">
      <formula>F29&gt;15</formula>
    </cfRule>
  </conditionalFormatting>
  <conditionalFormatting sqref="N29">
    <cfRule type="expression" dxfId="771" priority="22">
      <formula>N29&lt;10</formula>
    </cfRule>
    <cfRule type="expression" dxfId="770" priority="23">
      <formula>N29&gt;15</formula>
    </cfRule>
  </conditionalFormatting>
  <conditionalFormatting sqref="J29">
    <cfRule type="expression" dxfId="769" priority="20">
      <formula>J29&lt;10</formula>
    </cfRule>
    <cfRule type="expression" dxfId="768" priority="21">
      <formula>J29&gt;15</formula>
    </cfRule>
  </conditionalFormatting>
  <conditionalFormatting sqref="N29">
    <cfRule type="expression" dxfId="767" priority="18">
      <formula>N29&lt;10</formula>
    </cfRule>
    <cfRule type="expression" dxfId="766" priority="19">
      <formula>N29&gt;15</formula>
    </cfRule>
  </conditionalFormatting>
  <conditionalFormatting sqref="F29">
    <cfRule type="expression" dxfId="765" priority="16">
      <formula>F29&lt;10</formula>
    </cfRule>
    <cfRule type="expression" dxfId="764" priority="17">
      <formula>F29&gt;15</formula>
    </cfRule>
  </conditionalFormatting>
  <conditionalFormatting sqref="F29 J29">
    <cfRule type="expression" dxfId="763" priority="14">
      <formula>F29&lt;10</formula>
    </cfRule>
    <cfRule type="expression" dxfId="762" priority="15">
      <formula>F29&gt;15</formula>
    </cfRule>
  </conditionalFormatting>
  <conditionalFormatting sqref="N29">
    <cfRule type="expression" dxfId="761" priority="12">
      <formula>N29&lt;10</formula>
    </cfRule>
    <cfRule type="expression" dxfId="760" priority="13">
      <formula>N29&gt;15</formula>
    </cfRule>
  </conditionalFormatting>
  <conditionalFormatting sqref="F29">
    <cfRule type="expression" dxfId="759" priority="10">
      <formula>F29&lt;10</formula>
    </cfRule>
    <cfRule type="expression" dxfId="758" priority="11">
      <formula>F29&gt;15</formula>
    </cfRule>
  </conditionalFormatting>
  <conditionalFormatting sqref="F29">
    <cfRule type="expression" dxfId="757" priority="9">
      <formula>F29&lt;1</formula>
    </cfRule>
  </conditionalFormatting>
  <conditionalFormatting sqref="J29">
    <cfRule type="expression" dxfId="756" priority="7">
      <formula>J29&lt;10</formula>
    </cfRule>
    <cfRule type="expression" dxfId="755" priority="8">
      <formula>J29&gt;15</formula>
    </cfRule>
  </conditionalFormatting>
  <conditionalFormatting sqref="J29">
    <cfRule type="expression" dxfId="754" priority="6">
      <formula>J29&lt;1</formula>
    </cfRule>
  </conditionalFormatting>
  <conditionalFormatting sqref="N29">
    <cfRule type="expression" dxfId="753" priority="4">
      <formula>N29&lt;10</formula>
    </cfRule>
    <cfRule type="expression" dxfId="752" priority="5">
      <formula>N29&gt;15</formula>
    </cfRule>
  </conditionalFormatting>
  <conditionalFormatting sqref="N29">
    <cfRule type="expression" dxfId="751" priority="2">
      <formula>N29&lt;10</formula>
    </cfRule>
    <cfRule type="expression" dxfId="750" priority="3">
      <formula>N29&gt;15</formula>
    </cfRule>
  </conditionalFormatting>
  <conditionalFormatting sqref="N29">
    <cfRule type="expression" dxfId="749"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D3" sqref="D3"/>
    </sheetView>
  </sheetViews>
  <sheetFormatPr defaultRowHeight="13.5"/>
  <cols>
    <col min="1" max="1" width="5.5" style="535" customWidth="1"/>
    <col min="2" max="2" width="23.875" style="585" customWidth="1"/>
    <col min="3" max="3" width="8.5" style="535" customWidth="1"/>
    <col min="4" max="4" width="14" style="535" customWidth="1"/>
    <col min="5" max="5" width="7.375" style="535" customWidth="1"/>
    <col min="6" max="6" width="3.875" style="535" customWidth="1"/>
    <col min="7" max="7" width="7.5" style="535" customWidth="1"/>
    <col min="8" max="8" width="4.375" style="535" customWidth="1"/>
    <col min="9" max="9" width="8.5" style="535" customWidth="1"/>
    <col min="10" max="10" width="2.625" style="535" customWidth="1"/>
    <col min="11" max="11" width="6.875" style="535" customWidth="1"/>
    <col min="12" max="12" width="4.25" style="535" customWidth="1"/>
    <col min="13" max="13" width="8.5" style="535" customWidth="1"/>
    <col min="14" max="14" width="2.625" style="535" customWidth="1"/>
    <col min="15" max="15" width="6.875" style="535" customWidth="1"/>
    <col min="16" max="16" width="4.25" style="535" customWidth="1"/>
    <col min="17" max="17" width="11.125" style="535" customWidth="1"/>
    <col min="18" max="16384" width="9" style="535"/>
  </cols>
  <sheetData>
    <row r="1" spans="1:17" ht="27.75" customHeight="1">
      <c r="A1" s="2546" t="s">
        <v>625</v>
      </c>
      <c r="B1" s="2546"/>
      <c r="C1" s="2546"/>
      <c r="D1" s="2546"/>
      <c r="E1" s="2546"/>
      <c r="F1" s="2546"/>
      <c r="G1" s="2546"/>
      <c r="H1" s="2546"/>
      <c r="I1" s="2546"/>
      <c r="J1" s="2546"/>
      <c r="K1" s="2546"/>
      <c r="L1" s="2546"/>
      <c r="M1" s="533"/>
      <c r="N1" s="533"/>
      <c r="O1" s="533"/>
      <c r="P1" s="533"/>
      <c r="Q1" s="533"/>
    </row>
    <row r="2" spans="1:17" ht="36.75" customHeight="1">
      <c r="A2" s="2543" t="s">
        <v>975</v>
      </c>
      <c r="B2" s="2543"/>
      <c r="C2" s="2543"/>
      <c r="D2" s="2543"/>
      <c r="E2" s="2543"/>
      <c r="F2" s="2543"/>
      <c r="G2" s="2543"/>
      <c r="H2" s="2543"/>
      <c r="I2" s="2543"/>
      <c r="J2" s="2543"/>
      <c r="K2" s="2543"/>
      <c r="L2" s="2543"/>
      <c r="M2" s="536"/>
      <c r="N2" s="536"/>
      <c r="O2" s="2229" t="s">
        <v>678</v>
      </c>
      <c r="P2" s="2230"/>
      <c r="Q2" s="85" t="s">
        <v>17</v>
      </c>
    </row>
    <row r="3" spans="1:17" ht="22.5" customHeight="1">
      <c r="A3" s="537"/>
      <c r="B3" s="538" t="s">
        <v>628</v>
      </c>
      <c r="C3" s="539"/>
      <c r="D3" s="1729" t="str">
        <f>'1.xi den'!$G$3</f>
        <v>2023/03/21</v>
      </c>
      <c r="E3" s="539"/>
      <c r="F3" s="539"/>
      <c r="G3" s="539"/>
      <c r="H3" s="539"/>
      <c r="I3" s="2563"/>
      <c r="J3" s="2563"/>
      <c r="K3" s="2563"/>
      <c r="L3" s="587"/>
      <c r="M3" s="538"/>
      <c r="N3" s="538"/>
      <c r="O3" s="2551" t="str">
        <f>'1.xi den'!$N$3</f>
        <v>Trang</v>
      </c>
      <c r="P3" s="2552"/>
      <c r="Q3" s="588" t="s">
        <v>679</v>
      </c>
    </row>
    <row r="4" spans="1:17" s="589" customFormat="1" ht="39" customHeight="1">
      <c r="A4" s="2564" t="s">
        <v>680</v>
      </c>
      <c r="B4" s="2561" t="s">
        <v>681</v>
      </c>
      <c r="C4" s="2561" t="s">
        <v>682</v>
      </c>
      <c r="D4" s="2568" t="s">
        <v>683</v>
      </c>
      <c r="E4" s="2508" t="s">
        <v>974</v>
      </c>
      <c r="F4" s="2509"/>
      <c r="G4" s="2509"/>
      <c r="H4" s="2509"/>
      <c r="I4" s="2509"/>
      <c r="J4" s="2509"/>
      <c r="K4" s="2509"/>
      <c r="L4" s="2509"/>
      <c r="M4" s="2509"/>
      <c r="N4" s="2509"/>
      <c r="O4" s="2509"/>
      <c r="P4" s="2510"/>
      <c r="Q4" s="2208" t="s">
        <v>684</v>
      </c>
    </row>
    <row r="5" spans="1:17" s="589" customFormat="1" ht="25.5" customHeight="1">
      <c r="A5" s="2565"/>
      <c r="B5" s="2561"/>
      <c r="C5" s="2561"/>
      <c r="D5" s="2568"/>
      <c r="E5" s="2533">
        <v>0.33333333333333331</v>
      </c>
      <c r="F5" s="2524"/>
      <c r="G5" s="2524"/>
      <c r="H5" s="2524"/>
      <c r="I5" s="2534">
        <v>0.52083333333333337</v>
      </c>
      <c r="J5" s="2535"/>
      <c r="K5" s="2535"/>
      <c r="L5" s="2536"/>
      <c r="M5" s="2534">
        <v>0.66666666666666663</v>
      </c>
      <c r="N5" s="2535"/>
      <c r="O5" s="2535"/>
      <c r="P5" s="2536"/>
      <c r="Q5" s="2209"/>
    </row>
    <row r="6" spans="1:17" s="589" customFormat="1" ht="40.5" customHeight="1">
      <c r="A6" s="2566"/>
      <c r="B6" s="2567"/>
      <c r="C6" s="2567"/>
      <c r="D6" s="2569"/>
      <c r="E6" s="590" t="s">
        <v>685</v>
      </c>
      <c r="F6" s="2380" t="s">
        <v>686</v>
      </c>
      <c r="G6" s="2388"/>
      <c r="H6" s="2562"/>
      <c r="I6" s="590" t="s">
        <v>685</v>
      </c>
      <c r="J6" s="2380" t="s">
        <v>686</v>
      </c>
      <c r="K6" s="2388"/>
      <c r="L6" s="2562"/>
      <c r="M6" s="590" t="s">
        <v>685</v>
      </c>
      <c r="N6" s="2380" t="s">
        <v>686</v>
      </c>
      <c r="O6" s="2388"/>
      <c r="P6" s="2562"/>
      <c r="Q6" s="300" t="s">
        <v>687</v>
      </c>
    </row>
    <row r="7" spans="1:17" s="589" customFormat="1" ht="27.75" customHeight="1">
      <c r="A7" s="591">
        <v>1</v>
      </c>
      <c r="B7" s="592" t="s">
        <v>688</v>
      </c>
      <c r="C7" s="593" t="s">
        <v>689</v>
      </c>
      <c r="D7" s="548" t="s">
        <v>485</v>
      </c>
      <c r="E7" s="594">
        <f>'R.FILE GOC'!H25</f>
        <v>0</v>
      </c>
      <c r="F7" s="554" t="s">
        <v>690</v>
      </c>
      <c r="G7" s="555">
        <f>'R.FILE GOC'!K25</f>
        <v>93.2</v>
      </c>
      <c r="H7" s="235" t="s">
        <v>691</v>
      </c>
      <c r="I7" s="594">
        <f>'R.FILE GOC'!N25</f>
        <v>0</v>
      </c>
      <c r="J7" s="554" t="s">
        <v>690</v>
      </c>
      <c r="K7" s="555">
        <f>'R.FILE GOC'!Q25</f>
        <v>93.2</v>
      </c>
      <c r="L7" s="235" t="s">
        <v>691</v>
      </c>
      <c r="M7" s="594">
        <f>'R.FILE GOC'!T25</f>
        <v>0</v>
      </c>
      <c r="N7" s="554" t="s">
        <v>675</v>
      </c>
      <c r="O7" s="555">
        <f>'R.FILE GOC'!W25</f>
        <v>93.2</v>
      </c>
      <c r="P7" s="235" t="s">
        <v>676</v>
      </c>
      <c r="Q7" s="300" t="s">
        <v>692</v>
      </c>
    </row>
    <row r="8" spans="1:17" s="598" customFormat="1" ht="30" customHeight="1">
      <c r="A8" s="591">
        <v>2</v>
      </c>
      <c r="B8" s="595" t="s">
        <v>693</v>
      </c>
      <c r="C8" s="596" t="s">
        <v>694</v>
      </c>
      <c r="D8" s="597" t="s">
        <v>461</v>
      </c>
      <c r="E8" s="594">
        <f>'R.FILE GOC'!H26</f>
        <v>0</v>
      </c>
      <c r="F8" s="554" t="s">
        <v>695</v>
      </c>
      <c r="G8" s="555">
        <f>'R.FILE GOC'!K26</f>
        <v>1017.578125</v>
      </c>
      <c r="H8" s="235" t="s">
        <v>696</v>
      </c>
      <c r="I8" s="594">
        <f>'R.FILE GOC'!N26</f>
        <v>0</v>
      </c>
      <c r="J8" s="554" t="s">
        <v>695</v>
      </c>
      <c r="K8" s="555">
        <f>'R.FILE GOC'!Q26</f>
        <v>1017.578125</v>
      </c>
      <c r="L8" s="235" t="s">
        <v>696</v>
      </c>
      <c r="M8" s="594">
        <f>'R.FILE GOC'!T26</f>
        <v>0</v>
      </c>
      <c r="N8" s="554" t="s">
        <v>675</v>
      </c>
      <c r="O8" s="555">
        <f>'R.FILE GOC'!W26</f>
        <v>1017.578125</v>
      </c>
      <c r="P8" s="235" t="s">
        <v>696</v>
      </c>
      <c r="Q8" s="300" t="s">
        <v>697</v>
      </c>
    </row>
    <row r="9" spans="1:17" s="598" customFormat="1" ht="27.75" customHeight="1">
      <c r="A9" s="591">
        <v>3</v>
      </c>
      <c r="B9" s="2556" t="s">
        <v>698</v>
      </c>
      <c r="C9" s="2559" t="s">
        <v>466</v>
      </c>
      <c r="D9" s="548" t="s">
        <v>645</v>
      </c>
      <c r="E9" s="594">
        <f>'R.FILE GOC'!H27</f>
        <v>0</v>
      </c>
      <c r="F9" s="554" t="s">
        <v>690</v>
      </c>
      <c r="G9" s="555">
        <f>'R.FILE GOC'!K27</f>
        <v>246.75</v>
      </c>
      <c r="H9" s="235" t="s">
        <v>691</v>
      </c>
      <c r="I9" s="594">
        <f>'R.FILE GOC'!N27</f>
        <v>0</v>
      </c>
      <c r="J9" s="554" t="s">
        <v>690</v>
      </c>
      <c r="K9" s="555">
        <f>'R.FILE GOC'!Q27</f>
        <v>246.75</v>
      </c>
      <c r="L9" s="235" t="s">
        <v>691</v>
      </c>
      <c r="M9" s="594">
        <f>'R.FILE GOC'!T27</f>
        <v>0</v>
      </c>
      <c r="N9" s="554" t="s">
        <v>675</v>
      </c>
      <c r="O9" s="555">
        <f>'R.FILE GOC'!W27</f>
        <v>246.75</v>
      </c>
      <c r="P9" s="235" t="s">
        <v>676</v>
      </c>
      <c r="Q9" s="300" t="s">
        <v>699</v>
      </c>
    </row>
    <row r="10" spans="1:17" s="598" customFormat="1" ht="27.75" customHeight="1">
      <c r="A10" s="591">
        <v>4</v>
      </c>
      <c r="B10" s="2557"/>
      <c r="C10" s="2559"/>
      <c r="D10" s="548" t="s">
        <v>649</v>
      </c>
      <c r="E10" s="594">
        <f>'R.FILE GOC'!H28</f>
        <v>0</v>
      </c>
      <c r="F10" s="554" t="s">
        <v>690</v>
      </c>
      <c r="G10" s="555">
        <f>'R.FILE GOC'!K28</f>
        <v>32.077500000000001</v>
      </c>
      <c r="H10" s="235" t="s">
        <v>691</v>
      </c>
      <c r="I10" s="594">
        <f>'R.FILE GOC'!N28</f>
        <v>0</v>
      </c>
      <c r="J10" s="554" t="s">
        <v>690</v>
      </c>
      <c r="K10" s="555">
        <f>'R.FILE GOC'!Q28</f>
        <v>32.077500000000001</v>
      </c>
      <c r="L10" s="235" t="s">
        <v>691</v>
      </c>
      <c r="M10" s="594">
        <f>'R.FILE GOC'!T28</f>
        <v>0</v>
      </c>
      <c r="N10" s="554" t="s">
        <v>675</v>
      </c>
      <c r="O10" s="555">
        <f>'R.FILE GOC'!W28</f>
        <v>32.077500000000001</v>
      </c>
      <c r="P10" s="235" t="s">
        <v>676</v>
      </c>
      <c r="Q10" s="300" t="s">
        <v>700</v>
      </c>
    </row>
    <row r="11" spans="1:17" s="598" customFormat="1" ht="27.75" customHeight="1">
      <c r="A11" s="591">
        <v>5</v>
      </c>
      <c r="B11" s="2558"/>
      <c r="C11" s="2559"/>
      <c r="D11" s="548" t="s">
        <v>651</v>
      </c>
      <c r="E11" s="75">
        <f>'R.FILE GOC'!H29</f>
        <v>0</v>
      </c>
      <c r="F11" s="554" t="s">
        <v>690</v>
      </c>
      <c r="G11" s="599">
        <f>'R.FILE GOC'!K29</f>
        <v>0</v>
      </c>
      <c r="H11" s="75" t="s">
        <v>691</v>
      </c>
      <c r="I11" s="75">
        <f>'R.FILE GOC'!N29</f>
        <v>0</v>
      </c>
      <c r="J11" s="554" t="s">
        <v>690</v>
      </c>
      <c r="K11" s="599">
        <f>'R.FILE GOC'!Q29</f>
        <v>0</v>
      </c>
      <c r="L11" s="75" t="s">
        <v>691</v>
      </c>
      <c r="M11" s="75">
        <f>'R.FILE GOC'!T29</f>
        <v>0</v>
      </c>
      <c r="N11" s="554" t="s">
        <v>675</v>
      </c>
      <c r="O11" s="599">
        <f>'R.FILE GOC'!W29</f>
        <v>0</v>
      </c>
      <c r="P11" s="75" t="s">
        <v>676</v>
      </c>
      <c r="Q11" s="600"/>
    </row>
    <row r="12" spans="1:17" s="603" customFormat="1" ht="27.75" customHeight="1">
      <c r="A12" s="591">
        <v>6</v>
      </c>
      <c r="B12" s="2556" t="s">
        <v>701</v>
      </c>
      <c r="C12" s="593" t="s">
        <v>466</v>
      </c>
      <c r="D12" s="548" t="s">
        <v>476</v>
      </c>
      <c r="E12" s="594">
        <f>'R.FILE GOC'!H30</f>
        <v>0</v>
      </c>
      <c r="F12" s="554"/>
      <c r="G12" s="601">
        <f>'R.FILE GOC'!K30</f>
        <v>1.234</v>
      </c>
      <c r="H12" s="75" t="s">
        <v>691</v>
      </c>
      <c r="I12" s="594">
        <f>'R.FILE GOC'!N30</f>
        <v>0</v>
      </c>
      <c r="J12" s="554"/>
      <c r="K12" s="601">
        <f>'R.FILE GOC'!Q30</f>
        <v>1.234</v>
      </c>
      <c r="L12" s="75" t="s">
        <v>691</v>
      </c>
      <c r="M12" s="594">
        <f>'R.FILE GOC'!T30</f>
        <v>0</v>
      </c>
      <c r="N12" s="554"/>
      <c r="O12" s="601">
        <f>'R.FILE GOC'!W30</f>
        <v>1.234</v>
      </c>
      <c r="P12" s="75" t="s">
        <v>676</v>
      </c>
      <c r="Q12" s="602" t="s">
        <v>702</v>
      </c>
    </row>
    <row r="13" spans="1:17" s="603" customFormat="1" ht="27.75" customHeight="1">
      <c r="A13" s="591">
        <v>7</v>
      </c>
      <c r="B13" s="2558"/>
      <c r="C13" s="604" t="s">
        <v>703</v>
      </c>
      <c r="D13" s="1102" t="s">
        <v>1030</v>
      </c>
      <c r="E13" s="594">
        <f>'R.FILE GOC'!H31</f>
        <v>0</v>
      </c>
      <c r="F13" s="554" t="s">
        <v>690</v>
      </c>
      <c r="G13" s="555">
        <f>'R.FILE GOC'!K31</f>
        <v>0</v>
      </c>
      <c r="H13" s="235" t="s">
        <v>691</v>
      </c>
      <c r="I13" s="594">
        <f>'R.FILE GOC'!N31</f>
        <v>0</v>
      </c>
      <c r="J13" s="554" t="s">
        <v>690</v>
      </c>
      <c r="K13" s="555"/>
      <c r="L13" s="235" t="s">
        <v>691</v>
      </c>
      <c r="M13" s="594">
        <f>'R.FILE GOC'!T31</f>
        <v>0</v>
      </c>
      <c r="N13" s="554" t="s">
        <v>675</v>
      </c>
      <c r="O13" s="555"/>
      <c r="P13" s="235" t="s">
        <v>676</v>
      </c>
      <c r="Q13" s="235"/>
    </row>
    <row r="14" spans="1:17" s="598" customFormat="1" ht="30.75" customHeight="1">
      <c r="A14" s="2560" t="s">
        <v>704</v>
      </c>
      <c r="B14" s="2560"/>
      <c r="C14" s="2560"/>
      <c r="D14" s="2560"/>
      <c r="E14" s="2560"/>
      <c r="F14" s="2560"/>
      <c r="G14" s="2560"/>
      <c r="H14" s="2560"/>
      <c r="I14" s="2560"/>
      <c r="J14" s="2560"/>
      <c r="K14" s="2560"/>
      <c r="L14" s="2560"/>
      <c r="M14" s="2560"/>
      <c r="N14" s="2560"/>
      <c r="O14" s="2560"/>
      <c r="P14" s="2560"/>
      <c r="Q14" s="2560"/>
    </row>
    <row r="15" spans="1:17" s="598" customFormat="1" ht="37.5" customHeight="1">
      <c r="A15" s="235" t="s">
        <v>705</v>
      </c>
      <c r="B15" s="605" t="s">
        <v>706</v>
      </c>
      <c r="C15" s="605" t="s">
        <v>707</v>
      </c>
      <c r="D15" s="605" t="s">
        <v>708</v>
      </c>
      <c r="E15" s="2561" t="s">
        <v>973</v>
      </c>
      <c r="F15" s="2561"/>
      <c r="G15" s="2561"/>
      <c r="H15" s="2561"/>
      <c r="I15" s="2561"/>
      <c r="J15" s="2561"/>
      <c r="K15" s="2561"/>
      <c r="L15" s="2561"/>
      <c r="M15" s="2561"/>
      <c r="N15" s="2561"/>
      <c r="O15" s="2561"/>
      <c r="P15" s="2561"/>
      <c r="Q15" s="365"/>
    </row>
    <row r="16" spans="1:17" s="598" customFormat="1" ht="27.75" customHeight="1">
      <c r="A16" s="235">
        <v>1</v>
      </c>
      <c r="B16" s="930" t="s">
        <v>911</v>
      </c>
      <c r="C16" s="606" t="s">
        <v>710</v>
      </c>
      <c r="D16" s="548" t="s">
        <v>711</v>
      </c>
      <c r="E16" s="2555">
        <f>'R.FILE GOC'!K34</f>
        <v>0</v>
      </c>
      <c r="F16" s="2555"/>
      <c r="G16" s="2555"/>
      <c r="H16" s="2555"/>
      <c r="I16" s="2555">
        <f>'R.FILE GOC'!Q34</f>
        <v>0</v>
      </c>
      <c r="J16" s="2555"/>
      <c r="K16" s="2555"/>
      <c r="L16" s="2555"/>
      <c r="M16" s="2555">
        <f>'R.FILE GOC'!W34</f>
        <v>0</v>
      </c>
      <c r="N16" s="2555"/>
      <c r="O16" s="2555"/>
      <c r="P16" s="2555"/>
      <c r="Q16" s="555"/>
    </row>
    <row r="17" spans="1:17" s="598" customFormat="1" ht="27.75" customHeight="1">
      <c r="A17" s="235">
        <v>2</v>
      </c>
      <c r="B17" s="605" t="s">
        <v>712</v>
      </c>
      <c r="C17" s="606" t="s">
        <v>710</v>
      </c>
      <c r="D17" s="548" t="s">
        <v>713</v>
      </c>
      <c r="E17" s="2555">
        <f>'R.FILE GOC'!K35</f>
        <v>0</v>
      </c>
      <c r="F17" s="2555"/>
      <c r="G17" s="2555"/>
      <c r="H17" s="2555"/>
      <c r="I17" s="2555">
        <f>'R.FILE GOC'!Q35</f>
        <v>0</v>
      </c>
      <c r="J17" s="2555"/>
      <c r="K17" s="2555"/>
      <c r="L17" s="2555"/>
      <c r="M17" s="2555">
        <f>'R.FILE GOC'!W35</f>
        <v>0</v>
      </c>
      <c r="N17" s="2555"/>
      <c r="O17" s="2555"/>
      <c r="P17" s="2555"/>
      <c r="Q17" s="555"/>
    </row>
    <row r="18" spans="1:17" s="598" customFormat="1" ht="27.75" customHeight="1">
      <c r="A18" s="235">
        <v>3</v>
      </c>
      <c r="B18" s="605" t="s">
        <v>714</v>
      </c>
      <c r="C18" s="606" t="s">
        <v>710</v>
      </c>
      <c r="D18" s="548" t="s">
        <v>715</v>
      </c>
      <c r="E18" s="2555">
        <f>'R.FILE GOC'!K36</f>
        <v>0</v>
      </c>
      <c r="F18" s="2555"/>
      <c r="G18" s="2555"/>
      <c r="H18" s="2555"/>
      <c r="I18" s="2555">
        <f>'R.FILE GOC'!Q36</f>
        <v>0</v>
      </c>
      <c r="J18" s="2555"/>
      <c r="K18" s="2555"/>
      <c r="L18" s="2555"/>
      <c r="M18" s="2555">
        <f>'R.FILE GOC'!W36</f>
        <v>0</v>
      </c>
      <c r="N18" s="2555"/>
      <c r="O18" s="2555"/>
      <c r="P18" s="2555"/>
      <c r="Q18" s="555"/>
    </row>
    <row r="19" spans="1:17" ht="36.75" customHeight="1">
      <c r="A19" s="2543" t="s">
        <v>975</v>
      </c>
      <c r="B19" s="2543"/>
      <c r="C19" s="2543"/>
      <c r="D19" s="2543"/>
      <c r="E19" s="2543"/>
      <c r="F19" s="2543"/>
      <c r="G19" s="2543"/>
      <c r="H19" s="2543"/>
      <c r="I19" s="2543"/>
      <c r="J19" s="2543"/>
      <c r="K19" s="2543"/>
      <c r="L19" s="2543"/>
      <c r="M19" s="536"/>
      <c r="N19" s="536"/>
      <c r="O19" s="536"/>
      <c r="P19" s="536"/>
      <c r="Q19" s="607"/>
    </row>
    <row r="20" spans="1:17" ht="21.75" customHeight="1">
      <c r="A20" s="537"/>
      <c r="B20" s="538" t="s">
        <v>716</v>
      </c>
      <c r="C20" s="539"/>
      <c r="D20" s="539"/>
      <c r="E20" s="539"/>
      <c r="F20" s="539"/>
      <c r="G20" s="539"/>
      <c r="H20" s="539"/>
      <c r="I20" s="2563"/>
      <c r="J20" s="2563"/>
      <c r="K20" s="2563"/>
      <c r="L20" s="587"/>
      <c r="M20" s="2563"/>
      <c r="N20" s="2563"/>
      <c r="O20" s="2563"/>
      <c r="P20" s="587"/>
      <c r="Q20" s="608"/>
    </row>
    <row r="21" spans="1:17" s="589" customFormat="1" ht="37.5" customHeight="1">
      <c r="A21" s="2564" t="s">
        <v>717</v>
      </c>
      <c r="B21" s="2561" t="s">
        <v>681</v>
      </c>
      <c r="C21" s="2561" t="s">
        <v>682</v>
      </c>
      <c r="D21" s="2568" t="s">
        <v>683</v>
      </c>
      <c r="E21" s="2508" t="s">
        <v>974</v>
      </c>
      <c r="F21" s="2509"/>
      <c r="G21" s="2509"/>
      <c r="H21" s="2509"/>
      <c r="I21" s="2509"/>
      <c r="J21" s="2509"/>
      <c r="K21" s="2509"/>
      <c r="L21" s="2509"/>
      <c r="M21" s="2509"/>
      <c r="N21" s="2509"/>
      <c r="O21" s="2509"/>
      <c r="P21" s="2510"/>
      <c r="Q21" s="2219" t="s">
        <v>684</v>
      </c>
    </row>
    <row r="22" spans="1:17" s="589" customFormat="1" ht="20.25" customHeight="1">
      <c r="A22" s="2565"/>
      <c r="B22" s="2561"/>
      <c r="C22" s="2561"/>
      <c r="D22" s="2568"/>
      <c r="E22" s="2533">
        <v>0.83333333333333337</v>
      </c>
      <c r="F22" s="2524"/>
      <c r="G22" s="2524"/>
      <c r="H22" s="2524"/>
      <c r="I22" s="2534">
        <v>4.1666666666666664E-2</v>
      </c>
      <c r="J22" s="2535"/>
      <c r="K22" s="2535"/>
      <c r="L22" s="2536"/>
      <c r="M22" s="2534">
        <v>0.16666666666666666</v>
      </c>
      <c r="N22" s="2535"/>
      <c r="O22" s="2535"/>
      <c r="P22" s="2536"/>
      <c r="Q22" s="2219"/>
    </row>
    <row r="23" spans="1:17" s="589" customFormat="1" ht="36" customHeight="1">
      <c r="A23" s="2566"/>
      <c r="B23" s="2567"/>
      <c r="C23" s="2567"/>
      <c r="D23" s="2569"/>
      <c r="E23" s="590" t="s">
        <v>685</v>
      </c>
      <c r="F23" s="2380" t="s">
        <v>686</v>
      </c>
      <c r="G23" s="2388"/>
      <c r="H23" s="2562"/>
      <c r="I23" s="590" t="s">
        <v>685</v>
      </c>
      <c r="J23" s="2380" t="s">
        <v>686</v>
      </c>
      <c r="K23" s="2388"/>
      <c r="L23" s="2562"/>
      <c r="M23" s="590" t="s">
        <v>685</v>
      </c>
      <c r="N23" s="2380" t="s">
        <v>686</v>
      </c>
      <c r="O23" s="2388"/>
      <c r="P23" s="2562"/>
      <c r="Q23" s="300" t="s">
        <v>687</v>
      </c>
    </row>
    <row r="24" spans="1:17" s="589" customFormat="1" ht="30.75" customHeight="1">
      <c r="A24" s="591">
        <v>1</v>
      </c>
      <c r="B24" s="592" t="s">
        <v>688</v>
      </c>
      <c r="C24" s="593" t="s">
        <v>689</v>
      </c>
      <c r="D24" s="548" t="s">
        <v>485</v>
      </c>
      <c r="E24" s="594">
        <f>'R.FILE GOC'!Z25</f>
        <v>0</v>
      </c>
      <c r="F24" s="554" t="s">
        <v>641</v>
      </c>
      <c r="G24" s="555">
        <f>'R.FILE GOC'!AC25</f>
        <v>93.2</v>
      </c>
      <c r="H24" s="235" t="s">
        <v>718</v>
      </c>
      <c r="I24" s="594">
        <f>'R.FILE GOC'!AF25</f>
        <v>0</v>
      </c>
      <c r="J24" s="554" t="s">
        <v>641</v>
      </c>
      <c r="K24" s="555">
        <f>'R.FILE GOC'!AI25</f>
        <v>93.2</v>
      </c>
      <c r="L24" s="235" t="s">
        <v>718</v>
      </c>
      <c r="M24" s="594">
        <f>'R.FILE GOC'!AL25</f>
        <v>0</v>
      </c>
      <c r="N24" s="554" t="s">
        <v>641</v>
      </c>
      <c r="O24" s="555">
        <f>'R.FILE GOC'!AO25</f>
        <v>93.2</v>
      </c>
      <c r="P24" s="235" t="s">
        <v>718</v>
      </c>
      <c r="Q24" s="300" t="s">
        <v>692</v>
      </c>
    </row>
    <row r="25" spans="1:17" s="598" customFormat="1" ht="30.75" customHeight="1">
      <c r="A25" s="591">
        <v>2</v>
      </c>
      <c r="B25" s="595" t="s">
        <v>693</v>
      </c>
      <c r="C25" s="596" t="s">
        <v>719</v>
      </c>
      <c r="D25" s="597" t="s">
        <v>640</v>
      </c>
      <c r="E25" s="594">
        <f>'R.FILE GOC'!Z26</f>
        <v>0</v>
      </c>
      <c r="F25" s="554" t="s">
        <v>641</v>
      </c>
      <c r="G25" s="555">
        <f>'R.FILE GOC'!AC26</f>
        <v>1017.578125</v>
      </c>
      <c r="H25" s="235" t="s">
        <v>720</v>
      </c>
      <c r="I25" s="594">
        <f>'R.FILE GOC'!AF26</f>
        <v>0</v>
      </c>
      <c r="J25" s="554" t="s">
        <v>641</v>
      </c>
      <c r="K25" s="555">
        <f>'R.FILE GOC'!AI26</f>
        <v>1017.578125</v>
      </c>
      <c r="L25" s="235" t="s">
        <v>720</v>
      </c>
      <c r="M25" s="594">
        <f>'R.FILE GOC'!AL26</f>
        <v>0</v>
      </c>
      <c r="N25" s="554" t="s">
        <v>641</v>
      </c>
      <c r="O25" s="555">
        <f>'R.FILE GOC'!AO26</f>
        <v>1017.578125</v>
      </c>
      <c r="P25" s="235" t="s">
        <v>720</v>
      </c>
      <c r="Q25" s="300" t="s">
        <v>697</v>
      </c>
    </row>
    <row r="26" spans="1:17" s="598" customFormat="1" ht="30.75" customHeight="1">
      <c r="A26" s="591">
        <v>3</v>
      </c>
      <c r="B26" s="2556" t="s">
        <v>721</v>
      </c>
      <c r="C26" s="2559" t="s">
        <v>722</v>
      </c>
      <c r="D26" s="548" t="s">
        <v>645</v>
      </c>
      <c r="E26" s="594">
        <f>'R.FILE GOC'!Z27</f>
        <v>0</v>
      </c>
      <c r="F26" s="554" t="s">
        <v>641</v>
      </c>
      <c r="G26" s="555">
        <f>'R.FILE GOC'!AC27</f>
        <v>246.75</v>
      </c>
      <c r="H26" s="235" t="s">
        <v>718</v>
      </c>
      <c r="I26" s="594">
        <f>'R.FILE GOC'!AF27</f>
        <v>0</v>
      </c>
      <c r="J26" s="554" t="s">
        <v>641</v>
      </c>
      <c r="K26" s="555">
        <f>'R.FILE GOC'!AI27</f>
        <v>246.75</v>
      </c>
      <c r="L26" s="235" t="s">
        <v>718</v>
      </c>
      <c r="M26" s="594">
        <f>'R.FILE GOC'!AL27</f>
        <v>0</v>
      </c>
      <c r="N26" s="554" t="s">
        <v>641</v>
      </c>
      <c r="O26" s="555">
        <f>'R.FILE GOC'!AO27</f>
        <v>246.75</v>
      </c>
      <c r="P26" s="235" t="s">
        <v>718</v>
      </c>
      <c r="Q26" s="300" t="s">
        <v>699</v>
      </c>
    </row>
    <row r="27" spans="1:17" s="598" customFormat="1" ht="30.75" customHeight="1">
      <c r="A27" s="591">
        <v>4</v>
      </c>
      <c r="B27" s="2557"/>
      <c r="C27" s="2559"/>
      <c r="D27" s="548" t="s">
        <v>649</v>
      </c>
      <c r="E27" s="594">
        <f>'R.FILE GOC'!Z28</f>
        <v>0</v>
      </c>
      <c r="F27" s="554" t="s">
        <v>641</v>
      </c>
      <c r="G27" s="555">
        <f>'R.FILE GOC'!AC28</f>
        <v>32.077500000000001</v>
      </c>
      <c r="H27" s="235" t="s">
        <v>718</v>
      </c>
      <c r="I27" s="594">
        <f>'R.FILE GOC'!AF28</f>
        <v>0</v>
      </c>
      <c r="J27" s="554" t="s">
        <v>641</v>
      </c>
      <c r="K27" s="555">
        <f>'R.FILE GOC'!AI28</f>
        <v>32.077500000000001</v>
      </c>
      <c r="L27" s="235" t="s">
        <v>718</v>
      </c>
      <c r="M27" s="594">
        <f>'R.FILE GOC'!AL28</f>
        <v>0</v>
      </c>
      <c r="N27" s="554" t="s">
        <v>641</v>
      </c>
      <c r="O27" s="555">
        <f>'R.FILE GOC'!AO28</f>
        <v>32.077500000000001</v>
      </c>
      <c r="P27" s="235" t="s">
        <v>718</v>
      </c>
      <c r="Q27" s="300" t="s">
        <v>700</v>
      </c>
    </row>
    <row r="28" spans="1:17" s="598" customFormat="1" ht="30.75" customHeight="1">
      <c r="A28" s="591">
        <v>5</v>
      </c>
      <c r="B28" s="2558"/>
      <c r="C28" s="2559"/>
      <c r="D28" s="548" t="s">
        <v>651</v>
      </c>
      <c r="E28" s="75">
        <f>'R.FILE GOC'!Z29</f>
        <v>0</v>
      </c>
      <c r="F28" s="554" t="s">
        <v>641</v>
      </c>
      <c r="G28" s="599">
        <f>'R.FILE GOC'!AC29</f>
        <v>0</v>
      </c>
      <c r="H28" s="75" t="s">
        <v>718</v>
      </c>
      <c r="I28" s="75">
        <f>'R.FILE GOC'!AF29</f>
        <v>0</v>
      </c>
      <c r="J28" s="554" t="s">
        <v>641</v>
      </c>
      <c r="K28" s="599">
        <f>'R.FILE GOC'!AI29</f>
        <v>0</v>
      </c>
      <c r="L28" s="75" t="s">
        <v>718</v>
      </c>
      <c r="M28" s="75">
        <f>'R.FILE GOC'!AL29</f>
        <v>0</v>
      </c>
      <c r="N28" s="554" t="s">
        <v>641</v>
      </c>
      <c r="O28" s="599" t="str">
        <f>'R.FILE GOC'!AO29</f>
        <v>N/A</v>
      </c>
      <c r="P28" s="75" t="s">
        <v>718</v>
      </c>
      <c r="Q28" s="600"/>
    </row>
    <row r="29" spans="1:17" s="603" customFormat="1" ht="30.75" customHeight="1">
      <c r="A29" s="591">
        <v>6</v>
      </c>
      <c r="B29" s="2556" t="s">
        <v>701</v>
      </c>
      <c r="C29" s="593" t="s">
        <v>466</v>
      </c>
      <c r="D29" s="548" t="s">
        <v>476</v>
      </c>
      <c r="E29" s="594">
        <f>'R.FILE GOC'!Z30</f>
        <v>0</v>
      </c>
      <c r="F29" s="609" t="s">
        <v>641</v>
      </c>
      <c r="G29" s="601">
        <f>'R.FILE GOC'!AC30</f>
        <v>1.234</v>
      </c>
      <c r="H29" s="594" t="s">
        <v>718</v>
      </c>
      <c r="I29" s="594">
        <f>'R.FILE GOC'!AF30</f>
        <v>0</v>
      </c>
      <c r="J29" s="609" t="s">
        <v>641</v>
      </c>
      <c r="K29" s="601">
        <f>'R.FILE GOC'!AI30</f>
        <v>1.234</v>
      </c>
      <c r="L29" s="594" t="s">
        <v>718</v>
      </c>
      <c r="M29" s="594">
        <f>'R.FILE GOC'!AL30</f>
        <v>0</v>
      </c>
      <c r="N29" s="609" t="s">
        <v>641</v>
      </c>
      <c r="O29" s="601">
        <f>'R.FILE GOC'!AO30</f>
        <v>1.234</v>
      </c>
      <c r="P29" s="594" t="s">
        <v>718</v>
      </c>
      <c r="Q29" s="602" t="s">
        <v>702</v>
      </c>
    </row>
    <row r="30" spans="1:17" s="603" customFormat="1" ht="30.75" customHeight="1">
      <c r="A30" s="591">
        <v>7</v>
      </c>
      <c r="B30" s="2558"/>
      <c r="C30" s="604" t="s">
        <v>723</v>
      </c>
      <c r="D30" s="1102" t="s">
        <v>1030</v>
      </c>
      <c r="E30" s="594">
        <f>'R.FILE GOC'!Z31</f>
        <v>0</v>
      </c>
      <c r="F30" s="554" t="s">
        <v>641</v>
      </c>
      <c r="G30" s="555"/>
      <c r="H30" s="235" t="s">
        <v>718</v>
      </c>
      <c r="I30" s="594">
        <f>'R.FILE GOC'!AF31</f>
        <v>0</v>
      </c>
      <c r="J30" s="554" t="s">
        <v>641</v>
      </c>
      <c r="K30" s="555"/>
      <c r="L30" s="235" t="s">
        <v>718</v>
      </c>
      <c r="M30" s="594">
        <f>'R.FILE GOC'!AL31</f>
        <v>0</v>
      </c>
      <c r="N30" s="554" t="s">
        <v>641</v>
      </c>
      <c r="O30" s="555"/>
      <c r="P30" s="235" t="s">
        <v>718</v>
      </c>
      <c r="Q30" s="235"/>
    </row>
    <row r="31" spans="1:17" s="598" customFormat="1" ht="25.5" customHeight="1">
      <c r="A31" s="2560" t="s">
        <v>704</v>
      </c>
      <c r="B31" s="2560"/>
      <c r="C31" s="2560"/>
      <c r="D31" s="2560"/>
      <c r="E31" s="2560"/>
      <c r="F31" s="2560"/>
      <c r="G31" s="2560"/>
      <c r="H31" s="2560"/>
      <c r="I31" s="2560"/>
      <c r="J31" s="2560"/>
      <c r="K31" s="2560"/>
      <c r="L31" s="2560"/>
      <c r="M31" s="2560"/>
      <c r="N31" s="2560"/>
      <c r="O31" s="2560"/>
      <c r="P31" s="2560"/>
      <c r="Q31" s="2560"/>
    </row>
    <row r="32" spans="1:17" s="598" customFormat="1" ht="38.25" customHeight="1">
      <c r="A32" s="235" t="s">
        <v>724</v>
      </c>
      <c r="B32" s="605" t="s">
        <v>706</v>
      </c>
      <c r="C32" s="605" t="s">
        <v>707</v>
      </c>
      <c r="D32" s="605" t="s">
        <v>708</v>
      </c>
      <c r="E32" s="2561" t="s">
        <v>973</v>
      </c>
      <c r="F32" s="2561"/>
      <c r="G32" s="2561"/>
      <c r="H32" s="2561"/>
      <c r="I32" s="2561"/>
      <c r="J32" s="2561"/>
      <c r="K32" s="2561"/>
      <c r="L32" s="2561"/>
      <c r="M32" s="2561"/>
      <c r="N32" s="2561"/>
      <c r="O32" s="2561"/>
      <c r="P32" s="2561"/>
      <c r="Q32" s="365"/>
    </row>
    <row r="33" spans="1:17" s="598" customFormat="1" ht="30" customHeight="1">
      <c r="A33" s="235">
        <v>1</v>
      </c>
      <c r="B33" s="930" t="s">
        <v>913</v>
      </c>
      <c r="C33" s="606" t="s">
        <v>710</v>
      </c>
      <c r="D33" s="548" t="s">
        <v>711</v>
      </c>
      <c r="E33" s="2555">
        <f>'R.FILE GOC'!AC34</f>
        <v>0</v>
      </c>
      <c r="F33" s="2555"/>
      <c r="G33" s="2555"/>
      <c r="H33" s="2555"/>
      <c r="I33" s="2555">
        <f>'R.FILE GOC'!AI34</f>
        <v>0</v>
      </c>
      <c r="J33" s="2555"/>
      <c r="K33" s="2555"/>
      <c r="L33" s="2555"/>
      <c r="M33" s="2555">
        <f>'R.FILE GOC'!AO34</f>
        <v>0</v>
      </c>
      <c r="N33" s="2555"/>
      <c r="O33" s="2555"/>
      <c r="P33" s="2555"/>
      <c r="Q33" s="555"/>
    </row>
    <row r="34" spans="1:17" s="598" customFormat="1" ht="30" customHeight="1">
      <c r="A34" s="235">
        <v>2</v>
      </c>
      <c r="B34" s="605" t="s">
        <v>725</v>
      </c>
      <c r="C34" s="606" t="s">
        <v>710</v>
      </c>
      <c r="D34" s="548" t="s">
        <v>713</v>
      </c>
      <c r="E34" s="2555">
        <f>'R.FILE GOC'!AC35</f>
        <v>0</v>
      </c>
      <c r="F34" s="2555"/>
      <c r="G34" s="2555"/>
      <c r="H34" s="2555"/>
      <c r="I34" s="2555">
        <f>'R.FILE GOC'!AI35</f>
        <v>0</v>
      </c>
      <c r="J34" s="2555"/>
      <c r="K34" s="2555"/>
      <c r="L34" s="2555"/>
      <c r="M34" s="2555">
        <f>'R.FILE GOC'!AO35</f>
        <v>0</v>
      </c>
      <c r="N34" s="2555"/>
      <c r="O34" s="2555"/>
      <c r="P34" s="2555"/>
      <c r="Q34" s="555"/>
    </row>
    <row r="35" spans="1:17" s="598" customFormat="1" ht="30" customHeight="1">
      <c r="A35" s="235">
        <v>3</v>
      </c>
      <c r="B35" s="605" t="s">
        <v>714</v>
      </c>
      <c r="C35" s="606" t="s">
        <v>710</v>
      </c>
      <c r="D35" s="548" t="s">
        <v>715</v>
      </c>
      <c r="E35" s="2555">
        <f>'R.FILE GOC'!AC36</f>
        <v>0</v>
      </c>
      <c r="F35" s="2555"/>
      <c r="G35" s="2555"/>
      <c r="H35" s="2555"/>
      <c r="I35" s="2555">
        <f>'R.FILE GOC'!AI36</f>
        <v>0</v>
      </c>
      <c r="J35" s="2555"/>
      <c r="K35" s="2555"/>
      <c r="L35" s="2555"/>
      <c r="M35" s="2555">
        <f>'R.FILE GOC'!AO36</f>
        <v>0</v>
      </c>
      <c r="N35" s="2555"/>
      <c r="O35" s="2555"/>
      <c r="P35" s="2555"/>
      <c r="Q35" s="555"/>
    </row>
  </sheetData>
  <sheetProtection selectLockedCells="1"/>
  <mergeCells count="60">
    <mergeCell ref="A4:A6"/>
    <mergeCell ref="B4:B6"/>
    <mergeCell ref="C4:C6"/>
    <mergeCell ref="D4:D6"/>
    <mergeCell ref="E4:P4"/>
    <mergeCell ref="A1:L1"/>
    <mergeCell ref="A2:L2"/>
    <mergeCell ref="O2:P2"/>
    <mergeCell ref="I3:K3"/>
    <mergeCell ref="O3:P3"/>
    <mergeCell ref="E16:H16"/>
    <mergeCell ref="I16:L16"/>
    <mergeCell ref="M16:P16"/>
    <mergeCell ref="Q4:Q5"/>
    <mergeCell ref="E5:H5"/>
    <mergeCell ref="I5:L5"/>
    <mergeCell ref="M5:P5"/>
    <mergeCell ref="F6:H6"/>
    <mergeCell ref="J6:L6"/>
    <mergeCell ref="N6:P6"/>
    <mergeCell ref="B9:B11"/>
    <mergeCell ref="C9:C11"/>
    <mergeCell ref="B12:B13"/>
    <mergeCell ref="A14:Q14"/>
    <mergeCell ref="E15:P15"/>
    <mergeCell ref="E17:H17"/>
    <mergeCell ref="I17:L17"/>
    <mergeCell ref="M17:P17"/>
    <mergeCell ref="E18:H18"/>
    <mergeCell ref="I18:L18"/>
    <mergeCell ref="M18:P18"/>
    <mergeCell ref="A19:L19"/>
    <mergeCell ref="I20:K20"/>
    <mergeCell ref="M20:O20"/>
    <mergeCell ref="A21:A23"/>
    <mergeCell ref="B21:B23"/>
    <mergeCell ref="C21:C23"/>
    <mergeCell ref="D21:D23"/>
    <mergeCell ref="E21:P21"/>
    <mergeCell ref="E33:H33"/>
    <mergeCell ref="I33:L33"/>
    <mergeCell ref="M33:P33"/>
    <mergeCell ref="Q21:Q22"/>
    <mergeCell ref="E22:H22"/>
    <mergeCell ref="I22:L22"/>
    <mergeCell ref="M22:P22"/>
    <mergeCell ref="F23:H23"/>
    <mergeCell ref="J23:L23"/>
    <mergeCell ref="N23:P23"/>
    <mergeCell ref="B26:B28"/>
    <mergeCell ref="C26:C28"/>
    <mergeCell ref="B29:B30"/>
    <mergeCell ref="A31:Q31"/>
    <mergeCell ref="E32:P32"/>
    <mergeCell ref="E34:H34"/>
    <mergeCell ref="I34:L34"/>
    <mergeCell ref="M34:P34"/>
    <mergeCell ref="E35:H35"/>
    <mergeCell ref="I35:L35"/>
    <mergeCell ref="M35:P35"/>
  </mergeCells>
  <phoneticPr fontId="6" type="noConversion"/>
  <conditionalFormatting sqref="E17:L17 E34:H34">
    <cfRule type="expression" dxfId="748" priority="17">
      <formula>E17&lt;65</formula>
    </cfRule>
    <cfRule type="expression" dxfId="747" priority="18">
      <formula>E17&gt;85</formula>
    </cfRule>
  </conditionalFormatting>
  <conditionalFormatting sqref="E18:L18 E35:H35">
    <cfRule type="expression" dxfId="746" priority="15">
      <formula>E18&lt;80</formula>
    </cfRule>
    <cfRule type="expression" dxfId="745" priority="16">
      <formula>E18&gt;90</formula>
    </cfRule>
  </conditionalFormatting>
  <conditionalFormatting sqref="E16 I16 E33">
    <cfRule type="expression" dxfId="744" priority="13">
      <formula>E16&lt;55</formula>
    </cfRule>
    <cfRule type="expression" dxfId="743" priority="14">
      <formula>E16&gt;65</formula>
    </cfRule>
  </conditionalFormatting>
  <conditionalFormatting sqref="M17:P17">
    <cfRule type="expression" dxfId="742" priority="11">
      <formula>M17&lt;65</formula>
    </cfRule>
    <cfRule type="expression" dxfId="741" priority="12">
      <formula>M17&gt;85</formula>
    </cfRule>
  </conditionalFormatting>
  <conditionalFormatting sqref="M18:P18">
    <cfRule type="expression" dxfId="740" priority="9">
      <formula>M18&lt;80</formula>
    </cfRule>
    <cfRule type="expression" dxfId="739" priority="10">
      <formula>M18&gt;90</formula>
    </cfRule>
  </conditionalFormatting>
  <conditionalFormatting sqref="M16">
    <cfRule type="expression" dxfId="738" priority="7">
      <formula>M16&lt;55</formula>
    </cfRule>
    <cfRule type="expression" dxfId="737" priority="8">
      <formula>M16&gt;65</formula>
    </cfRule>
  </conditionalFormatting>
  <conditionalFormatting sqref="I34:P34">
    <cfRule type="expression" dxfId="736" priority="5">
      <formula>I34&lt;65</formula>
    </cfRule>
    <cfRule type="expression" dxfId="735" priority="6">
      <formula>I34&gt;85</formula>
    </cfRule>
  </conditionalFormatting>
  <conditionalFormatting sqref="I35:P35">
    <cfRule type="expression" dxfId="734" priority="3">
      <formula>I35&lt;80</formula>
    </cfRule>
    <cfRule type="expression" dxfId="733" priority="4">
      <formula>I35&gt;90</formula>
    </cfRule>
  </conditionalFormatting>
  <conditionalFormatting sqref="I33 M33">
    <cfRule type="expression" dxfId="732" priority="1">
      <formula>I33&lt;55</formula>
    </cfRule>
    <cfRule type="expression" dxfId="731"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5">
    <tabColor rgb="FFFFC000"/>
  </sheetPr>
  <dimension ref="A1:R42"/>
  <sheetViews>
    <sheetView zoomScale="70" zoomScaleNormal="70" workbookViewId="0">
      <selection activeCell="E3" sqref="E3"/>
    </sheetView>
  </sheetViews>
  <sheetFormatPr defaultRowHeight="13.5"/>
  <cols>
    <col min="1" max="1" width="5.5" style="535" customWidth="1"/>
    <col min="2" max="2" width="24.625" style="585" customWidth="1"/>
    <col min="3" max="3" width="11.5" style="585" hidden="1" customWidth="1"/>
    <col min="4" max="4" width="10" style="535" customWidth="1"/>
    <col min="5" max="5" width="15.5" style="535" customWidth="1"/>
    <col min="6" max="6" width="9.25" style="535" customWidth="1"/>
    <col min="7" max="7" width="3.875" style="535" customWidth="1"/>
    <col min="8" max="8" width="7.875" style="535" customWidth="1"/>
    <col min="9" max="9" width="4.375" style="535" customWidth="1"/>
    <col min="10" max="10" width="9.625" style="535" customWidth="1"/>
    <col min="11" max="11" width="2.625" style="535" customWidth="1"/>
    <col min="12" max="12" width="7.875" style="535" customWidth="1"/>
    <col min="13" max="13" width="4.25" style="535" customWidth="1"/>
    <col min="14" max="14" width="9.625" style="535" customWidth="1"/>
    <col min="15" max="15" width="2.625" style="535" customWidth="1"/>
    <col min="16" max="16" width="7.875" style="535" customWidth="1"/>
    <col min="17" max="17" width="4.25" style="535" customWidth="1"/>
    <col min="18" max="18" width="13.875" style="535" customWidth="1"/>
    <col min="19" max="16384" width="9" style="535"/>
  </cols>
  <sheetData>
    <row r="1" spans="1:18" ht="27.75" customHeight="1">
      <c r="A1" s="2546" t="s">
        <v>625</v>
      </c>
      <c r="B1" s="2546"/>
      <c r="C1" s="2546"/>
      <c r="D1" s="2546"/>
      <c r="E1" s="2546"/>
      <c r="F1" s="2546"/>
      <c r="G1" s="2546"/>
      <c r="H1" s="2546"/>
      <c r="I1" s="2546"/>
      <c r="J1" s="2546"/>
      <c r="K1" s="2546"/>
      <c r="L1" s="2546"/>
      <c r="M1" s="2546"/>
      <c r="N1" s="533"/>
      <c r="O1" s="533"/>
      <c r="P1" s="533"/>
      <c r="Q1" s="533"/>
      <c r="R1" s="533"/>
    </row>
    <row r="2" spans="1:18" ht="36.75" customHeight="1">
      <c r="A2" s="2543" t="s">
        <v>978</v>
      </c>
      <c r="B2" s="2543"/>
      <c r="C2" s="2543"/>
      <c r="D2" s="2543"/>
      <c r="E2" s="2543"/>
      <c r="F2" s="2543"/>
      <c r="G2" s="2543"/>
      <c r="H2" s="2543"/>
      <c r="I2" s="2543"/>
      <c r="J2" s="2543"/>
      <c r="K2" s="2543"/>
      <c r="L2" s="2543"/>
      <c r="M2" s="2543"/>
      <c r="N2" s="536"/>
      <c r="O2" s="536"/>
      <c r="P2" s="2229" t="s">
        <v>678</v>
      </c>
      <c r="Q2" s="2230"/>
      <c r="R2" s="85" t="s">
        <v>17</v>
      </c>
    </row>
    <row r="3" spans="1:18" ht="27" customHeight="1">
      <c r="A3" s="537"/>
      <c r="B3" s="538" t="s">
        <v>628</v>
      </c>
      <c r="C3" s="538"/>
      <c r="D3" s="539"/>
      <c r="E3" s="1729" t="str">
        <f>'1.xi den'!$G$3</f>
        <v>2023/03/21</v>
      </c>
      <c r="F3" s="539"/>
      <c r="G3" s="539"/>
      <c r="H3" s="539"/>
      <c r="I3" s="539"/>
      <c r="J3" s="2563"/>
      <c r="K3" s="2563"/>
      <c r="L3" s="2563"/>
      <c r="M3" s="587"/>
      <c r="N3" s="538"/>
      <c r="O3" s="538"/>
      <c r="P3" s="2551" t="str">
        <f>'1.xi den'!$N$3</f>
        <v>Trang</v>
      </c>
      <c r="Q3" s="2552"/>
      <c r="R3" s="588" t="s">
        <v>679</v>
      </c>
    </row>
    <row r="4" spans="1:18" s="589" customFormat="1" ht="42" customHeight="1">
      <c r="A4" s="2564" t="s">
        <v>717</v>
      </c>
      <c r="B4" s="2561" t="s">
        <v>681</v>
      </c>
      <c r="C4" s="605"/>
      <c r="D4" s="2561" t="s">
        <v>682</v>
      </c>
      <c r="E4" s="2568" t="s">
        <v>683</v>
      </c>
      <c r="F4" s="2508" t="s">
        <v>977</v>
      </c>
      <c r="G4" s="2509"/>
      <c r="H4" s="2509"/>
      <c r="I4" s="2509"/>
      <c r="J4" s="2509"/>
      <c r="K4" s="2509"/>
      <c r="L4" s="2509"/>
      <c r="M4" s="2509"/>
      <c r="N4" s="2509"/>
      <c r="O4" s="2509"/>
      <c r="P4" s="2509"/>
      <c r="Q4" s="2510"/>
      <c r="R4" s="2208" t="s">
        <v>684</v>
      </c>
    </row>
    <row r="5" spans="1:18" s="589" customFormat="1" ht="24" customHeight="1">
      <c r="A5" s="2565"/>
      <c r="B5" s="2561"/>
      <c r="C5" s="605"/>
      <c r="D5" s="2561"/>
      <c r="E5" s="2568"/>
      <c r="F5" s="2533">
        <v>0.33333333333333331</v>
      </c>
      <c r="G5" s="2524"/>
      <c r="H5" s="2524"/>
      <c r="I5" s="2524"/>
      <c r="J5" s="2534">
        <v>0.52083333333333337</v>
      </c>
      <c r="K5" s="2535"/>
      <c r="L5" s="2535"/>
      <c r="M5" s="2536"/>
      <c r="N5" s="2534">
        <v>0.66666666666666663</v>
      </c>
      <c r="O5" s="2535"/>
      <c r="P5" s="2535"/>
      <c r="Q5" s="2536"/>
      <c r="R5" s="2209"/>
    </row>
    <row r="6" spans="1:18" s="589" customFormat="1" ht="42.75" customHeight="1">
      <c r="A6" s="2566"/>
      <c r="B6" s="2567"/>
      <c r="C6" s="235"/>
      <c r="D6" s="2567"/>
      <c r="E6" s="2569"/>
      <c r="F6" s="590" t="s">
        <v>685</v>
      </c>
      <c r="G6" s="2380" t="s">
        <v>686</v>
      </c>
      <c r="H6" s="2388"/>
      <c r="I6" s="2562"/>
      <c r="J6" s="590" t="s">
        <v>685</v>
      </c>
      <c r="K6" s="2380" t="s">
        <v>686</v>
      </c>
      <c r="L6" s="2388"/>
      <c r="M6" s="2562"/>
      <c r="N6" s="590" t="s">
        <v>685</v>
      </c>
      <c r="O6" s="2380" t="s">
        <v>686</v>
      </c>
      <c r="P6" s="2388"/>
      <c r="Q6" s="2562"/>
      <c r="R6" s="602" t="s">
        <v>726</v>
      </c>
    </row>
    <row r="7" spans="1:18" s="598" customFormat="1" ht="24" customHeight="1">
      <c r="A7" s="591">
        <v>1</v>
      </c>
      <c r="B7" s="592" t="s">
        <v>904</v>
      </c>
      <c r="C7" s="929" t="s">
        <v>689</v>
      </c>
      <c r="D7" s="929" t="s">
        <v>689</v>
      </c>
      <c r="E7" s="933" t="s">
        <v>485</v>
      </c>
      <c r="F7" s="549">
        <f>'R.FILE GOC'!H41</f>
        <v>0</v>
      </c>
      <c r="G7" s="550" t="s">
        <v>908</v>
      </c>
      <c r="H7" s="551">
        <f>'R.FILE GOC'!K41</f>
        <v>93.2</v>
      </c>
      <c r="I7" s="927" t="s">
        <v>909</v>
      </c>
      <c r="J7" s="549">
        <f>'R.FILE GOC'!N41</f>
        <v>0</v>
      </c>
      <c r="K7" s="550" t="s">
        <v>908</v>
      </c>
      <c r="L7" s="551">
        <f>'R.FILE GOC'!Q41</f>
        <v>93.2</v>
      </c>
      <c r="M7" s="927" t="s">
        <v>909</v>
      </c>
      <c r="N7" s="549">
        <f>'R.FILE GOC'!T41</f>
        <v>0</v>
      </c>
      <c r="O7" s="550" t="s">
        <v>908</v>
      </c>
      <c r="P7" s="551">
        <f>'R.FILE GOC'!W41</f>
        <v>93.2</v>
      </c>
      <c r="Q7" s="931" t="s">
        <v>691</v>
      </c>
      <c r="R7" s="602" t="s">
        <v>727</v>
      </c>
    </row>
    <row r="8" spans="1:18" s="598" customFormat="1" ht="21" customHeight="1">
      <c r="A8" s="591">
        <v>2</v>
      </c>
      <c r="B8" s="928" t="s">
        <v>693</v>
      </c>
      <c r="C8" s="596" t="s">
        <v>694</v>
      </c>
      <c r="D8" s="596" t="s">
        <v>694</v>
      </c>
      <c r="E8" s="932" t="s">
        <v>461</v>
      </c>
      <c r="F8" s="934">
        <f>'R.FILE GOC'!H42</f>
        <v>0</v>
      </c>
      <c r="G8" s="550" t="s">
        <v>908</v>
      </c>
      <c r="H8" s="551">
        <f>'R.FILE GOC'!K42</f>
        <v>1017.578125</v>
      </c>
      <c r="I8" s="927" t="s">
        <v>910</v>
      </c>
      <c r="J8" s="934">
        <f>'R.FILE GOC'!N42</f>
        <v>0</v>
      </c>
      <c r="K8" s="550" t="s">
        <v>908</v>
      </c>
      <c r="L8" s="551">
        <f>'R.FILE GOC'!Q42</f>
        <v>1017.578125</v>
      </c>
      <c r="M8" s="927" t="s">
        <v>910</v>
      </c>
      <c r="N8" s="934">
        <f>'R.FILE GOC'!T42</f>
        <v>0</v>
      </c>
      <c r="O8" s="550"/>
      <c r="P8" s="551">
        <f>'R.FILE GOC'!W42</f>
        <v>1017.578125</v>
      </c>
      <c r="Q8" s="235"/>
      <c r="R8" s="602"/>
    </row>
    <row r="9" spans="1:18" s="598" customFormat="1" ht="29.25" customHeight="1">
      <c r="A9" s="591">
        <v>3</v>
      </c>
      <c r="B9" s="2556" t="s">
        <v>728</v>
      </c>
      <c r="C9" s="595"/>
      <c r="D9" s="2559" t="s">
        <v>466</v>
      </c>
      <c r="E9" s="548" t="s">
        <v>645</v>
      </c>
      <c r="F9" s="594">
        <f>'R.FILE GOC'!H43</f>
        <v>0</v>
      </c>
      <c r="G9" s="554" t="s">
        <v>641</v>
      </c>
      <c r="H9" s="555">
        <f>'R.FILE GOC'!K43</f>
        <v>246.75</v>
      </c>
      <c r="I9" s="235" t="s">
        <v>718</v>
      </c>
      <c r="J9" s="594">
        <f>'R.FILE GOC'!N43</f>
        <v>0</v>
      </c>
      <c r="K9" s="554" t="s">
        <v>641</v>
      </c>
      <c r="L9" s="555">
        <f>'R.FILE GOC'!Q43</f>
        <v>246.75</v>
      </c>
      <c r="M9" s="235" t="s">
        <v>718</v>
      </c>
      <c r="N9" s="594">
        <f>'R.FILE GOC'!T43</f>
        <v>0</v>
      </c>
      <c r="O9" s="554" t="s">
        <v>641</v>
      </c>
      <c r="P9" s="555">
        <f>'R.FILE GOC'!W43</f>
        <v>246.75</v>
      </c>
      <c r="Q9" s="235" t="s">
        <v>718</v>
      </c>
      <c r="R9" s="602" t="s">
        <v>729</v>
      </c>
    </row>
    <row r="10" spans="1:18" s="598" customFormat="1" ht="29.25" customHeight="1">
      <c r="A10" s="591">
        <v>4</v>
      </c>
      <c r="B10" s="2557"/>
      <c r="C10" s="610"/>
      <c r="D10" s="2559"/>
      <c r="E10" s="548" t="s">
        <v>649</v>
      </c>
      <c r="F10" s="594">
        <f>'R.FILE GOC'!H44</f>
        <v>0</v>
      </c>
      <c r="G10" s="554" t="s">
        <v>641</v>
      </c>
      <c r="H10" s="555">
        <f>'R.FILE GOC'!K44</f>
        <v>32.077500000000001</v>
      </c>
      <c r="I10" s="235" t="s">
        <v>718</v>
      </c>
      <c r="J10" s="594">
        <f>'R.FILE GOC'!N44</f>
        <v>0</v>
      </c>
      <c r="K10" s="554" t="s">
        <v>641</v>
      </c>
      <c r="L10" s="555">
        <f>'R.FILE GOC'!Q44</f>
        <v>32.077500000000001</v>
      </c>
      <c r="M10" s="235" t="s">
        <v>718</v>
      </c>
      <c r="N10" s="594">
        <f>'R.FILE GOC'!T44</f>
        <v>0</v>
      </c>
      <c r="O10" s="554" t="s">
        <v>641</v>
      </c>
      <c r="P10" s="555">
        <f>'R.FILE GOC'!W44</f>
        <v>32.077500000000001</v>
      </c>
      <c r="Q10" s="235" t="s">
        <v>718</v>
      </c>
      <c r="R10" s="602" t="s">
        <v>730</v>
      </c>
    </row>
    <row r="11" spans="1:18" s="598" customFormat="1" ht="29.25" customHeight="1">
      <c r="A11" s="591">
        <v>5</v>
      </c>
      <c r="B11" s="2558"/>
      <c r="C11" s="611"/>
      <c r="D11" s="2559"/>
      <c r="E11" s="548" t="s">
        <v>651</v>
      </c>
      <c r="F11" s="75">
        <f>'R.FILE GOC'!H45</f>
        <v>0</v>
      </c>
      <c r="G11" s="554" t="s">
        <v>641</v>
      </c>
      <c r="H11" s="599">
        <f>'R.FILE GOC'!K45</f>
        <v>0</v>
      </c>
      <c r="I11" s="75" t="s">
        <v>718</v>
      </c>
      <c r="J11" s="75">
        <f>'R.FILE GOC'!N45</f>
        <v>0</v>
      </c>
      <c r="K11" s="554" t="s">
        <v>641</v>
      </c>
      <c r="L11" s="599">
        <f>'R.FILE GOC'!Q45</f>
        <v>0</v>
      </c>
      <c r="M11" s="75" t="s">
        <v>718</v>
      </c>
      <c r="N11" s="75">
        <f>'R.FILE GOC'!T45</f>
        <v>0</v>
      </c>
      <c r="O11" s="554" t="s">
        <v>641</v>
      </c>
      <c r="P11" s="599">
        <f>'R.FILE GOC'!W45</f>
        <v>0</v>
      </c>
      <c r="Q11" s="75" t="s">
        <v>718</v>
      </c>
      <c r="R11" s="602"/>
    </row>
    <row r="12" spans="1:18" s="598" customFormat="1" ht="29.25" hidden="1" customHeight="1">
      <c r="A12" s="591">
        <v>6</v>
      </c>
      <c r="B12" s="2556" t="s">
        <v>731</v>
      </c>
      <c r="C12" s="595"/>
      <c r="D12" s="2559" t="s">
        <v>466</v>
      </c>
      <c r="E12" s="548" t="s">
        <v>645</v>
      </c>
      <c r="F12" s="594" t="e">
        <f>'R.FILE GOC'!#REF!</f>
        <v>#REF!</v>
      </c>
      <c r="G12" s="554" t="s">
        <v>641</v>
      </c>
      <c r="H12" s="555" t="e">
        <f>'R.FILE GOC'!#REF!</f>
        <v>#REF!</v>
      </c>
      <c r="I12" s="235" t="s">
        <v>718</v>
      </c>
      <c r="J12" s="594" t="e">
        <f>'R.FILE GOC'!#REF!</f>
        <v>#REF!</v>
      </c>
      <c r="K12" s="554" t="s">
        <v>641</v>
      </c>
      <c r="L12" s="555" t="e">
        <f>'R.FILE GOC'!#REF!</f>
        <v>#REF!</v>
      </c>
      <c r="M12" s="235" t="s">
        <v>718</v>
      </c>
      <c r="N12" s="594" t="e">
        <f>'R.FILE GOC'!#REF!</f>
        <v>#REF!</v>
      </c>
      <c r="O12" s="554" t="s">
        <v>641</v>
      </c>
      <c r="P12" s="555" t="e">
        <f>'R.FILE GOC'!#REF!</f>
        <v>#REF!</v>
      </c>
      <c r="Q12" s="235" t="s">
        <v>718</v>
      </c>
      <c r="R12" s="602" t="s">
        <v>729</v>
      </c>
    </row>
    <row r="13" spans="1:18" s="598" customFormat="1" ht="29.25" hidden="1" customHeight="1">
      <c r="A13" s="591">
        <v>7</v>
      </c>
      <c r="B13" s="2557"/>
      <c r="C13" s="610"/>
      <c r="D13" s="2559"/>
      <c r="E13" s="548" t="s">
        <v>649</v>
      </c>
      <c r="F13" s="594" t="e">
        <f>'R.FILE GOC'!#REF!</f>
        <v>#REF!</v>
      </c>
      <c r="G13" s="554" t="s">
        <v>641</v>
      </c>
      <c r="H13" s="555" t="e">
        <f>'R.FILE GOC'!#REF!</f>
        <v>#REF!</v>
      </c>
      <c r="I13" s="235" t="s">
        <v>718</v>
      </c>
      <c r="J13" s="594" t="e">
        <f>'R.FILE GOC'!#REF!</f>
        <v>#REF!</v>
      </c>
      <c r="K13" s="554" t="s">
        <v>641</v>
      </c>
      <c r="L13" s="555" t="e">
        <f>'R.FILE GOC'!#REF!</f>
        <v>#REF!</v>
      </c>
      <c r="M13" s="235" t="s">
        <v>718</v>
      </c>
      <c r="N13" s="594" t="e">
        <f>'R.FILE GOC'!#REF!</f>
        <v>#REF!</v>
      </c>
      <c r="O13" s="554" t="s">
        <v>641</v>
      </c>
      <c r="P13" s="555" t="e">
        <f>'R.FILE GOC'!#REF!</f>
        <v>#REF!</v>
      </c>
      <c r="Q13" s="235" t="s">
        <v>718</v>
      </c>
      <c r="R13" s="602" t="s">
        <v>730</v>
      </c>
    </row>
    <row r="14" spans="1:18" s="598" customFormat="1" ht="29.25" hidden="1" customHeight="1">
      <c r="A14" s="591">
        <v>8</v>
      </c>
      <c r="B14" s="2558"/>
      <c r="C14" s="611"/>
      <c r="D14" s="2559"/>
      <c r="E14" s="548" t="s">
        <v>651</v>
      </c>
      <c r="F14" s="75" t="e">
        <f>'R.FILE GOC'!#REF!</f>
        <v>#REF!</v>
      </c>
      <c r="G14" s="554" t="s">
        <v>641</v>
      </c>
      <c r="H14" s="599" t="e">
        <f>'R.FILE GOC'!#REF!</f>
        <v>#REF!</v>
      </c>
      <c r="I14" s="75" t="s">
        <v>718</v>
      </c>
      <c r="J14" s="75" t="e">
        <f>'R.FILE GOC'!#REF!</f>
        <v>#REF!</v>
      </c>
      <c r="K14" s="554" t="s">
        <v>641</v>
      </c>
      <c r="L14" s="599" t="e">
        <f>'R.FILE GOC'!#REF!</f>
        <v>#REF!</v>
      </c>
      <c r="M14" s="75" t="s">
        <v>718</v>
      </c>
      <c r="N14" s="75" t="e">
        <f>'R.FILE GOC'!#REF!</f>
        <v>#REF!</v>
      </c>
      <c r="O14" s="554" t="s">
        <v>641</v>
      </c>
      <c r="P14" s="599" t="e">
        <f>'R.FILE GOC'!#REF!</f>
        <v>#REF!</v>
      </c>
      <c r="Q14" s="75" t="s">
        <v>718</v>
      </c>
      <c r="R14" s="602"/>
    </row>
    <row r="15" spans="1:18" s="603" customFormat="1" ht="29.25" customHeight="1">
      <c r="A15" s="591">
        <v>9</v>
      </c>
      <c r="B15" s="2556" t="s">
        <v>701</v>
      </c>
      <c r="C15" s="595"/>
      <c r="D15" s="593" t="s">
        <v>466</v>
      </c>
      <c r="E15" s="548" t="s">
        <v>476</v>
      </c>
      <c r="F15" s="594">
        <f>'R.FILE GOC'!H46</f>
        <v>0</v>
      </c>
      <c r="G15" s="609" t="s">
        <v>641</v>
      </c>
      <c r="H15" s="601">
        <f>'R.FILE GOC'!K46</f>
        <v>1.234</v>
      </c>
      <c r="I15" s="594" t="s">
        <v>718</v>
      </c>
      <c r="J15" s="594">
        <f>'R.FILE GOC'!N46</f>
        <v>0</v>
      </c>
      <c r="K15" s="609" t="s">
        <v>641</v>
      </c>
      <c r="L15" s="601">
        <f>'R.FILE GOC'!Q46</f>
        <v>1.234</v>
      </c>
      <c r="M15" s="594" t="s">
        <v>718</v>
      </c>
      <c r="N15" s="594">
        <f>'R.FILE GOC'!T46</f>
        <v>0</v>
      </c>
      <c r="O15" s="609" t="s">
        <v>641</v>
      </c>
      <c r="P15" s="601">
        <f>'R.FILE GOC'!W46</f>
        <v>1.234</v>
      </c>
      <c r="Q15" s="594" t="s">
        <v>718</v>
      </c>
      <c r="R15" s="602" t="s">
        <v>702</v>
      </c>
    </row>
    <row r="16" spans="1:18" s="603" customFormat="1" ht="29.25" customHeight="1">
      <c r="A16" s="591">
        <v>10</v>
      </c>
      <c r="B16" s="2558"/>
      <c r="C16" s="611"/>
      <c r="D16" s="604" t="s">
        <v>723</v>
      </c>
      <c r="E16" s="1102" t="s">
        <v>1030</v>
      </c>
      <c r="F16" s="594">
        <f>'R.FILE GOC'!H47</f>
        <v>0</v>
      </c>
      <c r="G16" s="554" t="s">
        <v>641</v>
      </c>
      <c r="H16" s="555"/>
      <c r="I16" s="235" t="s">
        <v>718</v>
      </c>
      <c r="J16" s="594">
        <f>'R.FILE GOC'!N47</f>
        <v>0</v>
      </c>
      <c r="K16" s="554" t="s">
        <v>641</v>
      </c>
      <c r="L16" s="555"/>
      <c r="M16" s="235" t="s">
        <v>718</v>
      </c>
      <c r="N16" s="594">
        <f>'R.FILE GOC'!T47</f>
        <v>0</v>
      </c>
      <c r="O16" s="554" t="s">
        <v>641</v>
      </c>
      <c r="P16" s="555"/>
      <c r="Q16" s="235" t="s">
        <v>718</v>
      </c>
      <c r="R16" s="235"/>
    </row>
    <row r="17" spans="1:18" s="598" customFormat="1" ht="29.25" customHeight="1">
      <c r="A17" s="2560" t="s">
        <v>704</v>
      </c>
      <c r="B17" s="2560"/>
      <c r="C17" s="2560"/>
      <c r="D17" s="2560"/>
      <c r="E17" s="2560"/>
      <c r="F17" s="2560"/>
      <c r="G17" s="2560"/>
      <c r="H17" s="2560"/>
      <c r="I17" s="2560"/>
      <c r="J17" s="2560"/>
      <c r="K17" s="2560"/>
      <c r="L17" s="2560"/>
      <c r="M17" s="2560"/>
      <c r="N17" s="2560"/>
      <c r="O17" s="2560"/>
      <c r="P17" s="2560"/>
      <c r="Q17" s="2560"/>
      <c r="R17" s="2560"/>
    </row>
    <row r="18" spans="1:18" s="598" customFormat="1" ht="29.25" customHeight="1">
      <c r="A18" s="235" t="s">
        <v>724</v>
      </c>
      <c r="B18" s="605" t="s">
        <v>706</v>
      </c>
      <c r="C18" s="605"/>
      <c r="D18" s="605" t="s">
        <v>707</v>
      </c>
      <c r="E18" s="605" t="s">
        <v>708</v>
      </c>
      <c r="F18" s="2561" t="s">
        <v>973</v>
      </c>
      <c r="G18" s="2561"/>
      <c r="H18" s="2561"/>
      <c r="I18" s="2561"/>
      <c r="J18" s="2561"/>
      <c r="K18" s="2561"/>
      <c r="L18" s="2561"/>
      <c r="M18" s="2561"/>
      <c r="N18" s="2561"/>
      <c r="O18" s="2561"/>
      <c r="P18" s="2561"/>
      <c r="Q18" s="2561"/>
      <c r="R18" s="1312"/>
    </row>
    <row r="19" spans="1:18" s="598" customFormat="1" ht="29.25" customHeight="1">
      <c r="A19" s="235">
        <v>1</v>
      </c>
      <c r="B19" s="930" t="s">
        <v>911</v>
      </c>
      <c r="C19" s="605"/>
      <c r="D19" s="606" t="s">
        <v>710</v>
      </c>
      <c r="E19" s="933" t="s">
        <v>711</v>
      </c>
      <c r="F19" s="2555">
        <f>'R.FILE GOC'!K50</f>
        <v>0</v>
      </c>
      <c r="G19" s="2555"/>
      <c r="H19" s="2555"/>
      <c r="I19" s="2555"/>
      <c r="J19" s="2555">
        <f>'R.FILE GOC'!Q50</f>
        <v>0</v>
      </c>
      <c r="K19" s="2555"/>
      <c r="L19" s="2555"/>
      <c r="M19" s="2555"/>
      <c r="N19" s="2555">
        <f>'R.FILE GOC'!W50</f>
        <v>0</v>
      </c>
      <c r="O19" s="2555"/>
      <c r="P19" s="2555"/>
      <c r="Q19" s="2555"/>
      <c r="R19" s="555"/>
    </row>
    <row r="20" spans="1:18" s="598" customFormat="1" ht="29.25" customHeight="1">
      <c r="A20" s="235">
        <v>2</v>
      </c>
      <c r="B20" s="930" t="s">
        <v>912</v>
      </c>
      <c r="C20" s="605"/>
      <c r="D20" s="606" t="s">
        <v>710</v>
      </c>
      <c r="E20" s="548" t="s">
        <v>713</v>
      </c>
      <c r="F20" s="2555">
        <f>'R.FILE GOC'!K51</f>
        <v>0</v>
      </c>
      <c r="G20" s="2555"/>
      <c r="H20" s="2555"/>
      <c r="I20" s="2555"/>
      <c r="J20" s="2555">
        <f>'R.FILE GOC'!Q51</f>
        <v>0</v>
      </c>
      <c r="K20" s="2555"/>
      <c r="L20" s="2555"/>
      <c r="M20" s="2555"/>
      <c r="N20" s="2555">
        <f>'R.FILE GOC'!W51</f>
        <v>0</v>
      </c>
      <c r="O20" s="2555"/>
      <c r="P20" s="2555"/>
      <c r="Q20" s="2555"/>
      <c r="R20" s="555"/>
    </row>
    <row r="21" spans="1:18" s="598" customFormat="1" ht="29.25" customHeight="1">
      <c r="A21" s="235">
        <v>3</v>
      </c>
      <c r="B21" s="605" t="s">
        <v>714</v>
      </c>
      <c r="C21" s="605"/>
      <c r="D21" s="606" t="s">
        <v>710</v>
      </c>
      <c r="E21" s="548" t="s">
        <v>715</v>
      </c>
      <c r="F21" s="2555">
        <f>'R.FILE GOC'!K52</f>
        <v>0</v>
      </c>
      <c r="G21" s="2555"/>
      <c r="H21" s="2555"/>
      <c r="I21" s="2555"/>
      <c r="J21" s="2555">
        <f>'R.FILE GOC'!Q52</f>
        <v>0</v>
      </c>
      <c r="K21" s="2555"/>
      <c r="L21" s="2555"/>
      <c r="M21" s="2555"/>
      <c r="N21" s="2555">
        <f>'R.FILE GOC'!W52</f>
        <v>0</v>
      </c>
      <c r="O21" s="2555"/>
      <c r="P21" s="2555"/>
      <c r="Q21" s="2555"/>
      <c r="R21" s="555"/>
    </row>
    <row r="22" spans="1:18" ht="27.75" customHeight="1">
      <c r="A22" s="2546" t="s">
        <v>625</v>
      </c>
      <c r="B22" s="2546"/>
      <c r="C22" s="2546"/>
      <c r="D22" s="2546"/>
      <c r="E22" s="2546"/>
      <c r="F22" s="2546"/>
      <c r="G22" s="2546"/>
      <c r="H22" s="2546"/>
      <c r="I22" s="2546"/>
      <c r="J22" s="2546"/>
      <c r="K22" s="2546"/>
      <c r="L22" s="2546"/>
      <c r="M22" s="2546"/>
      <c r="N22" s="533"/>
      <c r="O22" s="533"/>
      <c r="P22" s="533"/>
      <c r="Q22" s="533"/>
      <c r="R22" s="533"/>
    </row>
    <row r="23" spans="1:18" ht="36.75" customHeight="1">
      <c r="A23" s="2543" t="s">
        <v>906</v>
      </c>
      <c r="B23" s="2543"/>
      <c r="C23" s="2543"/>
      <c r="D23" s="2543"/>
      <c r="E23" s="2543"/>
      <c r="F23" s="2543"/>
      <c r="G23" s="2543"/>
      <c r="H23" s="2543"/>
      <c r="I23" s="2543"/>
      <c r="J23" s="2543"/>
      <c r="K23" s="2543"/>
      <c r="L23" s="2543"/>
      <c r="M23" s="2543"/>
      <c r="N23" s="536"/>
      <c r="O23" s="536"/>
      <c r="P23" s="536"/>
      <c r="Q23" s="536"/>
      <c r="R23" s="536"/>
    </row>
    <row r="24" spans="1:18" ht="27" customHeight="1">
      <c r="A24" s="537"/>
      <c r="B24" s="538" t="s">
        <v>716</v>
      </c>
      <c r="C24" s="538"/>
      <c r="D24" s="539"/>
      <c r="E24" s="539"/>
      <c r="F24" s="539"/>
      <c r="G24" s="539"/>
      <c r="H24" s="539"/>
      <c r="I24" s="539"/>
      <c r="J24" s="2563"/>
      <c r="K24" s="2563"/>
      <c r="L24" s="2563"/>
      <c r="M24" s="587"/>
      <c r="N24" s="2563"/>
      <c r="O24" s="2563"/>
      <c r="P24" s="2563"/>
      <c r="Q24" s="587"/>
      <c r="R24" s="587"/>
    </row>
    <row r="25" spans="1:18" s="589" customFormat="1" ht="42" customHeight="1">
      <c r="A25" s="2564" t="s">
        <v>717</v>
      </c>
      <c r="B25" s="2561" t="s">
        <v>681</v>
      </c>
      <c r="C25" s="605"/>
      <c r="D25" s="2561" t="s">
        <v>682</v>
      </c>
      <c r="E25" s="2568" t="s">
        <v>683</v>
      </c>
      <c r="F25" s="2508" t="s">
        <v>977</v>
      </c>
      <c r="G25" s="2509"/>
      <c r="H25" s="2509"/>
      <c r="I25" s="2509"/>
      <c r="J25" s="2509"/>
      <c r="K25" s="2509"/>
      <c r="L25" s="2509"/>
      <c r="M25" s="2509"/>
      <c r="N25" s="2509"/>
      <c r="O25" s="2509"/>
      <c r="P25" s="2509"/>
      <c r="Q25" s="2510"/>
      <c r="R25" s="2208" t="s">
        <v>684</v>
      </c>
    </row>
    <row r="26" spans="1:18" s="589" customFormat="1" ht="21" customHeight="1">
      <c r="A26" s="2565"/>
      <c r="B26" s="2561"/>
      <c r="C26" s="605"/>
      <c r="D26" s="2561"/>
      <c r="E26" s="2568"/>
      <c r="F26" s="2533">
        <v>0.83333333333333337</v>
      </c>
      <c r="G26" s="2524"/>
      <c r="H26" s="2524"/>
      <c r="I26" s="2524"/>
      <c r="J26" s="2534">
        <v>4.1666666666666664E-2</v>
      </c>
      <c r="K26" s="2535"/>
      <c r="L26" s="2535"/>
      <c r="M26" s="2536"/>
      <c r="N26" s="2534">
        <v>0.16666666666666666</v>
      </c>
      <c r="O26" s="2535"/>
      <c r="P26" s="2535"/>
      <c r="Q26" s="2536"/>
      <c r="R26" s="2209"/>
    </row>
    <row r="27" spans="1:18" s="589" customFormat="1" ht="40.5" customHeight="1">
      <c r="A27" s="2566"/>
      <c r="B27" s="2567"/>
      <c r="C27" s="235"/>
      <c r="D27" s="2567"/>
      <c r="E27" s="2569"/>
      <c r="F27" s="590" t="s">
        <v>685</v>
      </c>
      <c r="G27" s="2380" t="s">
        <v>686</v>
      </c>
      <c r="H27" s="2388"/>
      <c r="I27" s="2562"/>
      <c r="J27" s="590" t="s">
        <v>685</v>
      </c>
      <c r="K27" s="2380" t="s">
        <v>686</v>
      </c>
      <c r="L27" s="2388"/>
      <c r="M27" s="2562"/>
      <c r="N27" s="590" t="s">
        <v>685</v>
      </c>
      <c r="O27" s="2380" t="s">
        <v>686</v>
      </c>
      <c r="P27" s="2388"/>
      <c r="Q27" s="2562"/>
      <c r="R27" s="613" t="s">
        <v>726</v>
      </c>
    </row>
    <row r="28" spans="1:18" s="598" customFormat="1" ht="30" customHeight="1">
      <c r="A28" s="591">
        <v>1</v>
      </c>
      <c r="B28" s="592" t="s">
        <v>904</v>
      </c>
      <c r="C28" s="929" t="s">
        <v>689</v>
      </c>
      <c r="D28" s="929" t="s">
        <v>689</v>
      </c>
      <c r="E28" s="933" t="s">
        <v>485</v>
      </c>
      <c r="F28" s="549">
        <f>'R.FILE GOC'!Z41</f>
        <v>0</v>
      </c>
      <c r="G28" s="550" t="s">
        <v>908</v>
      </c>
      <c r="H28" s="551">
        <f>'R.FILE GOC'!AC41</f>
        <v>93.2</v>
      </c>
      <c r="I28" s="927" t="s">
        <v>909</v>
      </c>
      <c r="J28" s="549">
        <f>'R.FILE GOC'!AF41</f>
        <v>0</v>
      </c>
      <c r="K28" s="550" t="s">
        <v>908</v>
      </c>
      <c r="L28" s="551">
        <f>'R.FILE GOC'!AI41</f>
        <v>93.2</v>
      </c>
      <c r="M28" s="927" t="s">
        <v>909</v>
      </c>
      <c r="N28" s="549">
        <f>'R.FILE GOC'!AL41</f>
        <v>0</v>
      </c>
      <c r="O28" s="550" t="s">
        <v>908</v>
      </c>
      <c r="P28" s="551">
        <f>'R.FILE GOC'!AO41</f>
        <v>93.2</v>
      </c>
      <c r="Q28" s="931" t="s">
        <v>691</v>
      </c>
      <c r="R28" s="613" t="s">
        <v>732</v>
      </c>
    </row>
    <row r="29" spans="1:18" s="598" customFormat="1" ht="23.25" customHeight="1">
      <c r="A29" s="591">
        <v>2</v>
      </c>
      <c r="B29" s="928" t="s">
        <v>693</v>
      </c>
      <c r="C29" s="596" t="s">
        <v>694</v>
      </c>
      <c r="D29" s="596" t="s">
        <v>694</v>
      </c>
      <c r="E29" s="932" t="s">
        <v>461</v>
      </c>
      <c r="F29" s="934">
        <f>'R.FILE GOC'!Z42</f>
        <v>0</v>
      </c>
      <c r="G29" s="550" t="s">
        <v>908</v>
      </c>
      <c r="H29" s="551">
        <f>'R.FILE GOC'!AC42</f>
        <v>1017.578125</v>
      </c>
      <c r="I29" s="927" t="s">
        <v>910</v>
      </c>
      <c r="J29" s="934">
        <f>'R.FILE GOC'!AF42</f>
        <v>0</v>
      </c>
      <c r="K29" s="550" t="s">
        <v>908</v>
      </c>
      <c r="L29" s="551">
        <f>'R.FILE GOC'!AI42</f>
        <v>1017.578125</v>
      </c>
      <c r="M29" s="927" t="s">
        <v>910</v>
      </c>
      <c r="N29" s="934">
        <f>'R.FILE GOC'!AL42</f>
        <v>0</v>
      </c>
      <c r="O29" s="550" t="s">
        <v>908</v>
      </c>
      <c r="P29" s="551">
        <f>'R.FILE GOC'!AO42</f>
        <v>1017.578125</v>
      </c>
      <c r="Q29" s="235" t="s">
        <v>720</v>
      </c>
      <c r="R29" s="613"/>
    </row>
    <row r="30" spans="1:18" s="598" customFormat="1" ht="30" customHeight="1">
      <c r="A30" s="591">
        <v>3</v>
      </c>
      <c r="B30" s="2556" t="s">
        <v>728</v>
      </c>
      <c r="C30" s="595"/>
      <c r="D30" s="2559" t="s">
        <v>466</v>
      </c>
      <c r="E30" s="548" t="s">
        <v>645</v>
      </c>
      <c r="F30" s="594">
        <f>'R.FILE GOC'!Z43</f>
        <v>0</v>
      </c>
      <c r="G30" s="554" t="s">
        <v>641</v>
      </c>
      <c r="H30" s="555">
        <f>'R.FILE GOC'!AC43</f>
        <v>246.75</v>
      </c>
      <c r="I30" s="235" t="s">
        <v>718</v>
      </c>
      <c r="J30" s="594">
        <f>'R.FILE GOC'!AF43</f>
        <v>0</v>
      </c>
      <c r="K30" s="554" t="s">
        <v>641</v>
      </c>
      <c r="L30" s="555">
        <f>'R.FILE GOC'!AI43</f>
        <v>246.75</v>
      </c>
      <c r="M30" s="235" t="s">
        <v>718</v>
      </c>
      <c r="N30" s="594">
        <f>'R.FILE GOC'!AL43</f>
        <v>0</v>
      </c>
      <c r="O30" s="554" t="s">
        <v>641</v>
      </c>
      <c r="P30" s="555">
        <f>'R.FILE GOC'!AO43</f>
        <v>246.75</v>
      </c>
      <c r="Q30" s="235" t="s">
        <v>718</v>
      </c>
      <c r="R30" s="613" t="s">
        <v>730</v>
      </c>
    </row>
    <row r="31" spans="1:18" s="598" customFormat="1" ht="30" customHeight="1">
      <c r="A31" s="591">
        <v>4</v>
      </c>
      <c r="B31" s="2557"/>
      <c r="C31" s="610"/>
      <c r="D31" s="2559"/>
      <c r="E31" s="548" t="s">
        <v>649</v>
      </c>
      <c r="F31" s="594">
        <f>'R.FILE GOC'!Z44</f>
        <v>0</v>
      </c>
      <c r="G31" s="554" t="s">
        <v>641</v>
      </c>
      <c r="H31" s="555">
        <f>'R.FILE GOC'!AC44</f>
        <v>32.077500000000001</v>
      </c>
      <c r="I31" s="235" t="s">
        <v>718</v>
      </c>
      <c r="J31" s="594">
        <f>'R.FILE GOC'!AF44</f>
        <v>0</v>
      </c>
      <c r="K31" s="554" t="s">
        <v>641</v>
      </c>
      <c r="L31" s="555">
        <f>'R.FILE GOC'!AI44</f>
        <v>32.077500000000001</v>
      </c>
      <c r="M31" s="235" t="s">
        <v>718</v>
      </c>
      <c r="N31" s="594">
        <f>'R.FILE GOC'!AL44</f>
        <v>0</v>
      </c>
      <c r="O31" s="554" t="s">
        <v>641</v>
      </c>
      <c r="P31" s="555">
        <f>'R.FILE GOC'!AO44</f>
        <v>32.077500000000001</v>
      </c>
      <c r="Q31" s="235" t="s">
        <v>718</v>
      </c>
      <c r="R31" s="614"/>
    </row>
    <row r="32" spans="1:18" s="598" customFormat="1" ht="30" customHeight="1">
      <c r="A32" s="591">
        <v>5</v>
      </c>
      <c r="B32" s="2558"/>
      <c r="C32" s="611"/>
      <c r="D32" s="2559"/>
      <c r="E32" s="548" t="s">
        <v>651</v>
      </c>
      <c r="F32" s="75">
        <f>'R.FILE GOC'!Z45</f>
        <v>0</v>
      </c>
      <c r="G32" s="554" t="s">
        <v>641</v>
      </c>
      <c r="H32" s="599">
        <f>'R.FILE GOC'!AC45</f>
        <v>0</v>
      </c>
      <c r="I32" s="75" t="s">
        <v>718</v>
      </c>
      <c r="J32" s="75">
        <f>'R.FILE GOC'!AF45</f>
        <v>0</v>
      </c>
      <c r="K32" s="554" t="s">
        <v>641</v>
      </c>
      <c r="L32" s="599">
        <f>'R.FILE GOC'!AI45</f>
        <v>0</v>
      </c>
      <c r="M32" s="75" t="s">
        <v>718</v>
      </c>
      <c r="N32" s="75">
        <f>'R.FILE GOC'!AL45</f>
        <v>0</v>
      </c>
      <c r="O32" s="554" t="s">
        <v>641</v>
      </c>
      <c r="P32" s="599">
        <f>'R.FILE GOC'!AO45</f>
        <v>0</v>
      </c>
      <c r="Q32" s="75" t="s">
        <v>718</v>
      </c>
      <c r="R32" s="613" t="s">
        <v>729</v>
      </c>
    </row>
    <row r="33" spans="1:18" s="598" customFormat="1" ht="30" hidden="1" customHeight="1">
      <c r="A33" s="591">
        <v>6</v>
      </c>
      <c r="B33" s="2556" t="s">
        <v>731</v>
      </c>
      <c r="C33" s="595"/>
      <c r="D33" s="2559" t="s">
        <v>466</v>
      </c>
      <c r="E33" s="548" t="s">
        <v>645</v>
      </c>
      <c r="F33" s="594" t="e">
        <f>'R.FILE GOC'!#REF!</f>
        <v>#REF!</v>
      </c>
      <c r="G33" s="554" t="s">
        <v>641</v>
      </c>
      <c r="H33" s="555" t="e">
        <f>'R.FILE GOC'!#REF!</f>
        <v>#REF!</v>
      </c>
      <c r="I33" s="235" t="s">
        <v>718</v>
      </c>
      <c r="J33" s="594" t="e">
        <f>'R.FILE GOC'!#REF!</f>
        <v>#REF!</v>
      </c>
      <c r="K33" s="554" t="s">
        <v>641</v>
      </c>
      <c r="L33" s="555" t="e">
        <f>'R.FILE GOC'!#REF!</f>
        <v>#REF!</v>
      </c>
      <c r="M33" s="235" t="s">
        <v>718</v>
      </c>
      <c r="N33" s="594" t="e">
        <f>'R.FILE GOC'!#REF!</f>
        <v>#REF!</v>
      </c>
      <c r="O33" s="554" t="s">
        <v>641</v>
      </c>
      <c r="P33" s="555" t="e">
        <f>'R.FILE GOC'!#REF!</f>
        <v>#REF!</v>
      </c>
      <c r="Q33" s="235" t="s">
        <v>718</v>
      </c>
      <c r="R33" s="613" t="s">
        <v>730</v>
      </c>
    </row>
    <row r="34" spans="1:18" s="598" customFormat="1" ht="30" hidden="1" customHeight="1">
      <c r="A34" s="591">
        <v>7</v>
      </c>
      <c r="B34" s="2557"/>
      <c r="C34" s="610"/>
      <c r="D34" s="2559"/>
      <c r="E34" s="548" t="s">
        <v>649</v>
      </c>
      <c r="F34" s="594" t="e">
        <f>'R.FILE GOC'!#REF!</f>
        <v>#REF!</v>
      </c>
      <c r="G34" s="554" t="s">
        <v>641</v>
      </c>
      <c r="H34" s="555" t="e">
        <f>'R.FILE GOC'!#REF!</f>
        <v>#REF!</v>
      </c>
      <c r="I34" s="235" t="s">
        <v>718</v>
      </c>
      <c r="J34" s="594" t="e">
        <f>'R.FILE GOC'!#REF!</f>
        <v>#REF!</v>
      </c>
      <c r="K34" s="554" t="s">
        <v>641</v>
      </c>
      <c r="L34" s="555" t="e">
        <f>'R.FILE GOC'!#REF!</f>
        <v>#REF!</v>
      </c>
      <c r="M34" s="235" t="s">
        <v>718</v>
      </c>
      <c r="N34" s="594" t="e">
        <f>'R.FILE GOC'!#REF!</f>
        <v>#REF!</v>
      </c>
      <c r="O34" s="554" t="s">
        <v>641</v>
      </c>
      <c r="P34" s="555" t="e">
        <f>'R.FILE GOC'!#REF!</f>
        <v>#REF!</v>
      </c>
      <c r="Q34" s="235" t="s">
        <v>718</v>
      </c>
      <c r="R34" s="613"/>
    </row>
    <row r="35" spans="1:18" s="598" customFormat="1" ht="30" hidden="1" customHeight="1">
      <c r="A35" s="591">
        <v>8</v>
      </c>
      <c r="B35" s="2558"/>
      <c r="C35" s="611"/>
      <c r="D35" s="2559"/>
      <c r="E35" s="548" t="s">
        <v>651</v>
      </c>
      <c r="F35" s="75" t="e">
        <f>'R.FILE GOC'!#REF!</f>
        <v>#REF!</v>
      </c>
      <c r="G35" s="554" t="s">
        <v>641</v>
      </c>
      <c r="H35" s="599" t="e">
        <f>'R.FILE GOC'!#REF!</f>
        <v>#REF!</v>
      </c>
      <c r="I35" s="75" t="s">
        <v>718</v>
      </c>
      <c r="J35" s="75" t="e">
        <f>'R.FILE GOC'!#REF!</f>
        <v>#REF!</v>
      </c>
      <c r="K35" s="554" t="s">
        <v>641</v>
      </c>
      <c r="L35" s="599" t="e">
        <f>'R.FILE GOC'!#REF!</f>
        <v>#REF!</v>
      </c>
      <c r="M35" s="75" t="s">
        <v>718</v>
      </c>
      <c r="N35" s="75" t="e">
        <f>'R.FILE GOC'!#REF!</f>
        <v>#REF!</v>
      </c>
      <c r="O35" s="554" t="s">
        <v>641</v>
      </c>
      <c r="P35" s="599" t="e">
        <f>'R.FILE GOC'!#REF!</f>
        <v>#REF!</v>
      </c>
      <c r="Q35" s="75" t="s">
        <v>718</v>
      </c>
      <c r="R35" s="613" t="s">
        <v>729</v>
      </c>
    </row>
    <row r="36" spans="1:18" s="603" customFormat="1" ht="30" customHeight="1">
      <c r="A36" s="591">
        <v>9</v>
      </c>
      <c r="B36" s="2556" t="s">
        <v>701</v>
      </c>
      <c r="C36" s="595"/>
      <c r="D36" s="593" t="s">
        <v>466</v>
      </c>
      <c r="E36" s="548" t="s">
        <v>476</v>
      </c>
      <c r="F36" s="594">
        <f>'R.FILE GOC'!Z46</f>
        <v>0</v>
      </c>
      <c r="G36" s="609" t="s">
        <v>641</v>
      </c>
      <c r="H36" s="601">
        <f>'R.FILE GOC'!AC46</f>
        <v>1.234</v>
      </c>
      <c r="I36" s="594" t="s">
        <v>718</v>
      </c>
      <c r="J36" s="594">
        <f>'R.FILE GOC'!AF46</f>
        <v>0</v>
      </c>
      <c r="K36" s="609" t="s">
        <v>641</v>
      </c>
      <c r="L36" s="601">
        <f>'R.FILE GOC'!AI46</f>
        <v>1.234</v>
      </c>
      <c r="M36" s="594" t="s">
        <v>718</v>
      </c>
      <c r="N36" s="594">
        <f>'R.FILE GOC'!AL46</f>
        <v>0</v>
      </c>
      <c r="O36" s="609" t="s">
        <v>641</v>
      </c>
      <c r="P36" s="601">
        <f>'R.FILE GOC'!AO46</f>
        <v>1.234</v>
      </c>
      <c r="Q36" s="594" t="s">
        <v>718</v>
      </c>
      <c r="R36" s="602" t="s">
        <v>702</v>
      </c>
    </row>
    <row r="37" spans="1:18" s="603" customFormat="1" ht="30" customHeight="1">
      <c r="A37" s="591">
        <v>10</v>
      </c>
      <c r="B37" s="2558"/>
      <c r="C37" s="611"/>
      <c r="D37" s="604" t="s">
        <v>723</v>
      </c>
      <c r="E37" s="1102" t="s">
        <v>1030</v>
      </c>
      <c r="F37" s="594">
        <f>'R.FILE GOC'!Z47</f>
        <v>0</v>
      </c>
      <c r="G37" s="554" t="s">
        <v>641</v>
      </c>
      <c r="H37" s="555"/>
      <c r="I37" s="235" t="s">
        <v>718</v>
      </c>
      <c r="J37" s="594">
        <f>'R.FILE GOC'!AF47</f>
        <v>0</v>
      </c>
      <c r="K37" s="554" t="s">
        <v>641</v>
      </c>
      <c r="L37" s="555"/>
      <c r="M37" s="235" t="s">
        <v>718</v>
      </c>
      <c r="N37" s="594">
        <f>'R.FILE GOC'!AL47</f>
        <v>0</v>
      </c>
      <c r="O37" s="554" t="s">
        <v>641</v>
      </c>
      <c r="P37" s="555"/>
      <c r="Q37" s="235" t="s">
        <v>718</v>
      </c>
      <c r="R37" s="235"/>
    </row>
    <row r="38" spans="1:18" s="598" customFormat="1" ht="30" customHeight="1">
      <c r="A38" s="2560" t="s">
        <v>704</v>
      </c>
      <c r="B38" s="2560"/>
      <c r="C38" s="2560"/>
      <c r="D38" s="2560"/>
      <c r="E38" s="2560"/>
      <c r="F38" s="2560"/>
      <c r="G38" s="2560"/>
      <c r="H38" s="2560"/>
      <c r="I38" s="2560"/>
      <c r="J38" s="2560"/>
      <c r="K38" s="2560"/>
      <c r="L38" s="2560"/>
      <c r="M38" s="2560"/>
      <c r="N38" s="2560"/>
      <c r="O38" s="2560"/>
      <c r="P38" s="2560"/>
      <c r="Q38" s="2560"/>
      <c r="R38" s="2560"/>
    </row>
    <row r="39" spans="1:18" s="598" customFormat="1" ht="30" customHeight="1">
      <c r="A39" s="235" t="s">
        <v>724</v>
      </c>
      <c r="B39" s="605" t="s">
        <v>706</v>
      </c>
      <c r="C39" s="605"/>
      <c r="D39" s="605" t="s">
        <v>707</v>
      </c>
      <c r="E39" s="605" t="s">
        <v>708</v>
      </c>
      <c r="F39" s="2561" t="s">
        <v>973</v>
      </c>
      <c r="G39" s="2561"/>
      <c r="H39" s="2561"/>
      <c r="I39" s="2561"/>
      <c r="J39" s="2561"/>
      <c r="K39" s="2561"/>
      <c r="L39" s="2561"/>
      <c r="M39" s="2561"/>
      <c r="N39" s="2561"/>
      <c r="O39" s="2561"/>
      <c r="P39" s="2561"/>
      <c r="Q39" s="2561"/>
      <c r="R39" s="1312"/>
    </row>
    <row r="40" spans="1:18" s="598" customFormat="1" ht="30" customHeight="1">
      <c r="A40" s="235">
        <v>1</v>
      </c>
      <c r="B40" s="930" t="s">
        <v>911</v>
      </c>
      <c r="C40" s="605"/>
      <c r="D40" s="606" t="s">
        <v>710</v>
      </c>
      <c r="E40" s="933" t="s">
        <v>711</v>
      </c>
      <c r="F40" s="2555">
        <f>'R.FILE GOC'!AC50</f>
        <v>0</v>
      </c>
      <c r="G40" s="2555"/>
      <c r="H40" s="2555"/>
      <c r="I40" s="2555"/>
      <c r="J40" s="2555">
        <f>'R.FILE GOC'!AI50</f>
        <v>0</v>
      </c>
      <c r="K40" s="2555"/>
      <c r="L40" s="2555"/>
      <c r="M40" s="2555"/>
      <c r="N40" s="2555">
        <f>'R.FILE GOC'!AO50</f>
        <v>0</v>
      </c>
      <c r="O40" s="2555"/>
      <c r="P40" s="2555"/>
      <c r="Q40" s="2555"/>
      <c r="R40" s="300"/>
    </row>
    <row r="41" spans="1:18" s="598" customFormat="1" ht="30" customHeight="1">
      <c r="A41" s="235">
        <v>2</v>
      </c>
      <c r="B41" s="930" t="s">
        <v>912</v>
      </c>
      <c r="C41" s="605"/>
      <c r="D41" s="606" t="s">
        <v>710</v>
      </c>
      <c r="E41" s="548" t="s">
        <v>713</v>
      </c>
      <c r="F41" s="2506">
        <f>'R.FILE GOC'!AC51</f>
        <v>0</v>
      </c>
      <c r="G41" s="2507"/>
      <c r="H41" s="2507"/>
      <c r="I41" s="2507"/>
      <c r="J41" s="2506">
        <f>'R.FILE GOC'!AI51</f>
        <v>0</v>
      </c>
      <c r="K41" s="2507"/>
      <c r="L41" s="2507"/>
      <c r="M41" s="2507"/>
      <c r="N41" s="2506">
        <f>'R.FILE GOC'!AO51</f>
        <v>0</v>
      </c>
      <c r="O41" s="2507"/>
      <c r="P41" s="2507"/>
      <c r="Q41" s="2507"/>
      <c r="R41" s="75"/>
    </row>
    <row r="42" spans="1:18" s="598" customFormat="1" ht="30" customHeight="1">
      <c r="A42" s="235">
        <v>3</v>
      </c>
      <c r="B42" s="605" t="s">
        <v>714</v>
      </c>
      <c r="C42" s="605"/>
      <c r="D42" s="606" t="s">
        <v>710</v>
      </c>
      <c r="E42" s="548" t="s">
        <v>715</v>
      </c>
      <c r="F42" s="2506">
        <f>'R.FILE GOC'!AC52</f>
        <v>0</v>
      </c>
      <c r="G42" s="2507"/>
      <c r="H42" s="2507"/>
      <c r="I42" s="2507"/>
      <c r="J42" s="2506">
        <f>'R.FILE GOC'!AI52</f>
        <v>0</v>
      </c>
      <c r="K42" s="2507"/>
      <c r="L42" s="2507"/>
      <c r="M42" s="2507"/>
      <c r="N42" s="2506">
        <f>'R.FILE GOC'!AO52</f>
        <v>0</v>
      </c>
      <c r="O42" s="2507"/>
      <c r="P42" s="2507"/>
      <c r="Q42" s="2507"/>
      <c r="R42" s="300"/>
    </row>
  </sheetData>
  <sheetProtection selectLockedCells="1"/>
  <mergeCells count="65">
    <mergeCell ref="A1:M1"/>
    <mergeCell ref="A2:M2"/>
    <mergeCell ref="P2:Q2"/>
    <mergeCell ref="J3:L3"/>
    <mergeCell ref="P3:Q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R25:R26"/>
    <mergeCell ref="F26:I26"/>
    <mergeCell ref="J26:M26"/>
    <mergeCell ref="N26:Q26"/>
    <mergeCell ref="G27:I27"/>
    <mergeCell ref="A25:A27"/>
    <mergeCell ref="B25:B27"/>
    <mergeCell ref="D25:D27"/>
    <mergeCell ref="E25:E27"/>
    <mergeCell ref="F25:Q25"/>
    <mergeCell ref="K27:M27"/>
    <mergeCell ref="O27:Q27"/>
    <mergeCell ref="B30:B32"/>
    <mergeCell ref="D30:D32"/>
    <mergeCell ref="B33:B35"/>
    <mergeCell ref="D33:D35"/>
    <mergeCell ref="B36:B37"/>
    <mergeCell ref="A38:R38"/>
    <mergeCell ref="F39:Q39"/>
    <mergeCell ref="F40:I40"/>
    <mergeCell ref="J40:M40"/>
    <mergeCell ref="N40:Q40"/>
    <mergeCell ref="F41:I41"/>
    <mergeCell ref="J41:M41"/>
    <mergeCell ref="N41:Q41"/>
    <mergeCell ref="F42:I42"/>
    <mergeCell ref="J42:M42"/>
    <mergeCell ref="N42:Q42"/>
  </mergeCells>
  <phoneticPr fontId="6" type="noConversion"/>
  <conditionalFormatting sqref="F20:Q20 F41:I41">
    <cfRule type="expression" dxfId="730" priority="65">
      <formula>F20&lt;65</formula>
    </cfRule>
    <cfRule type="expression" dxfId="729" priority="66">
      <formula>F20&gt;85</formula>
    </cfRule>
  </conditionalFormatting>
  <conditionalFormatting sqref="F42:I42 F21:Q21">
    <cfRule type="expression" dxfId="728" priority="63">
      <formula>F21&lt;80</formula>
    </cfRule>
    <cfRule type="expression" dxfId="727" priority="64">
      <formula>F21&gt;90</formula>
    </cfRule>
  </conditionalFormatting>
  <conditionalFormatting sqref="J41:Q41">
    <cfRule type="expression" dxfId="726" priority="61">
      <formula>J41&lt;65</formula>
    </cfRule>
    <cfRule type="expression" dxfId="725" priority="62">
      <formula>J41&gt;85</formula>
    </cfRule>
  </conditionalFormatting>
  <conditionalFormatting sqref="J42:Q42">
    <cfRule type="expression" dxfId="724" priority="59">
      <formula>J42&lt;80</formula>
    </cfRule>
    <cfRule type="expression" dxfId="723" priority="60">
      <formula>J42&gt;90</formula>
    </cfRule>
  </conditionalFormatting>
  <conditionalFormatting sqref="F8 J8">
    <cfRule type="expression" dxfId="722" priority="57">
      <formula>F8&lt;10</formula>
    </cfRule>
    <cfRule type="expression" dxfId="721" priority="58">
      <formula>F8&gt;15</formula>
    </cfRule>
  </conditionalFormatting>
  <conditionalFormatting sqref="N8">
    <cfRule type="expression" dxfId="720" priority="55">
      <formula>N8&lt;10</formula>
    </cfRule>
    <cfRule type="expression" dxfId="719" priority="56">
      <formula>N8&gt;15</formula>
    </cfRule>
  </conditionalFormatting>
  <conditionalFormatting sqref="J8">
    <cfRule type="expression" dxfId="718" priority="53">
      <formula>J8&lt;10</formula>
    </cfRule>
    <cfRule type="expression" dxfId="717" priority="54">
      <formula>J8&gt;15</formula>
    </cfRule>
  </conditionalFormatting>
  <conditionalFormatting sqref="N8">
    <cfRule type="expression" dxfId="716" priority="51">
      <formula>N8&lt;10</formula>
    </cfRule>
    <cfRule type="expression" dxfId="715" priority="52">
      <formula>N8&gt;15</formula>
    </cfRule>
  </conditionalFormatting>
  <conditionalFormatting sqref="F8">
    <cfRule type="expression" dxfId="714" priority="49">
      <formula>F8&lt;10</formula>
    </cfRule>
    <cfRule type="expression" dxfId="713" priority="50">
      <formula>F8&gt;15</formula>
    </cfRule>
  </conditionalFormatting>
  <conditionalFormatting sqref="F8 J8">
    <cfRule type="expression" dxfId="712" priority="47">
      <formula>F8&lt;10</formula>
    </cfRule>
    <cfRule type="expression" dxfId="711" priority="48">
      <formula>F8&gt;15</formula>
    </cfRule>
  </conditionalFormatting>
  <conditionalFormatting sqref="N8">
    <cfRule type="expression" dxfId="710" priority="45">
      <formula>N8&lt;10</formula>
    </cfRule>
    <cfRule type="expression" dxfId="709" priority="46">
      <formula>N8&gt;15</formula>
    </cfRule>
  </conditionalFormatting>
  <conditionalFormatting sqref="F8">
    <cfRule type="expression" dxfId="708" priority="43">
      <formula>F8&lt;10</formula>
    </cfRule>
    <cfRule type="expression" dxfId="707" priority="44">
      <formula>F8&gt;15</formula>
    </cfRule>
  </conditionalFormatting>
  <conditionalFormatting sqref="F8">
    <cfRule type="expression" dxfId="706" priority="42">
      <formula>F8&lt;1</formula>
    </cfRule>
  </conditionalFormatting>
  <conditionalFormatting sqref="J8">
    <cfRule type="expression" dxfId="705" priority="40">
      <formula>J8&lt;10</formula>
    </cfRule>
    <cfRule type="expression" dxfId="704" priority="41">
      <formula>J8&gt;15</formula>
    </cfRule>
  </conditionalFormatting>
  <conditionalFormatting sqref="J8">
    <cfRule type="expression" dxfId="703" priority="39">
      <formula>J8&lt;1</formula>
    </cfRule>
  </conditionalFormatting>
  <conditionalFormatting sqref="N8">
    <cfRule type="expression" dxfId="702" priority="37">
      <formula>N8&lt;10</formula>
    </cfRule>
    <cfRule type="expression" dxfId="701" priority="38">
      <formula>N8&gt;15</formula>
    </cfRule>
  </conditionalFormatting>
  <conditionalFormatting sqref="N8">
    <cfRule type="expression" dxfId="700" priority="35">
      <formula>N8&lt;10</formula>
    </cfRule>
    <cfRule type="expression" dxfId="699" priority="36">
      <formula>N8&gt;15</formula>
    </cfRule>
  </conditionalFormatting>
  <conditionalFormatting sqref="N8">
    <cfRule type="expression" dxfId="698" priority="34">
      <formula>N8&lt;1</formula>
    </cfRule>
  </conditionalFormatting>
  <conditionalFormatting sqref="F29 J29">
    <cfRule type="expression" dxfId="697" priority="32">
      <formula>F29&lt;10</formula>
    </cfRule>
    <cfRule type="expression" dxfId="696" priority="33">
      <formula>F29&gt;15</formula>
    </cfRule>
  </conditionalFormatting>
  <conditionalFormatting sqref="N29">
    <cfRule type="expression" dxfId="695" priority="30">
      <formula>N29&lt;10</formula>
    </cfRule>
    <cfRule type="expression" dxfId="694" priority="31">
      <formula>N29&gt;15</formula>
    </cfRule>
  </conditionalFormatting>
  <conditionalFormatting sqref="J29">
    <cfRule type="expression" dxfId="693" priority="28">
      <formula>J29&lt;10</formula>
    </cfRule>
    <cfRule type="expression" dxfId="692" priority="29">
      <formula>J29&gt;15</formula>
    </cfRule>
  </conditionalFormatting>
  <conditionalFormatting sqref="N29">
    <cfRule type="expression" dxfId="691" priority="26">
      <formula>N29&lt;10</formula>
    </cfRule>
    <cfRule type="expression" dxfId="690" priority="27">
      <formula>N29&gt;15</formula>
    </cfRule>
  </conditionalFormatting>
  <conditionalFormatting sqref="F29">
    <cfRule type="expression" dxfId="689" priority="24">
      <formula>F29&lt;10</formula>
    </cfRule>
    <cfRule type="expression" dxfId="688" priority="25">
      <formula>F29&gt;15</formula>
    </cfRule>
  </conditionalFormatting>
  <conditionalFormatting sqref="F29 J29">
    <cfRule type="expression" dxfId="687" priority="22">
      <formula>F29&lt;10</formula>
    </cfRule>
    <cfRule type="expression" dxfId="686" priority="23">
      <formula>F29&gt;15</formula>
    </cfRule>
  </conditionalFormatting>
  <conditionalFormatting sqref="N29">
    <cfRule type="expression" dxfId="685" priority="20">
      <formula>N29&lt;10</formula>
    </cfRule>
    <cfRule type="expression" dxfId="684" priority="21">
      <formula>N29&gt;15</formula>
    </cfRule>
  </conditionalFormatting>
  <conditionalFormatting sqref="F29">
    <cfRule type="expression" dxfId="683" priority="18">
      <formula>F29&lt;10</formula>
    </cfRule>
    <cfRule type="expression" dxfId="682" priority="19">
      <formula>F29&gt;15</formula>
    </cfRule>
  </conditionalFormatting>
  <conditionalFormatting sqref="F29">
    <cfRule type="expression" dxfId="681" priority="17">
      <formula>F29&lt;1</formula>
    </cfRule>
  </conditionalFormatting>
  <conditionalFormatting sqref="J29">
    <cfRule type="expression" dxfId="680" priority="15">
      <formula>J29&lt;10</formula>
    </cfRule>
    <cfRule type="expression" dxfId="679" priority="16">
      <formula>J29&gt;15</formula>
    </cfRule>
  </conditionalFormatting>
  <conditionalFormatting sqref="J29">
    <cfRule type="expression" dxfId="678" priority="14">
      <formula>J29&lt;1</formula>
    </cfRule>
  </conditionalFormatting>
  <conditionalFormatting sqref="N29">
    <cfRule type="expression" dxfId="677" priority="12">
      <formula>N29&lt;10</formula>
    </cfRule>
    <cfRule type="expression" dxfId="676" priority="13">
      <formula>N29&gt;15</formula>
    </cfRule>
  </conditionalFormatting>
  <conditionalFormatting sqref="N29">
    <cfRule type="expression" dxfId="675" priority="10">
      <formula>N29&lt;10</formula>
    </cfRule>
    <cfRule type="expression" dxfId="674" priority="11">
      <formula>N29&gt;15</formula>
    </cfRule>
  </conditionalFormatting>
  <conditionalFormatting sqref="N29">
    <cfRule type="expression" dxfId="673" priority="9">
      <formula>N29&lt;1</formula>
    </cfRule>
  </conditionalFormatting>
  <conditionalFormatting sqref="F40">
    <cfRule type="expression" dxfId="672" priority="7">
      <formula>F40&lt;55</formula>
    </cfRule>
    <cfRule type="expression" dxfId="671" priority="8">
      <formula>F40&gt;65</formula>
    </cfRule>
  </conditionalFormatting>
  <conditionalFormatting sqref="J40 N40">
    <cfRule type="expression" dxfId="670" priority="5">
      <formula>J40&lt;55</formula>
    </cfRule>
    <cfRule type="expression" dxfId="669" priority="6">
      <formula>J40&gt;65</formula>
    </cfRule>
  </conditionalFormatting>
  <conditionalFormatting sqref="F19">
    <cfRule type="expression" dxfId="668" priority="3">
      <formula>F19&lt;55</formula>
    </cfRule>
    <cfRule type="expression" dxfId="667" priority="4">
      <formula>F19&gt;65</formula>
    </cfRule>
  </conditionalFormatting>
  <conditionalFormatting sqref="J19 N19">
    <cfRule type="expression" dxfId="666" priority="1">
      <formula>J19&lt;55</formula>
    </cfRule>
    <cfRule type="expression" dxfId="665"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6">
    <tabColor rgb="FFFFC000"/>
  </sheetPr>
  <dimension ref="A1:R33"/>
  <sheetViews>
    <sheetView zoomScale="55" zoomScaleNormal="55" workbookViewId="0">
      <selection activeCell="B3" sqref="B3"/>
    </sheetView>
  </sheetViews>
  <sheetFormatPr defaultRowHeight="16.5"/>
  <cols>
    <col min="1" max="1" width="5.25" style="615" customWidth="1"/>
    <col min="2" max="2" width="31.25" style="638" customWidth="1"/>
    <col min="3" max="3" width="8.375" style="615" customWidth="1"/>
    <col min="4" max="4" width="13.125" style="615" customWidth="1"/>
    <col min="5" max="5" width="9.5" style="615" customWidth="1"/>
    <col min="6" max="6" width="3.375" style="615" customWidth="1"/>
    <col min="7" max="7" width="6.375" style="615" customWidth="1"/>
    <col min="8" max="8" width="3.625" style="615" customWidth="1"/>
    <col min="9" max="9" width="9" style="615" customWidth="1"/>
    <col min="10" max="10" width="3.625" style="615" customWidth="1"/>
    <col min="11" max="12" width="5.625" style="615" customWidth="1"/>
    <col min="13" max="14" width="5.375" style="615" customWidth="1"/>
    <col min="15" max="15" width="5.375" style="639" customWidth="1"/>
    <col min="16" max="16" width="5.375" style="615" customWidth="1"/>
    <col min="17" max="18" width="6.375" style="615" customWidth="1"/>
    <col min="19" max="16384" width="9" style="615"/>
  </cols>
  <sheetData>
    <row r="1" spans="1:18" ht="33.75" customHeight="1">
      <c r="A1" s="2612" t="s">
        <v>151</v>
      </c>
      <c r="B1" s="2612"/>
      <c r="C1" s="2612"/>
      <c r="D1" s="2612"/>
      <c r="E1" s="2612"/>
      <c r="F1" s="2612"/>
      <c r="G1" s="2612"/>
      <c r="H1" s="2612"/>
      <c r="I1" s="2612"/>
      <c r="J1" s="2612"/>
      <c r="K1" s="2612"/>
      <c r="L1" s="2612"/>
      <c r="M1" s="2612"/>
      <c r="N1" s="2612"/>
      <c r="O1" s="1379"/>
      <c r="P1" s="1379"/>
      <c r="Q1" s="1379"/>
      <c r="R1" s="1379"/>
    </row>
    <row r="2" spans="1:18" ht="45.75" customHeight="1">
      <c r="A2" s="2613" t="s">
        <v>733</v>
      </c>
      <c r="B2" s="2613"/>
      <c r="C2" s="2613"/>
      <c r="D2" s="2613"/>
      <c r="E2" s="2613"/>
      <c r="F2" s="2613"/>
      <c r="G2" s="2613"/>
      <c r="H2" s="2613"/>
      <c r="I2" s="2613"/>
      <c r="J2" s="2613"/>
      <c r="K2" s="2613"/>
      <c r="L2" s="2613"/>
      <c r="M2" s="2613"/>
      <c r="N2" s="2614"/>
      <c r="O2" s="2300" t="s">
        <v>678</v>
      </c>
      <c r="P2" s="2302"/>
      <c r="Q2" s="2300" t="s">
        <v>17</v>
      </c>
      <c r="R2" s="2302"/>
    </row>
    <row r="3" spans="1:18" ht="31.5" customHeight="1">
      <c r="A3" s="616"/>
      <c r="B3" s="1730" t="str">
        <f>'2.RL E'!E3</f>
        <v>2023/03/21</v>
      </c>
      <c r="C3" s="616"/>
      <c r="D3" s="618"/>
      <c r="E3" s="616"/>
      <c r="F3" s="616"/>
      <c r="G3" s="616"/>
      <c r="H3" s="619"/>
      <c r="I3" s="619"/>
      <c r="J3" s="619"/>
      <c r="K3" s="619"/>
      <c r="L3" s="619"/>
      <c r="M3" s="619"/>
      <c r="N3" s="619"/>
      <c r="O3" s="2609" t="str">
        <f>'1.xi den'!N3</f>
        <v>Trang</v>
      </c>
      <c r="P3" s="2610"/>
      <c r="Q3" s="2609" t="s">
        <v>734</v>
      </c>
      <c r="R3" s="2610"/>
    </row>
    <row r="4" spans="1:18" s="623" customFormat="1" ht="43.5" customHeight="1">
      <c r="A4" s="2591" t="s">
        <v>7</v>
      </c>
      <c r="B4" s="2584" t="s">
        <v>735</v>
      </c>
      <c r="C4" s="2584" t="s">
        <v>20</v>
      </c>
      <c r="D4" s="2592" t="s">
        <v>736</v>
      </c>
      <c r="E4" s="620" t="s">
        <v>737</v>
      </c>
      <c r="F4" s="621"/>
      <c r="G4" s="621"/>
      <c r="H4" s="621"/>
      <c r="I4" s="621"/>
      <c r="J4" s="621"/>
      <c r="K4" s="621"/>
      <c r="L4" s="622"/>
      <c r="M4" s="2594" t="s">
        <v>738</v>
      </c>
      <c r="N4" s="2595"/>
      <c r="O4" s="2595"/>
      <c r="P4" s="2596"/>
      <c r="Q4" s="2603" t="s">
        <v>684</v>
      </c>
      <c r="R4" s="2604"/>
    </row>
    <row r="5" spans="1:18" s="623" customFormat="1" ht="24" customHeight="1">
      <c r="A5" s="2591"/>
      <c r="B5" s="2584"/>
      <c r="C5" s="2584"/>
      <c r="D5" s="2592"/>
      <c r="E5" s="2588">
        <v>0.33333333333333331</v>
      </c>
      <c r="F5" s="2301"/>
      <c r="G5" s="2301"/>
      <c r="H5" s="2302"/>
      <c r="I5" s="2588">
        <v>0.83333333333333337</v>
      </c>
      <c r="J5" s="2301"/>
      <c r="K5" s="2301"/>
      <c r="L5" s="2302"/>
      <c r="M5" s="2588">
        <v>0.33333333333333331</v>
      </c>
      <c r="N5" s="2302"/>
      <c r="O5" s="2611">
        <v>0.83333333333333337</v>
      </c>
      <c r="P5" s="2596"/>
      <c r="Q5" s="2605"/>
      <c r="R5" s="2606"/>
    </row>
    <row r="6" spans="1:18" s="623" customFormat="1" ht="55.5" customHeight="1">
      <c r="A6" s="2591"/>
      <c r="B6" s="2591"/>
      <c r="C6" s="2591"/>
      <c r="D6" s="2593"/>
      <c r="E6" s="1372" t="s">
        <v>739</v>
      </c>
      <c r="F6" s="2600" t="s">
        <v>740</v>
      </c>
      <c r="G6" s="2601"/>
      <c r="H6" s="2602"/>
      <c r="I6" s="1372" t="s">
        <v>739</v>
      </c>
      <c r="J6" s="2600" t="s">
        <v>740</v>
      </c>
      <c r="K6" s="2601"/>
      <c r="L6" s="2602"/>
      <c r="M6" s="624" t="s">
        <v>741</v>
      </c>
      <c r="N6" s="625" t="s">
        <v>742</v>
      </c>
      <c r="O6" s="624" t="s">
        <v>741</v>
      </c>
      <c r="P6" s="625" t="s">
        <v>742</v>
      </c>
      <c r="Q6" s="2607"/>
      <c r="R6" s="2608"/>
    </row>
    <row r="7" spans="1:18" ht="39.75" customHeight="1">
      <c r="A7" s="1373">
        <v>1</v>
      </c>
      <c r="B7" s="1373" t="s">
        <v>743</v>
      </c>
      <c r="C7" s="1373" t="s">
        <v>4</v>
      </c>
      <c r="D7" s="626" t="s">
        <v>564</v>
      </c>
      <c r="E7" s="35">
        <f>'R.FILE GOC'!H89</f>
        <v>0</v>
      </c>
      <c r="F7" s="1380" t="s">
        <v>8</v>
      </c>
      <c r="G7" s="1381">
        <f>'R.FILE GOC'!K89</f>
        <v>40.799999999999997</v>
      </c>
      <c r="H7" s="1382" t="s">
        <v>9</v>
      </c>
      <c r="I7" s="35">
        <f>'R.FILE GOC'!N89</f>
        <v>0</v>
      </c>
      <c r="J7" s="1380" t="s">
        <v>8</v>
      </c>
      <c r="K7" s="1381">
        <f>'R.FILE GOC'!Q89</f>
        <v>40.799999999999997</v>
      </c>
      <c r="L7" s="1382" t="s">
        <v>9</v>
      </c>
      <c r="M7" s="627"/>
      <c r="N7" s="628"/>
      <c r="O7" s="627"/>
      <c r="P7" s="628"/>
      <c r="Q7" s="2597" t="s">
        <v>12</v>
      </c>
      <c r="R7" s="2598"/>
    </row>
    <row r="8" spans="1:18" ht="39.75" customHeight="1">
      <c r="A8" s="1373">
        <v>2</v>
      </c>
      <c r="B8" s="1373" t="s">
        <v>744</v>
      </c>
      <c r="C8" s="1373" t="s">
        <v>4</v>
      </c>
      <c r="D8" s="626" t="s">
        <v>564</v>
      </c>
      <c r="E8" s="35">
        <f>'R.FILE GOC'!H90</f>
        <v>0</v>
      </c>
      <c r="F8" s="1380" t="s">
        <v>8</v>
      </c>
      <c r="G8" s="1381">
        <f>'R.FILE GOC'!K90</f>
        <v>40.799999999999997</v>
      </c>
      <c r="H8" s="1382" t="s">
        <v>9</v>
      </c>
      <c r="I8" s="35">
        <f>'R.FILE GOC'!N90</f>
        <v>0</v>
      </c>
      <c r="J8" s="1380" t="s">
        <v>8</v>
      </c>
      <c r="K8" s="1381">
        <f>'R.FILE GOC'!Q90</f>
        <v>40.799999999999997</v>
      </c>
      <c r="L8" s="1382" t="s">
        <v>9</v>
      </c>
      <c r="M8" s="627"/>
      <c r="N8" s="628"/>
      <c r="O8" s="627"/>
      <c r="P8" s="628"/>
      <c r="Q8" s="2597" t="s">
        <v>12</v>
      </c>
      <c r="R8" s="2598"/>
    </row>
    <row r="9" spans="1:18" ht="39.75" customHeight="1">
      <c r="A9" s="1373">
        <v>3</v>
      </c>
      <c r="B9" s="1373" t="s">
        <v>745</v>
      </c>
      <c r="C9" s="1373" t="s">
        <v>58</v>
      </c>
      <c r="D9" s="626" t="s">
        <v>570</v>
      </c>
      <c r="E9" s="35">
        <f>'R.FILE GOC'!H91</f>
        <v>0</v>
      </c>
      <c r="F9" s="1380" t="s">
        <v>8</v>
      </c>
      <c r="G9" s="1381">
        <f>'R.FILE GOC'!K91</f>
        <v>408</v>
      </c>
      <c r="H9" s="1382" t="s">
        <v>1242</v>
      </c>
      <c r="I9" s="35">
        <f>'R.FILE GOC'!N91</f>
        <v>0</v>
      </c>
      <c r="J9" s="1380" t="s">
        <v>8</v>
      </c>
      <c r="K9" s="1381">
        <f>'R.FILE GOC'!Q91</f>
        <v>408</v>
      </c>
      <c r="L9" s="1382" t="s">
        <v>1242</v>
      </c>
      <c r="M9" s="627"/>
      <c r="N9" s="628"/>
      <c r="O9" s="627"/>
      <c r="P9" s="628"/>
      <c r="Q9" s="2597" t="s">
        <v>16</v>
      </c>
      <c r="R9" s="2598"/>
    </row>
    <row r="10" spans="1:18" ht="39.75" customHeight="1">
      <c r="A10" s="1373">
        <v>4</v>
      </c>
      <c r="B10" s="1374" t="s">
        <v>1243</v>
      </c>
      <c r="C10" s="1373" t="s">
        <v>4</v>
      </c>
      <c r="D10" s="626" t="s">
        <v>572</v>
      </c>
      <c r="E10" s="35">
        <f>'R.FILE GOC'!H92</f>
        <v>0</v>
      </c>
      <c r="F10" s="1380" t="s">
        <v>8</v>
      </c>
      <c r="G10" s="1381">
        <f>'R.FILE GOC'!K92</f>
        <v>224.64</v>
      </c>
      <c r="H10" s="1382" t="s">
        <v>9</v>
      </c>
      <c r="I10" s="35">
        <f>'R.FILE GOC'!N92</f>
        <v>0</v>
      </c>
      <c r="J10" s="1380" t="s">
        <v>8</v>
      </c>
      <c r="K10" s="1381">
        <f>'R.FILE GOC'!Q92</f>
        <v>224.64</v>
      </c>
      <c r="L10" s="1382" t="s">
        <v>9</v>
      </c>
      <c r="M10" s="627"/>
      <c r="N10" s="628"/>
      <c r="O10" s="627"/>
      <c r="P10" s="628"/>
      <c r="Q10" s="2597" t="s">
        <v>746</v>
      </c>
      <c r="R10" s="2598"/>
    </row>
    <row r="11" spans="1:18" ht="39.75" customHeight="1">
      <c r="A11" s="1373">
        <v>5</v>
      </c>
      <c r="B11" s="1374" t="s">
        <v>1244</v>
      </c>
      <c r="C11" s="1373" t="s">
        <v>4</v>
      </c>
      <c r="D11" s="629" t="s">
        <v>574</v>
      </c>
      <c r="E11" s="35">
        <f>'R.FILE GOC'!H93</f>
        <v>0</v>
      </c>
      <c r="F11" s="1380" t="s">
        <v>8</v>
      </c>
      <c r="G11" s="1381" t="str">
        <f>'R.FILE GOC'!K93</f>
        <v>N/A</v>
      </c>
      <c r="H11" s="1382" t="s">
        <v>9</v>
      </c>
      <c r="I11" s="35">
        <f>'R.FILE GOC'!N93</f>
        <v>0</v>
      </c>
      <c r="J11" s="1380" t="s">
        <v>8</v>
      </c>
      <c r="K11" s="1381" t="str">
        <f>'R.FILE GOC'!Q93</f>
        <v>N/A</v>
      </c>
      <c r="L11" s="1382" t="s">
        <v>9</v>
      </c>
      <c r="M11" s="627"/>
      <c r="N11" s="628"/>
      <c r="O11" s="627"/>
      <c r="P11" s="628"/>
      <c r="Q11" s="2597" t="s">
        <v>747</v>
      </c>
      <c r="R11" s="2598"/>
    </row>
    <row r="12" spans="1:18" ht="39.75" customHeight="1">
      <c r="A12" s="1373">
        <v>6</v>
      </c>
      <c r="B12" s="1374" t="s">
        <v>1245</v>
      </c>
      <c r="C12" s="1373" t="s">
        <v>4</v>
      </c>
      <c r="D12" s="626" t="s">
        <v>572</v>
      </c>
      <c r="E12" s="35">
        <f>'R.FILE GOC'!H94</f>
        <v>0</v>
      </c>
      <c r="F12" s="1380" t="s">
        <v>8</v>
      </c>
      <c r="G12" s="1381">
        <f>'R.FILE GOC'!K94</f>
        <v>224.64</v>
      </c>
      <c r="H12" s="1382" t="s">
        <v>9</v>
      </c>
      <c r="I12" s="35">
        <f>'R.FILE GOC'!N94</f>
        <v>0</v>
      </c>
      <c r="J12" s="1380" t="s">
        <v>8</v>
      </c>
      <c r="K12" s="1381">
        <f>'R.FILE GOC'!Q94</f>
        <v>224.64</v>
      </c>
      <c r="L12" s="1382" t="s">
        <v>9</v>
      </c>
      <c r="M12" s="627"/>
      <c r="N12" s="628"/>
      <c r="O12" s="627"/>
      <c r="P12" s="628"/>
      <c r="Q12" s="2597" t="s">
        <v>746</v>
      </c>
      <c r="R12" s="2598"/>
    </row>
    <row r="13" spans="1:18" ht="39.75" customHeight="1">
      <c r="A13" s="1373">
        <v>7</v>
      </c>
      <c r="B13" s="1374" t="s">
        <v>1246</v>
      </c>
      <c r="C13" s="1373" t="s">
        <v>4</v>
      </c>
      <c r="D13" s="629" t="s">
        <v>574</v>
      </c>
      <c r="E13" s="35">
        <f>'R.FILE GOC'!H95</f>
        <v>0</v>
      </c>
      <c r="F13" s="1380" t="s">
        <v>8</v>
      </c>
      <c r="G13" s="1381" t="str">
        <f>'R.FILE GOC'!K95</f>
        <v>N/A</v>
      </c>
      <c r="H13" s="1382" t="s">
        <v>9</v>
      </c>
      <c r="I13" s="35">
        <f>'R.FILE GOC'!N95</f>
        <v>0</v>
      </c>
      <c r="J13" s="1380" t="s">
        <v>8</v>
      </c>
      <c r="K13" s="1381" t="str">
        <f>'R.FILE GOC'!Q95</f>
        <v>N/A</v>
      </c>
      <c r="L13" s="1382" t="s">
        <v>9</v>
      </c>
      <c r="M13" s="627"/>
      <c r="N13" s="628"/>
      <c r="O13" s="627"/>
      <c r="P13" s="628"/>
      <c r="Q13" s="2597" t="s">
        <v>747</v>
      </c>
      <c r="R13" s="2598"/>
    </row>
    <row r="14" spans="1:18" ht="39.75" customHeight="1">
      <c r="A14" s="1373">
        <v>8</v>
      </c>
      <c r="B14" s="1374" t="s">
        <v>1247</v>
      </c>
      <c r="C14" s="1373" t="s">
        <v>4</v>
      </c>
      <c r="D14" s="626" t="s">
        <v>572</v>
      </c>
      <c r="E14" s="35">
        <f>'R.FILE GOC'!H96</f>
        <v>0</v>
      </c>
      <c r="F14" s="1380" t="s">
        <v>8</v>
      </c>
      <c r="G14" s="1381">
        <f>'R.FILE GOC'!K96</f>
        <v>224.64</v>
      </c>
      <c r="H14" s="1382" t="s">
        <v>9</v>
      </c>
      <c r="I14" s="35">
        <f>'R.FILE GOC'!N96</f>
        <v>0</v>
      </c>
      <c r="J14" s="1380" t="s">
        <v>8</v>
      </c>
      <c r="K14" s="1381">
        <f>'R.FILE GOC'!Q96</f>
        <v>224.64</v>
      </c>
      <c r="L14" s="1382" t="s">
        <v>9</v>
      </c>
      <c r="M14" s="627"/>
      <c r="N14" s="628"/>
      <c r="O14" s="627"/>
      <c r="P14" s="628"/>
      <c r="Q14" s="2597" t="s">
        <v>746</v>
      </c>
      <c r="R14" s="2598"/>
    </row>
    <row r="15" spans="1:18" ht="39.75" customHeight="1">
      <c r="A15" s="1373">
        <v>9</v>
      </c>
      <c r="B15" s="1374" t="s">
        <v>1248</v>
      </c>
      <c r="C15" s="1373" t="s">
        <v>4</v>
      </c>
      <c r="D15" s="629" t="s">
        <v>574</v>
      </c>
      <c r="E15" s="35">
        <f>'R.FILE GOC'!H97</f>
        <v>0</v>
      </c>
      <c r="F15" s="1380" t="s">
        <v>8</v>
      </c>
      <c r="G15" s="1381" t="str">
        <f>'R.FILE GOC'!K97</f>
        <v>N/A</v>
      </c>
      <c r="H15" s="1382" t="s">
        <v>9</v>
      </c>
      <c r="I15" s="35">
        <f>'R.FILE GOC'!N97</f>
        <v>0</v>
      </c>
      <c r="J15" s="1380" t="s">
        <v>8</v>
      </c>
      <c r="K15" s="1381" t="str">
        <f>'R.FILE GOC'!Q97</f>
        <v>N/A</v>
      </c>
      <c r="L15" s="1382" t="s">
        <v>9</v>
      </c>
      <c r="M15" s="627"/>
      <c r="N15" s="628"/>
      <c r="O15" s="627"/>
      <c r="P15" s="628"/>
      <c r="Q15" s="2597" t="s">
        <v>747</v>
      </c>
      <c r="R15" s="2598"/>
    </row>
    <row r="16" spans="1:18" ht="39.75" customHeight="1">
      <c r="A16" s="2580">
        <v>10</v>
      </c>
      <c r="B16" s="2589" t="s">
        <v>748</v>
      </c>
      <c r="C16" s="1373" t="s">
        <v>4</v>
      </c>
      <c r="D16" s="626" t="s">
        <v>581</v>
      </c>
      <c r="E16" s="35">
        <f>'R.FILE GOC'!H98</f>
        <v>0</v>
      </c>
      <c r="F16" s="1380" t="s">
        <v>8</v>
      </c>
      <c r="G16" s="1381">
        <f>'R.FILE GOC'!K98</f>
        <v>17.28</v>
      </c>
      <c r="H16" s="1382" t="s">
        <v>9</v>
      </c>
      <c r="I16" s="35">
        <f>'R.FILE GOC'!N98</f>
        <v>0</v>
      </c>
      <c r="J16" s="1380" t="s">
        <v>8</v>
      </c>
      <c r="K16" s="1381">
        <f>'R.FILE GOC'!Q98</f>
        <v>17.28</v>
      </c>
      <c r="L16" s="1382" t="s">
        <v>9</v>
      </c>
      <c r="M16" s="627"/>
      <c r="N16" s="628"/>
      <c r="O16" s="627"/>
      <c r="P16" s="628"/>
      <c r="Q16" s="2597" t="s">
        <v>749</v>
      </c>
      <c r="R16" s="2598"/>
    </row>
    <row r="17" spans="1:18" ht="33" customHeight="1">
      <c r="A17" s="2581"/>
      <c r="B17" s="2590"/>
      <c r="C17" s="1373" t="s">
        <v>5</v>
      </c>
      <c r="D17" s="626" t="s">
        <v>583</v>
      </c>
      <c r="E17" s="679">
        <f>'R.FILE GOC'!H99</f>
        <v>0</v>
      </c>
      <c r="F17" s="1383"/>
      <c r="G17" s="1383"/>
      <c r="H17" s="1383"/>
      <c r="I17" s="679">
        <f>'R.FILE GOC'!N99</f>
        <v>0</v>
      </c>
      <c r="J17" s="1384"/>
      <c r="K17" s="1384"/>
      <c r="L17" s="1385"/>
      <c r="M17" s="627"/>
      <c r="N17" s="628"/>
      <c r="O17" s="627"/>
      <c r="P17" s="628"/>
      <c r="Q17" s="2599"/>
      <c r="R17" s="2598"/>
    </row>
    <row r="18" spans="1:18" ht="32.25" customHeight="1">
      <c r="A18" s="1373">
        <v>11</v>
      </c>
      <c r="B18" s="630" t="s">
        <v>750</v>
      </c>
      <c r="C18" s="1375" t="s">
        <v>5</v>
      </c>
      <c r="D18" s="1374" t="s">
        <v>586</v>
      </c>
      <c r="E18" s="1386">
        <f>'R.FILE GOC'!H100</f>
        <v>0</v>
      </c>
      <c r="F18" s="1383"/>
      <c r="G18" s="1383"/>
      <c r="H18" s="1383"/>
      <c r="I18" s="1386">
        <f>'R.FILE GOC'!N100</f>
        <v>0</v>
      </c>
      <c r="J18" s="1384"/>
      <c r="K18" s="1384"/>
      <c r="L18" s="1385"/>
      <c r="M18" s="627"/>
      <c r="N18" s="628"/>
      <c r="O18" s="631"/>
      <c r="P18" s="628"/>
      <c r="Q18" s="2572"/>
      <c r="R18" s="2573"/>
    </row>
    <row r="19" spans="1:18" ht="32.25" hidden="1" customHeight="1">
      <c r="A19" s="1373">
        <v>12</v>
      </c>
      <c r="B19" s="632" t="s">
        <v>751</v>
      </c>
      <c r="C19" s="1375" t="s">
        <v>5</v>
      </c>
      <c r="D19" s="1374" t="s">
        <v>589</v>
      </c>
      <c r="E19" s="1386">
        <f>'R.FILE GOC'!H101</f>
        <v>0</v>
      </c>
      <c r="F19" s="1383"/>
      <c r="G19" s="1383"/>
      <c r="H19" s="1383"/>
      <c r="I19" s="1386">
        <f>'R.FILE GOC'!N101</f>
        <v>0</v>
      </c>
      <c r="J19" s="1387"/>
      <c r="K19" s="1387"/>
      <c r="L19" s="1388"/>
      <c r="M19" s="627"/>
      <c r="N19" s="628"/>
      <c r="O19" s="631"/>
      <c r="P19" s="628"/>
      <c r="Q19" s="2572"/>
      <c r="R19" s="2573"/>
    </row>
    <row r="20" spans="1:18" ht="32.25" customHeight="1">
      <c r="A20" s="1373">
        <v>13</v>
      </c>
      <c r="B20" s="630" t="s">
        <v>752</v>
      </c>
      <c r="C20" s="1375" t="s">
        <v>5</v>
      </c>
      <c r="D20" s="1374" t="s">
        <v>586</v>
      </c>
      <c r="E20" s="679">
        <f>'R.FILE GOC'!H102</f>
        <v>0</v>
      </c>
      <c r="F20" s="1383"/>
      <c r="G20" s="1383"/>
      <c r="H20" s="1383"/>
      <c r="I20" s="679">
        <f>'R.FILE GOC'!N102</f>
        <v>0</v>
      </c>
      <c r="J20" s="1387"/>
      <c r="K20" s="1387"/>
      <c r="L20" s="1388"/>
      <c r="M20" s="627"/>
      <c r="N20" s="628"/>
      <c r="O20" s="631"/>
      <c r="P20" s="628"/>
      <c r="Q20" s="2572"/>
      <c r="R20" s="2573"/>
    </row>
    <row r="21" spans="1:18" ht="31.5" customHeight="1">
      <c r="A21" s="1373"/>
      <c r="B21" s="633" t="s">
        <v>153</v>
      </c>
      <c r="C21" s="634"/>
      <c r="D21" s="634"/>
      <c r="E21" s="634"/>
      <c r="F21" s="634"/>
      <c r="G21" s="634"/>
      <c r="H21" s="634"/>
      <c r="I21" s="634"/>
      <c r="J21" s="634"/>
      <c r="K21" s="634"/>
      <c r="L21" s="634"/>
      <c r="M21" s="634"/>
      <c r="N21" s="634"/>
      <c r="O21" s="634"/>
      <c r="P21" s="634"/>
      <c r="Q21" s="634"/>
      <c r="R21" s="635"/>
    </row>
    <row r="22" spans="1:18" ht="43.5" customHeight="1">
      <c r="A22" s="2580" t="s">
        <v>7</v>
      </c>
      <c r="B22" s="2582" t="s">
        <v>23</v>
      </c>
      <c r="C22" s="2582" t="s">
        <v>24</v>
      </c>
      <c r="D22" s="2582" t="s">
        <v>25</v>
      </c>
      <c r="E22" s="2584" t="s">
        <v>48</v>
      </c>
      <c r="F22" s="2584"/>
      <c r="G22" s="2585" t="s">
        <v>65</v>
      </c>
      <c r="H22" s="2585"/>
      <c r="I22" s="2584" t="s">
        <v>48</v>
      </c>
      <c r="J22" s="2584"/>
      <c r="K22" s="2585" t="s">
        <v>65</v>
      </c>
      <c r="L22" s="2585"/>
      <c r="M22" s="2586"/>
      <c r="N22" s="2586"/>
      <c r="O22" s="2582"/>
      <c r="P22" s="2586"/>
      <c r="Q22" s="2576"/>
      <c r="R22" s="2577"/>
    </row>
    <row r="23" spans="1:18" ht="22.5" customHeight="1">
      <c r="A23" s="2581"/>
      <c r="B23" s="2583"/>
      <c r="C23" s="2583"/>
      <c r="D23" s="2583"/>
      <c r="E23" s="2588">
        <v>0.33333333333333331</v>
      </c>
      <c r="F23" s="2301"/>
      <c r="G23" s="2301"/>
      <c r="H23" s="2302"/>
      <c r="I23" s="2588">
        <v>0.83333333333333337</v>
      </c>
      <c r="J23" s="2301"/>
      <c r="K23" s="2301"/>
      <c r="L23" s="2302"/>
      <c r="M23" s="2587"/>
      <c r="N23" s="2587"/>
      <c r="O23" s="2583"/>
      <c r="P23" s="2587"/>
      <c r="Q23" s="2578"/>
      <c r="R23" s="2579"/>
    </row>
    <row r="24" spans="1:18" ht="36.75" customHeight="1">
      <c r="A24" s="1373">
        <v>1</v>
      </c>
      <c r="B24" s="1373" t="s">
        <v>743</v>
      </c>
      <c r="C24" s="636" t="s">
        <v>28</v>
      </c>
      <c r="D24" s="637" t="s">
        <v>753</v>
      </c>
      <c r="E24" s="2091">
        <f>'R.FILE GOC'!H105</f>
        <v>0</v>
      </c>
      <c r="F24" s="2092"/>
      <c r="G24" s="2091">
        <f>'R.FILE GOC'!K105</f>
        <v>0</v>
      </c>
      <c r="H24" s="2092"/>
      <c r="I24" s="2094">
        <f>'R.FILE GOC'!N105</f>
        <v>0</v>
      </c>
      <c r="J24" s="2094"/>
      <c r="K24" s="2094">
        <f>'R.FILE GOC'!Q105</f>
        <v>0</v>
      </c>
      <c r="L24" s="2094"/>
      <c r="M24" s="1364"/>
      <c r="N24" s="1364"/>
      <c r="O24" s="2570"/>
      <c r="P24" s="2571"/>
      <c r="Q24" s="2572"/>
      <c r="R24" s="2573"/>
    </row>
    <row r="25" spans="1:18" ht="36.75" customHeight="1">
      <c r="A25" s="1373">
        <v>2</v>
      </c>
      <c r="B25" s="1373" t="s">
        <v>744</v>
      </c>
      <c r="C25" s="636" t="s">
        <v>28</v>
      </c>
      <c r="D25" s="637" t="s">
        <v>753</v>
      </c>
      <c r="E25" s="2091">
        <f>'R.FILE GOC'!H106</f>
        <v>0</v>
      </c>
      <c r="F25" s="2092"/>
      <c r="G25" s="2091">
        <f>'R.FILE GOC'!K106</f>
        <v>0</v>
      </c>
      <c r="H25" s="2092"/>
      <c r="I25" s="2094">
        <f>'R.FILE GOC'!N106</f>
        <v>0</v>
      </c>
      <c r="J25" s="2094"/>
      <c r="K25" s="2094">
        <f>'R.FILE GOC'!Q106</f>
        <v>0</v>
      </c>
      <c r="L25" s="2094"/>
      <c r="M25" s="1364"/>
      <c r="N25" s="1364"/>
      <c r="O25" s="2570"/>
      <c r="P25" s="2571"/>
      <c r="Q25" s="2572"/>
      <c r="R25" s="2573"/>
    </row>
    <row r="26" spans="1:18" ht="36.75" customHeight="1">
      <c r="A26" s="1373">
        <v>3</v>
      </c>
      <c r="B26" s="1374" t="s">
        <v>1249</v>
      </c>
      <c r="C26" s="636" t="s">
        <v>28</v>
      </c>
      <c r="D26" s="637" t="s">
        <v>754</v>
      </c>
      <c r="E26" s="2091">
        <f>'R.FILE GOC'!H107</f>
        <v>0</v>
      </c>
      <c r="F26" s="2092"/>
      <c r="G26" s="2091">
        <f>'R.FILE GOC'!K107</f>
        <v>0</v>
      </c>
      <c r="H26" s="2092"/>
      <c r="I26" s="2091">
        <f>'R.FILE GOC'!N107</f>
        <v>0</v>
      </c>
      <c r="J26" s="2092"/>
      <c r="K26" s="2091">
        <f>'R.FILE GOC'!Q107</f>
        <v>0</v>
      </c>
      <c r="L26" s="2092"/>
      <c r="M26" s="1364"/>
      <c r="N26" s="1364"/>
      <c r="O26" s="2570"/>
      <c r="P26" s="2571"/>
      <c r="Q26" s="2572"/>
      <c r="R26" s="2573"/>
    </row>
    <row r="27" spans="1:18" ht="36.75" customHeight="1">
      <c r="A27" s="1373">
        <v>4</v>
      </c>
      <c r="B27" s="1374" t="s">
        <v>1250</v>
      </c>
      <c r="C27" s="636" t="s">
        <v>28</v>
      </c>
      <c r="D27" s="637" t="s">
        <v>754</v>
      </c>
      <c r="E27" s="2091">
        <f>'R.FILE GOC'!H108</f>
        <v>0</v>
      </c>
      <c r="F27" s="2092"/>
      <c r="G27" s="2091">
        <f>'R.FILE GOC'!K108</f>
        <v>0</v>
      </c>
      <c r="H27" s="2092"/>
      <c r="I27" s="2091">
        <f>'R.FILE GOC'!N108</f>
        <v>0</v>
      </c>
      <c r="J27" s="2092"/>
      <c r="K27" s="2091">
        <f>'R.FILE GOC'!Q108</f>
        <v>0</v>
      </c>
      <c r="L27" s="2092"/>
      <c r="M27" s="1364"/>
      <c r="N27" s="1364"/>
      <c r="O27" s="2570"/>
      <c r="P27" s="2571"/>
      <c r="Q27" s="2572"/>
      <c r="R27" s="2573"/>
    </row>
    <row r="28" spans="1:18" ht="36.75" customHeight="1">
      <c r="A28" s="1373">
        <v>5</v>
      </c>
      <c r="B28" s="1374" t="s">
        <v>1251</v>
      </c>
      <c r="C28" s="636" t="s">
        <v>28</v>
      </c>
      <c r="D28" s="637" t="s">
        <v>754</v>
      </c>
      <c r="E28" s="2091">
        <f>'R.FILE GOC'!H109</f>
        <v>0</v>
      </c>
      <c r="F28" s="2092"/>
      <c r="G28" s="2091">
        <f>'R.FILE GOC'!K109</f>
        <v>0</v>
      </c>
      <c r="H28" s="2092"/>
      <c r="I28" s="2091">
        <f>'R.FILE GOC'!N109</f>
        <v>0</v>
      </c>
      <c r="J28" s="2092"/>
      <c r="K28" s="2091">
        <f>'R.FILE GOC'!Q109</f>
        <v>0</v>
      </c>
      <c r="L28" s="2092"/>
      <c r="M28" s="1364"/>
      <c r="N28" s="1364"/>
      <c r="O28" s="2570"/>
      <c r="P28" s="2571"/>
      <c r="Q28" s="2572"/>
      <c r="R28" s="2573"/>
    </row>
    <row r="29" spans="1:18" ht="36.75" customHeight="1">
      <c r="A29" s="1373">
        <v>6</v>
      </c>
      <c r="B29" s="1374" t="s">
        <v>755</v>
      </c>
      <c r="C29" s="636" t="s">
        <v>28</v>
      </c>
      <c r="D29" s="637" t="s">
        <v>756</v>
      </c>
      <c r="E29" s="2091">
        <f>'R.FILE GOC'!H110</f>
        <v>0</v>
      </c>
      <c r="F29" s="2092"/>
      <c r="G29" s="2091">
        <f>'R.FILE GOC'!K110</f>
        <v>0</v>
      </c>
      <c r="H29" s="2092"/>
      <c r="I29" s="2094">
        <f>'R.FILE GOC'!N110</f>
        <v>0</v>
      </c>
      <c r="J29" s="2094"/>
      <c r="K29" s="2094">
        <f>'R.FILE GOC'!Q110</f>
        <v>0</v>
      </c>
      <c r="L29" s="2094"/>
      <c r="M29" s="1364"/>
      <c r="N29" s="1364"/>
      <c r="O29" s="2570"/>
      <c r="P29" s="2571"/>
      <c r="Q29" s="2572"/>
      <c r="R29" s="2573"/>
    </row>
    <row r="30" spans="1:18" ht="36.75" customHeight="1">
      <c r="A30" s="1373">
        <v>7</v>
      </c>
      <c r="B30" s="630" t="s">
        <v>750</v>
      </c>
      <c r="C30" s="636" t="s">
        <v>28</v>
      </c>
      <c r="D30" s="637" t="s">
        <v>757</v>
      </c>
      <c r="E30" s="2091">
        <f>'R.FILE GOC'!H111</f>
        <v>0</v>
      </c>
      <c r="F30" s="2092"/>
      <c r="G30" s="2091">
        <f>'R.FILE GOC'!K111</f>
        <v>0</v>
      </c>
      <c r="H30" s="2092"/>
      <c r="I30" s="2091">
        <f>'R.FILE GOC'!N111</f>
        <v>0</v>
      </c>
      <c r="J30" s="2092"/>
      <c r="K30" s="2091">
        <f>'R.FILE GOC'!Q111</f>
        <v>0</v>
      </c>
      <c r="L30" s="2092"/>
      <c r="M30" s="1364"/>
      <c r="N30" s="1364"/>
      <c r="O30" s="2574"/>
      <c r="P30" s="2575"/>
      <c r="Q30" s="2572"/>
      <c r="R30" s="2573"/>
    </row>
    <row r="31" spans="1:18" ht="36.75" hidden="1" customHeight="1">
      <c r="A31" s="1373">
        <v>8</v>
      </c>
      <c r="B31" s="632" t="s">
        <v>751</v>
      </c>
      <c r="C31" s="636" t="s">
        <v>28</v>
      </c>
      <c r="D31" s="637" t="s">
        <v>757</v>
      </c>
      <c r="E31" s="2615">
        <f>'R.FILE GOC'!H112</f>
        <v>0</v>
      </c>
      <c r="F31" s="2616"/>
      <c r="G31" s="2615">
        <f>'R.FILE GOC'!K112</f>
        <v>0</v>
      </c>
      <c r="H31" s="2616"/>
      <c r="I31" s="2617">
        <f>'R.FILE GOC'!N112</f>
        <v>0</v>
      </c>
      <c r="J31" s="2617"/>
      <c r="K31" s="2617">
        <f>'R.FILE GOC'!Q112</f>
        <v>0</v>
      </c>
      <c r="L31" s="2617"/>
      <c r="M31" s="1364"/>
      <c r="N31" s="1364"/>
      <c r="O31" s="2574"/>
      <c r="P31" s="2575"/>
      <c r="Q31" s="2572"/>
      <c r="R31" s="2573"/>
    </row>
    <row r="32" spans="1:18" ht="36.75" customHeight="1">
      <c r="A32" s="1373">
        <v>9</v>
      </c>
      <c r="B32" s="630" t="s">
        <v>752</v>
      </c>
      <c r="C32" s="636" t="s">
        <v>28</v>
      </c>
      <c r="D32" s="637" t="s">
        <v>758</v>
      </c>
      <c r="E32" s="2091">
        <f>'R.FILE GOC'!H113</f>
        <v>0</v>
      </c>
      <c r="F32" s="2092"/>
      <c r="G32" s="2091">
        <f>'R.FILE GOC'!K113</f>
        <v>0</v>
      </c>
      <c r="H32" s="2092"/>
      <c r="I32" s="2094">
        <f>'R.FILE GOC'!N113</f>
        <v>0</v>
      </c>
      <c r="J32" s="2094"/>
      <c r="K32" s="2094">
        <f>'R.FILE GOC'!Q113</f>
        <v>0</v>
      </c>
      <c r="L32" s="2094"/>
      <c r="M32" s="1364"/>
      <c r="N32" s="1364"/>
      <c r="O32" s="2574"/>
      <c r="P32" s="2575"/>
      <c r="Q32" s="2572"/>
      <c r="R32" s="2573"/>
    </row>
    <row r="33" spans="1:18" ht="36.75" customHeight="1">
      <c r="A33" s="1373">
        <v>11</v>
      </c>
      <c r="B33" s="1374" t="s">
        <v>759</v>
      </c>
      <c r="C33" s="636" t="s">
        <v>28</v>
      </c>
      <c r="D33" s="637" t="s">
        <v>760</v>
      </c>
      <c r="E33" s="2313" t="str">
        <f>'R.FILE GOC'!H114</f>
        <v>\</v>
      </c>
      <c r="F33" s="2314"/>
      <c r="G33" s="2091">
        <f>'R.FILE GOC'!K114</f>
        <v>0</v>
      </c>
      <c r="H33" s="2092"/>
      <c r="I33" s="2095" t="str">
        <f>'R.FILE GOC'!N114</f>
        <v>\</v>
      </c>
      <c r="J33" s="2095"/>
      <c r="K33" s="2094">
        <f>'R.FILE GOC'!Q114</f>
        <v>0</v>
      </c>
      <c r="L33" s="2094"/>
      <c r="M33" s="1364"/>
      <c r="N33" s="1364"/>
      <c r="O33" s="2574"/>
      <c r="P33" s="2575"/>
      <c r="Q33" s="2572"/>
      <c r="R33" s="2573"/>
    </row>
  </sheetData>
  <mergeCells count="109">
    <mergeCell ref="I32:J32"/>
    <mergeCell ref="K32:L32"/>
    <mergeCell ref="I33:J33"/>
    <mergeCell ref="K33:L33"/>
    <mergeCell ref="I29:J29"/>
    <mergeCell ref="K29:L29"/>
    <mergeCell ref="I30:J30"/>
    <mergeCell ref="K30:L30"/>
    <mergeCell ref="I31:J31"/>
    <mergeCell ref="K31:L31"/>
    <mergeCell ref="I26:J26"/>
    <mergeCell ref="K26:L26"/>
    <mergeCell ref="I27:J27"/>
    <mergeCell ref="K27:L27"/>
    <mergeCell ref="I28:J28"/>
    <mergeCell ref="K28:L28"/>
    <mergeCell ref="E29:F29"/>
    <mergeCell ref="E30:F30"/>
    <mergeCell ref="E31:F31"/>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Q2:R2"/>
    <mergeCell ref="O3:P3"/>
    <mergeCell ref="Q3:R3"/>
    <mergeCell ref="E5:H5"/>
    <mergeCell ref="I5:L5"/>
    <mergeCell ref="M5:N5"/>
    <mergeCell ref="O5:P5"/>
    <mergeCell ref="A1:N1"/>
    <mergeCell ref="A2:N2"/>
    <mergeCell ref="O2:P2"/>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O24:P24"/>
    <mergeCell ref="Q24:R24"/>
    <mergeCell ref="O25:P25"/>
    <mergeCell ref="Q25:R25"/>
    <mergeCell ref="Q22:R23"/>
    <mergeCell ref="I24:J24"/>
    <mergeCell ref="K24:L24"/>
    <mergeCell ref="I25:J25"/>
    <mergeCell ref="K25:L25"/>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s>
  <phoneticPr fontId="6" type="noConversion"/>
  <conditionalFormatting sqref="E7:E8 I7:I8">
    <cfRule type="expression" dxfId="664" priority="67">
      <formula>E7&lt;20</formula>
    </cfRule>
    <cfRule type="expression" dxfId="663" priority="68">
      <formula>E7&gt;30</formula>
    </cfRule>
  </conditionalFormatting>
  <conditionalFormatting sqref="E9 I9">
    <cfRule type="expression" dxfId="662" priority="65">
      <formula>E9&lt;210</formula>
    </cfRule>
    <cfRule type="expression" dxfId="661" priority="66">
      <formula>E9&gt;290</formula>
    </cfRule>
  </conditionalFormatting>
  <conditionalFormatting sqref="E10 E12 E14 I10 I12 I14">
    <cfRule type="expression" dxfId="660" priority="63">
      <formula>E10&lt;120</formula>
    </cfRule>
    <cfRule type="expression" dxfId="659" priority="64">
      <formula>E10&gt;150</formula>
    </cfRule>
  </conditionalFormatting>
  <conditionalFormatting sqref="E11 E13 E15 I11 I13 I15">
    <cfRule type="expression" dxfId="658" priority="61">
      <formula>E11&lt;1</formula>
    </cfRule>
    <cfRule type="expression" dxfId="657" priority="62">
      <formula>E11&gt;5</formula>
    </cfRule>
  </conditionalFormatting>
  <conditionalFormatting sqref="E16 I16">
    <cfRule type="expression" dxfId="656" priority="59">
      <formula>E16&lt;8</formula>
    </cfRule>
    <cfRule type="expression" dxfId="655" priority="60">
      <formula>E16&gt;12</formula>
    </cfRule>
  </conditionalFormatting>
  <conditionalFormatting sqref="E17">
    <cfRule type="expression" dxfId="654" priority="57">
      <formula>E17&lt;6</formula>
    </cfRule>
    <cfRule type="expression" dxfId="653" priority="58">
      <formula>E17&gt;8</formula>
    </cfRule>
  </conditionalFormatting>
  <conditionalFormatting sqref="E20">
    <cfRule type="expression" dxfId="652" priority="55">
      <formula>E20&lt;5.4</formula>
    </cfRule>
    <cfRule type="expression" dxfId="651" priority="56">
      <formula>E20&gt;5.8</formula>
    </cfRule>
  </conditionalFormatting>
  <conditionalFormatting sqref="E24">
    <cfRule type="expression" dxfId="650" priority="53">
      <formula>E24&lt;45</formula>
    </cfRule>
    <cfRule type="expression" dxfId="649" priority="54">
      <formula>E24&gt;65</formula>
    </cfRule>
  </conditionalFormatting>
  <conditionalFormatting sqref="E25">
    <cfRule type="expression" dxfId="648" priority="51">
      <formula>E25&lt;45</formula>
    </cfRule>
    <cfRule type="expression" dxfId="647" priority="52">
      <formula>E25&gt;65</formula>
    </cfRule>
  </conditionalFormatting>
  <conditionalFormatting sqref="E29">
    <cfRule type="expression" dxfId="646" priority="49">
      <formula>E29&lt;30</formula>
    </cfRule>
    <cfRule type="expression" dxfId="645" priority="50">
      <formula>E29&gt;60</formula>
    </cfRule>
  </conditionalFormatting>
  <conditionalFormatting sqref="E32">
    <cfRule type="expression" dxfId="644" priority="47">
      <formula>E32&lt;55</formula>
    </cfRule>
    <cfRule type="expression" dxfId="643" priority="48">
      <formula>E32&gt;65</formula>
    </cfRule>
  </conditionalFormatting>
  <conditionalFormatting sqref="G33">
    <cfRule type="expression" dxfId="642" priority="45">
      <formula>G33&lt;100</formula>
    </cfRule>
    <cfRule type="expression" dxfId="641" priority="46">
      <formula>G33&gt;110</formula>
    </cfRule>
  </conditionalFormatting>
  <conditionalFormatting sqref="G24">
    <cfRule type="expression" dxfId="640" priority="43">
      <formula>G24&lt;45</formula>
    </cfRule>
    <cfRule type="expression" dxfId="639" priority="44">
      <formula>G24&gt;65</formula>
    </cfRule>
  </conditionalFormatting>
  <conditionalFormatting sqref="G25">
    <cfRule type="expression" dxfId="638" priority="41">
      <formula>G25&lt;45</formula>
    </cfRule>
    <cfRule type="expression" dxfId="637" priority="42">
      <formula>G25&gt;65</formula>
    </cfRule>
  </conditionalFormatting>
  <conditionalFormatting sqref="G29">
    <cfRule type="expression" dxfId="636" priority="39">
      <formula>G29&lt;30</formula>
    </cfRule>
    <cfRule type="expression" dxfId="635" priority="40">
      <formula>G29&gt;60</formula>
    </cfRule>
  </conditionalFormatting>
  <conditionalFormatting sqref="G32">
    <cfRule type="expression" dxfId="634" priority="37">
      <formula>G32&lt;55</formula>
    </cfRule>
    <cfRule type="expression" dxfId="633" priority="38">
      <formula>G32&gt;65</formula>
    </cfRule>
  </conditionalFormatting>
  <conditionalFormatting sqref="I17">
    <cfRule type="expression" dxfId="632" priority="35">
      <formula>I17&lt;6</formula>
    </cfRule>
    <cfRule type="expression" dxfId="631" priority="36">
      <formula>I17&gt;8</formula>
    </cfRule>
  </conditionalFormatting>
  <conditionalFormatting sqref="I20">
    <cfRule type="expression" dxfId="630" priority="33">
      <formula>I20&lt;5.4</formula>
    </cfRule>
    <cfRule type="expression" dxfId="629" priority="34">
      <formula>I20&gt;5.8</formula>
    </cfRule>
  </conditionalFormatting>
  <conditionalFormatting sqref="I24">
    <cfRule type="expression" dxfId="628" priority="31">
      <formula>I24&lt;45</formula>
    </cfRule>
    <cfRule type="expression" dxfId="627" priority="32">
      <formula>I24&gt;65</formula>
    </cfRule>
  </conditionalFormatting>
  <conditionalFormatting sqref="I25">
    <cfRule type="expression" dxfId="626" priority="29">
      <formula>I25&lt;45</formula>
    </cfRule>
    <cfRule type="expression" dxfId="625" priority="30">
      <formula>I25&gt;65</formula>
    </cfRule>
  </conditionalFormatting>
  <conditionalFormatting sqref="I29">
    <cfRule type="expression" dxfId="624" priority="27">
      <formula>I29&lt;30</formula>
    </cfRule>
    <cfRule type="expression" dxfId="623" priority="28">
      <formula>I29&gt;60</formula>
    </cfRule>
  </conditionalFormatting>
  <conditionalFormatting sqref="I32">
    <cfRule type="expression" dxfId="622" priority="25">
      <formula>I32&lt;55</formula>
    </cfRule>
    <cfRule type="expression" dxfId="621" priority="26">
      <formula>I32&gt;65</formula>
    </cfRule>
  </conditionalFormatting>
  <conditionalFormatting sqref="K33">
    <cfRule type="expression" dxfId="620" priority="23">
      <formula>K33&lt;100</formula>
    </cfRule>
    <cfRule type="expression" dxfId="619" priority="24">
      <formula>K33&gt;110</formula>
    </cfRule>
  </conditionalFormatting>
  <conditionalFormatting sqref="K24">
    <cfRule type="expression" dxfId="618" priority="21">
      <formula>K24&lt;45</formula>
    </cfRule>
    <cfRule type="expression" dxfId="617" priority="22">
      <formula>K24&gt;65</formula>
    </cfRule>
  </conditionalFormatting>
  <conditionalFormatting sqref="K25">
    <cfRule type="expression" dxfId="616" priority="19">
      <formula>K25&lt;45</formula>
    </cfRule>
    <cfRule type="expression" dxfId="615" priority="20">
      <formula>K25&gt;65</formula>
    </cfRule>
  </conditionalFormatting>
  <conditionalFormatting sqref="K29">
    <cfRule type="expression" dxfId="614" priority="17">
      <formula>K29&lt;30</formula>
    </cfRule>
    <cfRule type="expression" dxfId="613" priority="18">
      <formula>K29&gt;60</formula>
    </cfRule>
  </conditionalFormatting>
  <conditionalFormatting sqref="K32">
    <cfRule type="expression" dxfId="612" priority="15">
      <formula>K32&lt;55</formula>
    </cfRule>
    <cfRule type="expression" dxfId="611" priority="16">
      <formula>K32&gt;65</formula>
    </cfRule>
  </conditionalFormatting>
  <conditionalFormatting sqref="E26">
    <cfRule type="expression" dxfId="610" priority="13">
      <formula>E26&lt;18</formula>
    </cfRule>
    <cfRule type="expression" dxfId="609" priority="14">
      <formula>E26&gt;25</formula>
    </cfRule>
  </conditionalFormatting>
  <conditionalFormatting sqref="E27:E28">
    <cfRule type="expression" dxfId="608" priority="11">
      <formula>E27&lt;18</formula>
    </cfRule>
    <cfRule type="expression" dxfId="607" priority="12">
      <formula>E27&gt;25</formula>
    </cfRule>
  </conditionalFormatting>
  <conditionalFormatting sqref="G26:G28 I26:I28 K26:K28">
    <cfRule type="expression" dxfId="606" priority="9">
      <formula>G26&lt;18</formula>
    </cfRule>
    <cfRule type="expression" dxfId="605" priority="10">
      <formula>G26&gt;25</formula>
    </cfRule>
  </conditionalFormatting>
  <conditionalFormatting sqref="E30">
    <cfRule type="expression" dxfId="604" priority="7">
      <formula>E30&lt;42</formula>
    </cfRule>
    <cfRule type="expression" dxfId="603" priority="8">
      <formula>E30&gt;47</formula>
    </cfRule>
  </conditionalFormatting>
  <conditionalFormatting sqref="G30">
    <cfRule type="expression" dxfId="602" priority="5">
      <formula>G30&lt;42</formula>
    </cfRule>
    <cfRule type="expression" dxfId="601" priority="6">
      <formula>G30&gt;47</formula>
    </cfRule>
  </conditionalFormatting>
  <conditionalFormatting sqref="I30">
    <cfRule type="expression" dxfId="600" priority="3">
      <formula>I30&lt;42</formula>
    </cfRule>
    <cfRule type="expression" dxfId="599" priority="4">
      <formula>I30&gt;47</formula>
    </cfRule>
  </conditionalFormatting>
  <conditionalFormatting sqref="K30">
    <cfRule type="expression" dxfId="598" priority="1">
      <formula>K30&lt;42</formula>
    </cfRule>
    <cfRule type="expression" dxfId="597" priority="2">
      <formula>K30&gt;47</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7">
    <tabColor rgb="FFFF0000"/>
  </sheetPr>
  <dimension ref="A1:P34"/>
  <sheetViews>
    <sheetView topLeftCell="A5" zoomScale="55" zoomScaleNormal="55" workbookViewId="0">
      <selection activeCell="G3" sqref="G3"/>
    </sheetView>
  </sheetViews>
  <sheetFormatPr defaultRowHeight="15"/>
  <cols>
    <col min="1" max="1" width="6.625" style="271" customWidth="1"/>
    <col min="2" max="2" width="8.875" style="669" customWidth="1"/>
    <col min="3" max="3" width="6.125" style="669" customWidth="1"/>
    <col min="4" max="4" width="2.875" style="669" customWidth="1"/>
    <col min="5" max="5" width="11.25" style="669" customWidth="1"/>
    <col min="6" max="6" width="9.25" style="271" customWidth="1"/>
    <col min="7" max="7" width="17" style="670" customWidth="1"/>
    <col min="8" max="8" width="12.875" style="271" customWidth="1"/>
    <col min="9" max="9" width="3.75" style="271" customWidth="1"/>
    <col min="10" max="10" width="10.125" style="271" customWidth="1"/>
    <col min="11" max="11" width="3.75" style="271" customWidth="1"/>
    <col min="12" max="12" width="12.875" style="271" customWidth="1"/>
    <col min="13" max="13" width="5" style="271" customWidth="1"/>
    <col min="14" max="14" width="8.5" style="271" customWidth="1"/>
    <col min="15" max="15" width="6.125" style="271" customWidth="1"/>
    <col min="16" max="16" width="15.625" style="271" customWidth="1"/>
    <col min="17" max="16384" width="9" style="271"/>
  </cols>
  <sheetData>
    <row r="1" spans="1:16" ht="36" customHeight="1">
      <c r="A1" s="2642" t="s">
        <v>604</v>
      </c>
      <c r="B1" s="2642"/>
      <c r="C1" s="2642"/>
      <c r="D1" s="2642"/>
      <c r="E1" s="2642"/>
      <c r="F1" s="2642"/>
      <c r="G1" s="2642"/>
      <c r="H1" s="2642"/>
      <c r="I1" s="2642"/>
      <c r="J1" s="2642"/>
      <c r="K1" s="640"/>
      <c r="L1" s="641"/>
      <c r="M1" s="641"/>
      <c r="N1" s="640"/>
      <c r="O1" s="640"/>
      <c r="P1" s="640"/>
    </row>
    <row r="2" spans="1:16" ht="56.25" customHeight="1">
      <c r="A2" s="2643" t="s">
        <v>761</v>
      </c>
      <c r="B2" s="2643"/>
      <c r="C2" s="2643"/>
      <c r="D2" s="2643"/>
      <c r="E2" s="2643"/>
      <c r="F2" s="2643"/>
      <c r="G2" s="2643"/>
      <c r="H2" s="2643"/>
      <c r="I2" s="2643"/>
      <c r="J2" s="2643"/>
      <c r="K2" s="2643"/>
      <c r="L2" s="2643"/>
      <c r="M2" s="2644"/>
      <c r="N2" s="2645" t="s">
        <v>96</v>
      </c>
      <c r="O2" s="2133"/>
      <c r="P2" s="642" t="s">
        <v>97</v>
      </c>
    </row>
    <row r="3" spans="1:16" ht="38.25" customHeight="1">
      <c r="A3" s="643"/>
      <c r="B3" s="644"/>
      <c r="C3" s="645"/>
      <c r="D3" s="645"/>
      <c r="E3" s="646"/>
      <c r="F3" s="647"/>
      <c r="G3" s="1241" t="str">
        <f>'1.xi den'!$G$3</f>
        <v>2023/03/21</v>
      </c>
      <c r="H3" s="648"/>
      <c r="I3" s="648"/>
      <c r="J3" s="648"/>
      <c r="K3" s="648"/>
      <c r="L3" s="648"/>
      <c r="M3" s="648"/>
      <c r="N3" s="2646" t="str">
        <f>'1.xi den'!$N$3</f>
        <v>Trang</v>
      </c>
      <c r="O3" s="2647"/>
      <c r="P3" s="649" t="s">
        <v>11</v>
      </c>
    </row>
    <row r="4" spans="1:16" s="653" customFormat="1" ht="43.5" customHeight="1">
      <c r="A4" s="2648" t="s">
        <v>7</v>
      </c>
      <c r="B4" s="2649" t="s">
        <v>79</v>
      </c>
      <c r="C4" s="2650"/>
      <c r="D4" s="2650"/>
      <c r="E4" s="2651"/>
      <c r="F4" s="2632" t="s">
        <v>101</v>
      </c>
      <c r="G4" s="2125" t="s">
        <v>67</v>
      </c>
      <c r="H4" s="650" t="s">
        <v>762</v>
      </c>
      <c r="I4" s="651"/>
      <c r="J4" s="651"/>
      <c r="K4" s="651"/>
      <c r="L4" s="651"/>
      <c r="M4" s="651"/>
      <c r="N4" s="651"/>
      <c r="O4" s="652"/>
      <c r="P4" s="2628" t="s">
        <v>98</v>
      </c>
    </row>
    <row r="5" spans="1:16" s="653" customFormat="1" ht="43.5" customHeight="1">
      <c r="A5" s="2648"/>
      <c r="B5" s="2652"/>
      <c r="C5" s="2653"/>
      <c r="D5" s="2653"/>
      <c r="E5" s="2654"/>
      <c r="F5" s="2632"/>
      <c r="G5" s="2125"/>
      <c r="H5" s="2631">
        <v>0.375</v>
      </c>
      <c r="I5" s="2632"/>
      <c r="J5" s="2632"/>
      <c r="K5" s="2632"/>
      <c r="L5" s="2633">
        <v>0.54166666666666663</v>
      </c>
      <c r="M5" s="2634"/>
      <c r="N5" s="2634"/>
      <c r="O5" s="2635"/>
      <c r="P5" s="2629"/>
    </row>
    <row r="6" spans="1:16" s="653" customFormat="1" ht="43.5" customHeight="1">
      <c r="A6" s="2648"/>
      <c r="B6" s="2655"/>
      <c r="C6" s="2656"/>
      <c r="D6" s="2656"/>
      <c r="E6" s="2657"/>
      <c r="F6" s="2648"/>
      <c r="G6" s="2126"/>
      <c r="H6" s="654" t="s">
        <v>607</v>
      </c>
      <c r="I6" s="2632" t="s">
        <v>1</v>
      </c>
      <c r="J6" s="2632"/>
      <c r="K6" s="2632"/>
      <c r="L6" s="654" t="s">
        <v>607</v>
      </c>
      <c r="M6" s="2636" t="s">
        <v>1</v>
      </c>
      <c r="N6" s="2637"/>
      <c r="O6" s="2638"/>
      <c r="P6" s="2630"/>
    </row>
    <row r="7" spans="1:16" ht="43.5" customHeight="1">
      <c r="A7" s="655">
        <v>1</v>
      </c>
      <c r="B7" s="2291" t="s">
        <v>901</v>
      </c>
      <c r="C7" s="2312"/>
      <c r="D7" s="2312" t="s">
        <v>108</v>
      </c>
      <c r="E7" s="2292"/>
      <c r="F7" s="52" t="s">
        <v>4</v>
      </c>
      <c r="G7" s="119" t="s">
        <v>510</v>
      </c>
      <c r="H7" s="338">
        <f>'R.GUI MAIL'!H57</f>
        <v>0</v>
      </c>
      <c r="I7" s="66" t="s">
        <v>8</v>
      </c>
      <c r="J7" s="656">
        <f>'R.GUI MAIL'!K57</f>
        <v>0</v>
      </c>
      <c r="K7" s="657" t="s">
        <v>9</v>
      </c>
      <c r="L7" s="338">
        <f>'R.GUI MAIL'!N57</f>
        <v>0</v>
      </c>
      <c r="M7" s="66" t="s">
        <v>8</v>
      </c>
      <c r="N7" s="656">
        <f>'R.GUI MAIL'!Q57</f>
        <v>0</v>
      </c>
      <c r="O7" s="657" t="s">
        <v>9</v>
      </c>
      <c r="P7" s="658"/>
    </row>
    <row r="8" spans="1:16" ht="43.5" customHeight="1">
      <c r="A8" s="655">
        <v>2</v>
      </c>
      <c r="B8" s="2291" t="s">
        <v>902</v>
      </c>
      <c r="C8" s="2312" t="s">
        <v>513</v>
      </c>
      <c r="D8" s="2312" t="s">
        <v>513</v>
      </c>
      <c r="E8" s="2292" t="s">
        <v>513</v>
      </c>
      <c r="F8" s="52" t="s">
        <v>4</v>
      </c>
      <c r="G8" s="13" t="s">
        <v>255</v>
      </c>
      <c r="H8" s="61">
        <f>'R.GUI MAIL'!H58</f>
        <v>0</v>
      </c>
      <c r="I8" s="66" t="s">
        <v>8</v>
      </c>
      <c r="J8" s="656">
        <f>'R.GUI MAIL'!K58</f>
        <v>0</v>
      </c>
      <c r="K8" s="657" t="s">
        <v>9</v>
      </c>
      <c r="L8" s="61">
        <f>'R.GUI MAIL'!N58</f>
        <v>0</v>
      </c>
      <c r="M8" s="66" t="s">
        <v>8</v>
      </c>
      <c r="N8" s="656">
        <f>'R.GUI MAIL'!Q58</f>
        <v>0</v>
      </c>
      <c r="O8" s="657" t="s">
        <v>9</v>
      </c>
      <c r="P8" s="456"/>
    </row>
    <row r="9" spans="1:16" ht="43.5" customHeight="1">
      <c r="A9" s="655">
        <v>3</v>
      </c>
      <c r="B9" s="2291" t="s">
        <v>903</v>
      </c>
      <c r="C9" s="2312" t="s">
        <v>611</v>
      </c>
      <c r="D9" s="2312" t="s">
        <v>611</v>
      </c>
      <c r="E9" s="2292" t="s">
        <v>611</v>
      </c>
      <c r="F9" s="52" t="s">
        <v>4</v>
      </c>
      <c r="G9" s="13" t="s">
        <v>255</v>
      </c>
      <c r="H9" s="61">
        <f>'R.GUI MAIL'!H59</f>
        <v>0</v>
      </c>
      <c r="I9" s="66" t="s">
        <v>8</v>
      </c>
      <c r="J9" s="656">
        <f>'R.GUI MAIL'!K59</f>
        <v>0</v>
      </c>
      <c r="K9" s="657" t="s">
        <v>10</v>
      </c>
      <c r="L9" s="61">
        <f>'R.GUI MAIL'!N59</f>
        <v>0</v>
      </c>
      <c r="M9" s="66" t="s">
        <v>8</v>
      </c>
      <c r="N9" s="656">
        <f>'R.GUI MAIL'!Q59</f>
        <v>0</v>
      </c>
      <c r="O9" s="657" t="s">
        <v>10</v>
      </c>
      <c r="P9" s="456"/>
    </row>
    <row r="10" spans="1:16" ht="43.5" hidden="1" customHeight="1">
      <c r="A10" s="655">
        <v>4</v>
      </c>
      <c r="B10" s="2146" t="s">
        <v>612</v>
      </c>
      <c r="C10" s="2180" t="s">
        <v>613</v>
      </c>
      <c r="D10" s="2180" t="s">
        <v>613</v>
      </c>
      <c r="E10" s="2147" t="s">
        <v>613</v>
      </c>
      <c r="F10" s="50" t="s">
        <v>466</v>
      </c>
      <c r="G10" s="55" t="s">
        <v>1031</v>
      </c>
      <c r="H10" s="338">
        <f>'R.GUI MAIL'!H60</f>
        <v>0</v>
      </c>
      <c r="I10" s="66" t="s">
        <v>8</v>
      </c>
      <c r="J10" s="656">
        <f>'R.GUI MAIL'!K60</f>
        <v>124.63199999999999</v>
      </c>
      <c r="K10" s="657" t="s">
        <v>9</v>
      </c>
      <c r="L10" s="338">
        <f>'R.GUI MAIL'!N60</f>
        <v>0</v>
      </c>
      <c r="M10" s="66" t="s">
        <v>8</v>
      </c>
      <c r="N10" s="656">
        <f>'R.GUI MAIL'!Q60</f>
        <v>124.63199999999999</v>
      </c>
      <c r="O10" s="657" t="s">
        <v>9</v>
      </c>
      <c r="P10" s="658"/>
    </row>
    <row r="11" spans="1:16" ht="43.5" customHeight="1">
      <c r="A11" s="655">
        <v>5</v>
      </c>
      <c r="B11" s="2619" t="s">
        <v>614</v>
      </c>
      <c r="C11" s="2620" t="s">
        <v>615</v>
      </c>
      <c r="D11" s="2620" t="s">
        <v>615</v>
      </c>
      <c r="E11" s="2621" t="s">
        <v>615</v>
      </c>
      <c r="F11" s="50" t="s">
        <v>466</v>
      </c>
      <c r="G11" s="55" t="s">
        <v>520</v>
      </c>
      <c r="H11" s="463">
        <f>'R.GUI MAIL'!H61</f>
        <v>0</v>
      </c>
      <c r="I11" s="66" t="s">
        <v>8</v>
      </c>
      <c r="J11" s="656">
        <f>'R.GUI MAIL'!K61</f>
        <v>0</v>
      </c>
      <c r="K11" s="657" t="s">
        <v>9</v>
      </c>
      <c r="L11" s="463">
        <f>'R.GUI MAIL'!N61</f>
        <v>0</v>
      </c>
      <c r="M11" s="66" t="s">
        <v>8</v>
      </c>
      <c r="N11" s="656">
        <f>'R.GUI MAIL'!Q61</f>
        <v>0</v>
      </c>
      <c r="O11" s="657" t="s">
        <v>9</v>
      </c>
      <c r="P11" s="456"/>
    </row>
    <row r="12" spans="1:16" ht="43.5" customHeight="1">
      <c r="A12" s="655">
        <v>6</v>
      </c>
      <c r="B12" s="2639" t="s">
        <v>616</v>
      </c>
      <c r="C12" s="2640" t="s">
        <v>617</v>
      </c>
      <c r="D12" s="2640" t="s">
        <v>617</v>
      </c>
      <c r="E12" s="2641" t="s">
        <v>617</v>
      </c>
      <c r="F12" s="471" t="s">
        <v>466</v>
      </c>
      <c r="G12" s="1503" t="s">
        <v>523</v>
      </c>
      <c r="H12" s="1504">
        <f>'R.GUI MAIL'!H62</f>
        <v>0</v>
      </c>
      <c r="I12" s="1505" t="s">
        <v>8</v>
      </c>
      <c r="J12" s="1506">
        <f>'R.GUI MAIL'!K62</f>
        <v>0</v>
      </c>
      <c r="K12" s="1507" t="s">
        <v>9</v>
      </c>
      <c r="L12" s="1504">
        <f>'R.GUI MAIL'!N62</f>
        <v>0</v>
      </c>
      <c r="M12" s="1505" t="s">
        <v>8</v>
      </c>
      <c r="N12" s="1506">
        <f>'R.GUI MAIL'!Q62</f>
        <v>0</v>
      </c>
      <c r="O12" s="1507" t="s">
        <v>9</v>
      </c>
      <c r="P12" s="1508"/>
    </row>
    <row r="13" spans="1:16" ht="43.5" customHeight="1">
      <c r="A13" s="1509">
        <v>7</v>
      </c>
      <c r="B13" s="2625" t="s">
        <v>618</v>
      </c>
      <c r="C13" s="2626" t="s">
        <v>619</v>
      </c>
      <c r="D13" s="2626" t="s">
        <v>619</v>
      </c>
      <c r="E13" s="2627" t="s">
        <v>619</v>
      </c>
      <c r="F13" s="1510" t="s">
        <v>466</v>
      </c>
      <c r="G13" s="1511" t="s">
        <v>526</v>
      </c>
      <c r="H13" s="1512">
        <f>'R.GUI MAIL'!H63</f>
        <v>0</v>
      </c>
      <c r="I13" s="1513" t="s">
        <v>8</v>
      </c>
      <c r="J13" s="1514">
        <f>'R.GUI MAIL'!K63</f>
        <v>0</v>
      </c>
      <c r="K13" s="1515" t="s">
        <v>9</v>
      </c>
      <c r="L13" s="1512">
        <f>'R.GUI MAIL'!N63</f>
        <v>0</v>
      </c>
      <c r="M13" s="1513" t="s">
        <v>8</v>
      </c>
      <c r="N13" s="1514">
        <f>'R.GUI MAIL'!Q63</f>
        <v>0</v>
      </c>
      <c r="O13" s="1515" t="s">
        <v>9</v>
      </c>
      <c r="P13" s="1516"/>
    </row>
    <row r="14" spans="1:16" ht="43.5" customHeight="1">
      <c r="A14" s="1285">
        <v>8</v>
      </c>
      <c r="B14" s="2146" t="s">
        <v>620</v>
      </c>
      <c r="C14" s="2180" t="s">
        <v>528</v>
      </c>
      <c r="D14" s="2180" t="s">
        <v>528</v>
      </c>
      <c r="E14" s="2147" t="s">
        <v>528</v>
      </c>
      <c r="F14" s="1209" t="s">
        <v>5</v>
      </c>
      <c r="G14" s="55" t="s">
        <v>529</v>
      </c>
      <c r="H14" s="338">
        <f>'R.GUI MAIL'!H64</f>
        <v>0</v>
      </c>
      <c r="I14" s="66"/>
      <c r="J14" s="656"/>
      <c r="K14" s="657"/>
      <c r="L14" s="338">
        <f>'R.GUI MAIL'!N64</f>
        <v>0</v>
      </c>
      <c r="M14" s="66"/>
      <c r="N14" s="656"/>
      <c r="O14" s="657"/>
      <c r="P14" s="456"/>
    </row>
    <row r="15" spans="1:16" ht="43.5" customHeight="1">
      <c r="A15" s="655">
        <v>9</v>
      </c>
      <c r="B15" s="2619" t="s">
        <v>621</v>
      </c>
      <c r="C15" s="2620" t="s">
        <v>619</v>
      </c>
      <c r="D15" s="2620" t="s">
        <v>619</v>
      </c>
      <c r="E15" s="2621" t="s">
        <v>619</v>
      </c>
      <c r="F15" s="50" t="s">
        <v>5</v>
      </c>
      <c r="G15" s="55" t="s">
        <v>532</v>
      </c>
      <c r="H15" s="659">
        <f>'R.GUI MAIL'!H65</f>
        <v>0</v>
      </c>
      <c r="I15" s="66"/>
      <c r="J15" s="656"/>
      <c r="K15" s="657"/>
      <c r="L15" s="659">
        <f>'R.GUI MAIL'!N65</f>
        <v>0</v>
      </c>
      <c r="M15" s="66"/>
      <c r="N15" s="656"/>
      <c r="O15" s="657"/>
      <c r="P15" s="456"/>
    </row>
    <row r="16" spans="1:16" ht="43.5" hidden="1" customHeight="1">
      <c r="A16" s="655">
        <v>10</v>
      </c>
      <c r="B16" s="2619" t="s">
        <v>622</v>
      </c>
      <c r="C16" s="2620" t="s">
        <v>619</v>
      </c>
      <c r="D16" s="2620" t="s">
        <v>619</v>
      </c>
      <c r="E16" s="2621" t="s">
        <v>619</v>
      </c>
      <c r="F16" s="50" t="s">
        <v>5</v>
      </c>
      <c r="G16" s="55" t="s">
        <v>532</v>
      </c>
      <c r="H16" s="660">
        <f>'R.GUI MAIL'!H66</f>
        <v>0</v>
      </c>
      <c r="I16" s="66"/>
      <c r="J16" s="656"/>
      <c r="K16" s="657"/>
      <c r="L16" s="660">
        <f>'R.GUI MAIL'!N66</f>
        <v>0</v>
      </c>
      <c r="M16" s="66"/>
      <c r="N16" s="656"/>
      <c r="O16" s="657"/>
      <c r="P16" s="456"/>
    </row>
    <row r="17" spans="1:16" ht="43.5" customHeight="1">
      <c r="A17" s="655">
        <v>11</v>
      </c>
      <c r="B17" s="2619" t="s">
        <v>406</v>
      </c>
      <c r="C17" s="2620"/>
      <c r="D17" s="2620"/>
      <c r="E17" s="2621"/>
      <c r="F17" s="50" t="s">
        <v>3</v>
      </c>
      <c r="G17" s="661" t="s">
        <v>407</v>
      </c>
      <c r="H17" s="662" t="str">
        <f>IFERROR('ED-XI DEN'!L15*100,"")</f>
        <v/>
      </c>
      <c r="I17" s="66" t="s">
        <v>8</v>
      </c>
      <c r="J17" s="656" t="str">
        <f>'R.GUI MAIL'!K67</f>
        <v/>
      </c>
      <c r="K17" s="657" t="s">
        <v>10</v>
      </c>
      <c r="L17" s="456" t="s">
        <v>1032</v>
      </c>
      <c r="M17" s="66"/>
      <c r="N17" s="656"/>
      <c r="O17" s="657"/>
      <c r="P17" s="456"/>
    </row>
    <row r="18" spans="1:16" ht="43.5" customHeight="1">
      <c r="A18" s="655">
        <v>12</v>
      </c>
      <c r="B18" s="2619" t="s">
        <v>408</v>
      </c>
      <c r="C18" s="2620"/>
      <c r="D18" s="2620"/>
      <c r="E18" s="2621"/>
      <c r="F18" s="50" t="s">
        <v>3</v>
      </c>
      <c r="G18" s="661" t="s">
        <v>409</v>
      </c>
      <c r="H18" s="662" t="str">
        <f>IFERROR('ED-XI DEN'!L16*100,"")</f>
        <v/>
      </c>
      <c r="I18" s="66" t="s">
        <v>8</v>
      </c>
      <c r="J18" s="656" t="str">
        <f>'R.GUI MAIL'!K68</f>
        <v/>
      </c>
      <c r="K18" s="657" t="s">
        <v>10</v>
      </c>
      <c r="L18" s="456" t="s">
        <v>1032</v>
      </c>
      <c r="M18" s="66"/>
      <c r="N18" s="656"/>
      <c r="O18" s="657"/>
      <c r="P18" s="456"/>
    </row>
    <row r="19" spans="1:16" ht="43.5" hidden="1" customHeight="1">
      <c r="A19" s="655">
        <v>13</v>
      </c>
      <c r="B19" s="2619" t="s">
        <v>410</v>
      </c>
      <c r="C19" s="2620"/>
      <c r="D19" s="2620"/>
      <c r="E19" s="2621"/>
      <c r="F19" s="50" t="s">
        <v>3</v>
      </c>
      <c r="G19" s="661" t="s">
        <v>407</v>
      </c>
      <c r="H19" s="663" t="str">
        <f>IFERROR('ED-XI DEN'!L17*100,"")</f>
        <v/>
      </c>
      <c r="I19" s="66"/>
      <c r="J19" s="656" t="str">
        <f>'R.GUI MAIL'!K69</f>
        <v/>
      </c>
      <c r="K19" s="657"/>
      <c r="L19" s="456" t="str">
        <f t="shared" ref="L19:L20" si="0">H19</f>
        <v/>
      </c>
      <c r="M19" s="66"/>
      <c r="N19" s="656" t="str">
        <f>J19</f>
        <v/>
      </c>
      <c r="O19" s="657"/>
      <c r="P19" s="456"/>
    </row>
    <row r="20" spans="1:16" ht="43.5" hidden="1" customHeight="1">
      <c r="A20" s="655">
        <v>14</v>
      </c>
      <c r="B20" s="2619" t="s">
        <v>411</v>
      </c>
      <c r="C20" s="2620"/>
      <c r="D20" s="2620"/>
      <c r="E20" s="2621"/>
      <c r="F20" s="50" t="s">
        <v>3</v>
      </c>
      <c r="G20" s="661" t="s">
        <v>409</v>
      </c>
      <c r="H20" s="663" t="str">
        <f>IFERROR('ED-XI DEN'!L18*100,"")</f>
        <v/>
      </c>
      <c r="I20" s="66"/>
      <c r="J20" s="656" t="str">
        <f>'R.GUI MAIL'!K70</f>
        <v/>
      </c>
      <c r="K20" s="657"/>
      <c r="L20" s="456" t="str">
        <f t="shared" si="0"/>
        <v/>
      </c>
      <c r="M20" s="66"/>
      <c r="N20" s="656" t="str">
        <f>J20</f>
        <v/>
      </c>
      <c r="O20" s="657"/>
      <c r="P20" s="456"/>
    </row>
    <row r="21" spans="1:16" ht="43.5" customHeight="1">
      <c r="A21" s="655">
        <v>15</v>
      </c>
      <c r="B21" s="2619" t="s">
        <v>412</v>
      </c>
      <c r="C21" s="2620" t="s">
        <v>412</v>
      </c>
      <c r="D21" s="2620" t="s">
        <v>412</v>
      </c>
      <c r="E21" s="2621" t="s">
        <v>412</v>
      </c>
      <c r="F21" s="50" t="s">
        <v>3</v>
      </c>
      <c r="G21" s="55" t="s">
        <v>413</v>
      </c>
      <c r="H21" s="664" t="str">
        <f>IFERROR('ED-XI DEN'!L19*100,"")</f>
        <v/>
      </c>
      <c r="I21" s="66"/>
      <c r="J21" s="656"/>
      <c r="K21" s="657"/>
      <c r="L21" s="456" t="s">
        <v>1032</v>
      </c>
      <c r="M21" s="66"/>
      <c r="N21" s="656"/>
      <c r="O21" s="657"/>
      <c r="P21" s="456"/>
    </row>
    <row r="22" spans="1:16" ht="43.5" customHeight="1">
      <c r="A22" s="655">
        <v>16</v>
      </c>
      <c r="B22" s="2619" t="s">
        <v>415</v>
      </c>
      <c r="C22" s="2620" t="s">
        <v>415</v>
      </c>
      <c r="D22" s="2620" t="s">
        <v>415</v>
      </c>
      <c r="E22" s="2621" t="s">
        <v>415</v>
      </c>
      <c r="F22" s="50" t="s">
        <v>3</v>
      </c>
      <c r="G22" s="55" t="s">
        <v>416</v>
      </c>
      <c r="H22" s="336" t="str">
        <f>IFERROR('ED-XI DEN'!L20*100,"")</f>
        <v/>
      </c>
      <c r="I22" s="66"/>
      <c r="J22" s="656"/>
      <c r="K22" s="657"/>
      <c r="L22" s="456" t="s">
        <v>1032</v>
      </c>
      <c r="M22" s="66"/>
      <c r="N22" s="656"/>
      <c r="O22" s="657"/>
      <c r="P22" s="456"/>
    </row>
    <row r="23" spans="1:16" ht="55.5" customHeight="1">
      <c r="A23" s="54"/>
      <c r="B23" s="522"/>
      <c r="C23" s="523"/>
      <c r="D23" s="523"/>
      <c r="E23" s="523"/>
      <c r="F23" s="523"/>
      <c r="G23" s="523"/>
      <c r="H23" s="524" t="s">
        <v>117</v>
      </c>
      <c r="I23" s="523"/>
      <c r="J23" s="523"/>
      <c r="K23" s="523"/>
      <c r="L23" s="523"/>
      <c r="M23" s="523"/>
      <c r="N23" s="523"/>
      <c r="O23" s="523"/>
      <c r="P23" s="525"/>
    </row>
    <row r="24" spans="1:16" ht="43.5" customHeight="1">
      <c r="A24" s="665" t="s">
        <v>7</v>
      </c>
      <c r="B24" s="2622" t="s">
        <v>64</v>
      </c>
      <c r="C24" s="2623"/>
      <c r="D24" s="2623"/>
      <c r="E24" s="2624"/>
      <c r="F24" s="666" t="s">
        <v>66</v>
      </c>
      <c r="G24" s="275" t="s">
        <v>67</v>
      </c>
      <c r="H24" s="667" t="s">
        <v>48</v>
      </c>
      <c r="I24" s="2203" t="s">
        <v>65</v>
      </c>
      <c r="J24" s="2618"/>
      <c r="K24" s="2618"/>
      <c r="L24" s="667" t="s">
        <v>48</v>
      </c>
      <c r="M24" s="2203" t="s">
        <v>65</v>
      </c>
      <c r="N24" s="2618"/>
      <c r="O24" s="2204"/>
      <c r="P24" s="668" t="s">
        <v>98</v>
      </c>
    </row>
    <row r="25" spans="1:16" ht="43.5" customHeight="1">
      <c r="A25" s="665">
        <v>1</v>
      </c>
      <c r="B25" s="2199" t="s">
        <v>509</v>
      </c>
      <c r="C25" s="2200"/>
      <c r="D25" s="2200"/>
      <c r="E25" s="2201"/>
      <c r="F25" s="274" t="s">
        <v>214</v>
      </c>
      <c r="G25" s="55" t="s">
        <v>763</v>
      </c>
      <c r="H25" s="528">
        <f>'R.FILE GOC'!H75</f>
        <v>0</v>
      </c>
      <c r="I25" s="2181">
        <f>'R.GUI MAIL'!K75</f>
        <v>0</v>
      </c>
      <c r="J25" s="2182"/>
      <c r="K25" s="2184"/>
      <c r="L25" s="528">
        <f>'R.FILE GOC'!N75</f>
        <v>0</v>
      </c>
      <c r="M25" s="2181">
        <f>'R.GUI MAIL'!Q75</f>
        <v>0</v>
      </c>
      <c r="N25" s="2182"/>
      <c r="O25" s="2184"/>
      <c r="P25" s="456"/>
    </row>
    <row r="26" spans="1:16" ht="43.5" customHeight="1">
      <c r="A26" s="665">
        <v>2</v>
      </c>
      <c r="B26" s="2199" t="s">
        <v>513</v>
      </c>
      <c r="C26" s="2200" t="s">
        <v>513</v>
      </c>
      <c r="D26" s="2200" t="s">
        <v>513</v>
      </c>
      <c r="E26" s="2201" t="s">
        <v>513</v>
      </c>
      <c r="F26" s="274" t="s">
        <v>214</v>
      </c>
      <c r="G26" s="55" t="s">
        <v>763</v>
      </c>
      <c r="H26" s="528">
        <f>'R.FILE GOC'!H76</f>
        <v>0</v>
      </c>
      <c r="I26" s="2181">
        <f>'R.GUI MAIL'!K76</f>
        <v>0</v>
      </c>
      <c r="J26" s="2182"/>
      <c r="K26" s="2184"/>
      <c r="L26" s="528">
        <f>'R.FILE GOC'!N76</f>
        <v>0</v>
      </c>
      <c r="M26" s="2181">
        <f>'R.GUI MAIL'!Q76</f>
        <v>0</v>
      </c>
      <c r="N26" s="2182"/>
      <c r="O26" s="2184"/>
      <c r="P26" s="456"/>
    </row>
    <row r="27" spans="1:16" ht="43.5" customHeight="1">
      <c r="A27" s="665">
        <v>3</v>
      </c>
      <c r="B27" s="2199" t="s">
        <v>515</v>
      </c>
      <c r="C27" s="2200" t="s">
        <v>515</v>
      </c>
      <c r="D27" s="2200" t="s">
        <v>515</v>
      </c>
      <c r="E27" s="2201" t="s">
        <v>515</v>
      </c>
      <c r="F27" s="274" t="s">
        <v>214</v>
      </c>
      <c r="G27" s="55" t="s">
        <v>763</v>
      </c>
      <c r="H27" s="528">
        <f>'R.FILE GOC'!H77</f>
        <v>0</v>
      </c>
      <c r="I27" s="2181">
        <f>'R.GUI MAIL'!K77</f>
        <v>0</v>
      </c>
      <c r="J27" s="2182"/>
      <c r="K27" s="2184"/>
      <c r="L27" s="528">
        <f>'R.FILE GOC'!N77</f>
        <v>0</v>
      </c>
      <c r="M27" s="2181">
        <f>'R.GUI MAIL'!Q77</f>
        <v>0</v>
      </c>
      <c r="N27" s="2182"/>
      <c r="O27" s="2184"/>
      <c r="P27" s="456"/>
    </row>
    <row r="28" spans="1:16" ht="43.5" customHeight="1">
      <c r="A28" s="665">
        <v>4</v>
      </c>
      <c r="B28" s="2199" t="s">
        <v>546</v>
      </c>
      <c r="C28" s="2200" t="s">
        <v>546</v>
      </c>
      <c r="D28" s="2200" t="s">
        <v>546</v>
      </c>
      <c r="E28" s="2201" t="s">
        <v>546</v>
      </c>
      <c r="F28" s="274" t="s">
        <v>214</v>
      </c>
      <c r="G28" s="55" t="s">
        <v>764</v>
      </c>
      <c r="H28" s="528">
        <f>'R.FILE GOC'!H78</f>
        <v>0</v>
      </c>
      <c r="I28" s="2181">
        <f>'R.GUI MAIL'!K78</f>
        <v>0</v>
      </c>
      <c r="J28" s="2182"/>
      <c r="K28" s="2184"/>
      <c r="L28" s="528">
        <f>'R.FILE GOC'!N78</f>
        <v>0</v>
      </c>
      <c r="M28" s="2181">
        <f>'R.GUI MAIL'!Q78</f>
        <v>0</v>
      </c>
      <c r="N28" s="2182"/>
      <c r="O28" s="2184"/>
      <c r="P28" s="456"/>
    </row>
    <row r="29" spans="1:16" ht="43.5" customHeight="1">
      <c r="A29" s="665">
        <v>5</v>
      </c>
      <c r="B29" s="2199" t="s">
        <v>623</v>
      </c>
      <c r="C29" s="2200"/>
      <c r="D29" s="2200"/>
      <c r="E29" s="2201"/>
      <c r="F29" s="274" t="s">
        <v>214</v>
      </c>
      <c r="G29" s="55" t="s">
        <v>765</v>
      </c>
      <c r="H29" s="528">
        <f>'R.FILE GOC'!H79</f>
        <v>0</v>
      </c>
      <c r="I29" s="2181">
        <f>'R.GUI MAIL'!K79</f>
        <v>0</v>
      </c>
      <c r="J29" s="2182"/>
      <c r="K29" s="2184"/>
      <c r="L29" s="528">
        <f>'R.FILE GOC'!N79</f>
        <v>0</v>
      </c>
      <c r="M29" s="2181">
        <f>'R.GUI MAIL'!Q79</f>
        <v>0</v>
      </c>
      <c r="N29" s="2182"/>
      <c r="O29" s="2184"/>
      <c r="P29" s="456"/>
    </row>
    <row r="30" spans="1:16" ht="43.5" hidden="1" customHeight="1">
      <c r="A30" s="665"/>
      <c r="B30" s="2199" t="s">
        <v>624</v>
      </c>
      <c r="C30" s="2200"/>
      <c r="D30" s="2200"/>
      <c r="E30" s="2201"/>
      <c r="F30" s="274" t="s">
        <v>214</v>
      </c>
      <c r="G30" s="55" t="s">
        <v>765</v>
      </c>
      <c r="H30" s="528">
        <f>'R.FILE GOC'!H80</f>
        <v>0</v>
      </c>
      <c r="I30" s="2181">
        <f>'R.GUI MAIL'!K80</f>
        <v>0</v>
      </c>
      <c r="J30" s="2182"/>
      <c r="K30" s="2184"/>
      <c r="L30" s="528">
        <f>'R.FILE GOC'!N80</f>
        <v>0</v>
      </c>
      <c r="M30" s="2181">
        <f>'R.GUI MAIL'!Q80</f>
        <v>0</v>
      </c>
      <c r="N30" s="2182"/>
      <c r="O30" s="2184"/>
      <c r="P30" s="456"/>
    </row>
    <row r="31" spans="1:16" ht="43.5" customHeight="1">
      <c r="A31" s="665">
        <v>6</v>
      </c>
      <c r="B31" s="2199" t="s">
        <v>554</v>
      </c>
      <c r="C31" s="2200" t="s">
        <v>554</v>
      </c>
      <c r="D31" s="2200" t="s">
        <v>554</v>
      </c>
      <c r="E31" s="2201" t="s">
        <v>554</v>
      </c>
      <c r="F31" s="274" t="s">
        <v>214</v>
      </c>
      <c r="G31" s="55" t="s">
        <v>766</v>
      </c>
      <c r="H31" s="273" t="str">
        <f>'R.FILE GOC'!H81</f>
        <v>\</v>
      </c>
      <c r="I31" s="2181">
        <f>'R.GUI MAIL'!K81</f>
        <v>0</v>
      </c>
      <c r="J31" s="2182"/>
      <c r="K31" s="2182"/>
      <c r="L31" s="273" t="str">
        <f>'R.FILE GOC'!N81</f>
        <v>\</v>
      </c>
      <c r="M31" s="2181">
        <f>'R.GUI MAIL'!Q81</f>
        <v>0</v>
      </c>
      <c r="N31" s="2182"/>
      <c r="O31" s="2182"/>
      <c r="P31" s="456"/>
    </row>
    <row r="32" spans="1:16" ht="45" hidden="1" customHeight="1">
      <c r="A32" s="54"/>
      <c r="B32" s="529"/>
      <c r="C32" s="530"/>
      <c r="D32" s="530"/>
      <c r="E32" s="530"/>
      <c r="F32" s="530"/>
      <c r="G32" s="530"/>
      <c r="H32" s="531" t="s">
        <v>556</v>
      </c>
      <c r="I32" s="530"/>
      <c r="J32" s="530"/>
      <c r="K32" s="530"/>
      <c r="L32" s="530"/>
      <c r="M32" s="530"/>
      <c r="N32" s="530"/>
      <c r="O32" s="530"/>
      <c r="P32" s="532"/>
    </row>
    <row r="33" spans="1:16" ht="45" hidden="1" customHeight="1">
      <c r="A33" s="665">
        <v>1</v>
      </c>
      <c r="B33" s="2146" t="s">
        <v>556</v>
      </c>
      <c r="C33" s="2180"/>
      <c r="D33" s="2180"/>
      <c r="E33" s="2147"/>
      <c r="F33" s="275" t="s">
        <v>557</v>
      </c>
      <c r="G33" s="275" t="s">
        <v>558</v>
      </c>
      <c r="H33" s="2203">
        <f>'R.FILE GOC'!H83</f>
        <v>0</v>
      </c>
      <c r="I33" s="2618"/>
      <c r="J33" s="2618"/>
      <c r="K33" s="2618"/>
      <c r="L33" s="2203">
        <f>'R.FILE GOC'!N83</f>
        <v>0</v>
      </c>
      <c r="M33" s="2618"/>
      <c r="N33" s="2618"/>
      <c r="O33" s="2204"/>
      <c r="P33" s="668"/>
    </row>
    <row r="34" spans="1:16" ht="45" hidden="1" customHeight="1">
      <c r="A34" s="665">
        <v>2</v>
      </c>
      <c r="B34" s="2199" t="s">
        <v>559</v>
      </c>
      <c r="C34" s="2200"/>
      <c r="D34" s="2200"/>
      <c r="E34" s="2201"/>
      <c r="F34" s="275" t="s">
        <v>557</v>
      </c>
      <c r="G34" s="55" t="s">
        <v>560</v>
      </c>
      <c r="H34" s="2203">
        <f>'R.FILE GOC'!H84</f>
        <v>0</v>
      </c>
      <c r="I34" s="2618"/>
      <c r="J34" s="2618"/>
      <c r="K34" s="2618"/>
      <c r="L34" s="2203">
        <f>'R.FILE GOC'!N84</f>
        <v>0</v>
      </c>
      <c r="M34" s="2618"/>
      <c r="N34" s="2618"/>
      <c r="O34" s="2204"/>
      <c r="P34" s="456"/>
    </row>
  </sheetData>
  <sheetProtection formatCells="0" formatColumns="0" formatRows="0" insertColumns="0" insertRows="0" insertHyperlinks="0" deleteColumns="0" deleteRows="0" selectLockedCells="1" sort="0" autoFilter="0" pivotTables="0"/>
  <mergeCells count="59">
    <mergeCell ref="A1:J1"/>
    <mergeCell ref="A2:M2"/>
    <mergeCell ref="N2:O2"/>
    <mergeCell ref="N3:O3"/>
    <mergeCell ref="A4:A6"/>
    <mergeCell ref="B4:E6"/>
    <mergeCell ref="F4:F6"/>
    <mergeCell ref="G4:G6"/>
    <mergeCell ref="B13:E13"/>
    <mergeCell ref="P4:P6"/>
    <mergeCell ref="H5:K5"/>
    <mergeCell ref="L5:O5"/>
    <mergeCell ref="I6:K6"/>
    <mergeCell ref="M6:O6"/>
    <mergeCell ref="B7:E7"/>
    <mergeCell ref="B8:E8"/>
    <mergeCell ref="B9:E9"/>
    <mergeCell ref="B10:E10"/>
    <mergeCell ref="B11:E11"/>
    <mergeCell ref="B12:E12"/>
    <mergeCell ref="M24:O24"/>
    <mergeCell ref="B14:E14"/>
    <mergeCell ref="B15:E15"/>
    <mergeCell ref="B16:E16"/>
    <mergeCell ref="B17:E17"/>
    <mergeCell ref="B18:E18"/>
    <mergeCell ref="B19:E19"/>
    <mergeCell ref="B20:E20"/>
    <mergeCell ref="B21:E21"/>
    <mergeCell ref="B22:E22"/>
    <mergeCell ref="B24:E24"/>
    <mergeCell ref="I24:K24"/>
    <mergeCell ref="B25:E25"/>
    <mergeCell ref="I25:K25"/>
    <mergeCell ref="M25:O25"/>
    <mergeCell ref="B26:E26"/>
    <mergeCell ref="I26:K26"/>
    <mergeCell ref="M26:O26"/>
    <mergeCell ref="B27:E27"/>
    <mergeCell ref="I27:K27"/>
    <mergeCell ref="M27:O27"/>
    <mergeCell ref="B28:E28"/>
    <mergeCell ref="I28:K28"/>
    <mergeCell ref="M28:O28"/>
    <mergeCell ref="B29:E29"/>
    <mergeCell ref="I29:K29"/>
    <mergeCell ref="M29:O29"/>
    <mergeCell ref="B30:E30"/>
    <mergeCell ref="I30:K30"/>
    <mergeCell ref="M30:O30"/>
    <mergeCell ref="B34:E34"/>
    <mergeCell ref="H34:K34"/>
    <mergeCell ref="L34:O34"/>
    <mergeCell ref="B31:E31"/>
    <mergeCell ref="I31:K31"/>
    <mergeCell ref="M31:O31"/>
    <mergeCell ref="B33:E33"/>
    <mergeCell ref="H33:K33"/>
    <mergeCell ref="L33:O33"/>
  </mergeCells>
  <phoneticPr fontId="6" type="noConversion"/>
  <conditionalFormatting sqref="H10">
    <cfRule type="expression" dxfId="596" priority="185">
      <formula>H10&lt;5</formula>
    </cfRule>
    <cfRule type="expression" dxfId="595" priority="186">
      <formula>H10&gt;15</formula>
    </cfRule>
  </conditionalFormatting>
  <conditionalFormatting sqref="H11">
    <cfRule type="expression" dxfId="594" priority="184">
      <formula>H11&gt;1.5</formula>
    </cfRule>
  </conditionalFormatting>
  <conditionalFormatting sqref="H12">
    <cfRule type="expression" dxfId="593" priority="182">
      <formula>H12&lt;20</formula>
    </cfRule>
    <cfRule type="expression" dxfId="592" priority="183">
      <formula>H12&gt;25</formula>
    </cfRule>
  </conditionalFormatting>
  <conditionalFormatting sqref="H13">
    <cfRule type="expression" dxfId="591" priority="180">
      <formula>H13&lt;6</formula>
    </cfRule>
    <cfRule type="expression" dxfId="590" priority="181">
      <formula>H13&gt;9</formula>
    </cfRule>
  </conditionalFormatting>
  <conditionalFormatting sqref="H14">
    <cfRule type="expression" dxfId="589" priority="178">
      <formula>H14&lt;7</formula>
    </cfRule>
    <cfRule type="expression" dxfId="588" priority="179">
      <formula>H14&gt;10</formula>
    </cfRule>
  </conditionalFormatting>
  <conditionalFormatting sqref="H15">
    <cfRule type="expression" dxfId="587" priority="176">
      <formula>H15&lt;5.3</formula>
    </cfRule>
    <cfRule type="expression" dxfId="586" priority="177">
      <formula>H15&gt;6</formula>
    </cfRule>
  </conditionalFormatting>
  <conditionalFormatting sqref="H16">
    <cfRule type="expression" dxfId="585" priority="174">
      <formula>H16&lt;5.3</formula>
    </cfRule>
    <cfRule type="expression" dxfId="584" priority="175">
      <formula>H16&gt;6</formula>
    </cfRule>
  </conditionalFormatting>
  <conditionalFormatting sqref="H17">
    <cfRule type="expression" dxfId="583" priority="172">
      <formula>H17&lt;12</formula>
    </cfRule>
    <cfRule type="expression" dxfId="582" priority="173">
      <formula>H17&gt;18</formula>
    </cfRule>
  </conditionalFormatting>
  <conditionalFormatting sqref="H19">
    <cfRule type="expression" dxfId="581" priority="170">
      <formula>H19&lt;12</formula>
    </cfRule>
    <cfRule type="expression" dxfId="580" priority="171">
      <formula>H19&gt;18</formula>
    </cfRule>
  </conditionalFormatting>
  <conditionalFormatting sqref="H18">
    <cfRule type="expression" dxfId="579" priority="168">
      <formula>H18&lt;8</formula>
    </cfRule>
    <cfRule type="expression" dxfId="578" priority="169">
      <formula>H18&gt;16</formula>
    </cfRule>
  </conditionalFormatting>
  <conditionalFormatting sqref="H20">
    <cfRule type="expression" dxfId="577" priority="166">
      <formula>H20&lt;8</formula>
    </cfRule>
    <cfRule type="expression" dxfId="576" priority="167">
      <formula>H20&gt;16</formula>
    </cfRule>
  </conditionalFormatting>
  <conditionalFormatting sqref="L10">
    <cfRule type="expression" dxfId="575" priority="164">
      <formula>L10&lt;5</formula>
    </cfRule>
    <cfRule type="expression" dxfId="574" priority="165">
      <formula>L10&gt;15</formula>
    </cfRule>
  </conditionalFormatting>
  <conditionalFormatting sqref="L11">
    <cfRule type="expression" dxfId="573" priority="163">
      <formula>L11&gt;1.5</formula>
    </cfRule>
  </conditionalFormatting>
  <conditionalFormatting sqref="L12">
    <cfRule type="expression" dxfId="572" priority="161">
      <formula>L12&lt;20</formula>
    </cfRule>
    <cfRule type="expression" dxfId="571" priority="162">
      <formula>L12&gt;25</formula>
    </cfRule>
  </conditionalFormatting>
  <conditionalFormatting sqref="L13">
    <cfRule type="expression" dxfId="570" priority="159">
      <formula>L13&lt;6</formula>
    </cfRule>
    <cfRule type="expression" dxfId="569" priority="160">
      <formula>L13&gt;9</formula>
    </cfRule>
  </conditionalFormatting>
  <conditionalFormatting sqref="L14">
    <cfRule type="expression" dxfId="568" priority="157">
      <formula>L14&lt;7</formula>
    </cfRule>
    <cfRule type="expression" dxfId="567" priority="158">
      <formula>L14&gt;10</formula>
    </cfRule>
  </conditionalFormatting>
  <conditionalFormatting sqref="L15">
    <cfRule type="expression" dxfId="566" priority="155">
      <formula>L15&lt;5.3</formula>
    </cfRule>
    <cfRule type="expression" dxfId="565" priority="156">
      <formula>L15&gt;6</formula>
    </cfRule>
  </conditionalFormatting>
  <conditionalFormatting sqref="L16">
    <cfRule type="expression" dxfId="564" priority="153">
      <formula>L16&lt;5.3</formula>
    </cfRule>
    <cfRule type="expression" dxfId="563" priority="154">
      <formula>L16&gt;6</formula>
    </cfRule>
  </conditionalFormatting>
  <conditionalFormatting sqref="L25">
    <cfRule type="expression" dxfId="562" priority="143">
      <formula>L25&lt;51</formula>
    </cfRule>
    <cfRule type="expression" dxfId="561" priority="144">
      <formula>L25&gt;59</formula>
    </cfRule>
  </conditionalFormatting>
  <conditionalFormatting sqref="L25">
    <cfRule type="expression" dxfId="560" priority="142">
      <formula>L25&lt;1</formula>
    </cfRule>
  </conditionalFormatting>
  <conditionalFormatting sqref="L26:L27">
    <cfRule type="expression" dxfId="559" priority="140">
      <formula>L26&lt;51</formula>
    </cfRule>
    <cfRule type="expression" dxfId="558" priority="141">
      <formula>L26&gt;59</formula>
    </cfRule>
  </conditionalFormatting>
  <conditionalFormatting sqref="L26:L27">
    <cfRule type="expression" dxfId="557" priority="139">
      <formula>L26&lt;1</formula>
    </cfRule>
  </conditionalFormatting>
  <conditionalFormatting sqref="L28">
    <cfRule type="expression" dxfId="556" priority="137">
      <formula>L28&lt;30</formula>
    </cfRule>
    <cfRule type="expression" dxfId="555" priority="138">
      <formula>L28&gt;40</formula>
    </cfRule>
  </conditionalFormatting>
  <conditionalFormatting sqref="L28">
    <cfRule type="expression" dxfId="554" priority="136">
      <formula>L28&lt;1</formula>
    </cfRule>
  </conditionalFormatting>
  <conditionalFormatting sqref="L29">
    <cfRule type="expression" dxfId="553" priority="134">
      <formula>L29&lt;26</formula>
    </cfRule>
    <cfRule type="expression" dxfId="552" priority="135">
      <formula>L29&gt;32</formula>
    </cfRule>
  </conditionalFormatting>
  <conditionalFormatting sqref="L29">
    <cfRule type="expression" dxfId="551" priority="133">
      <formula>L29&lt;1</formula>
    </cfRule>
  </conditionalFormatting>
  <conditionalFormatting sqref="L30">
    <cfRule type="expression" dxfId="550" priority="131">
      <formula>L30&lt;26</formula>
    </cfRule>
    <cfRule type="expression" dxfId="549" priority="132">
      <formula>L30&gt;32</formula>
    </cfRule>
  </conditionalFormatting>
  <conditionalFormatting sqref="L30">
    <cfRule type="expression" dxfId="548" priority="130">
      <formula>L30&lt;1</formula>
    </cfRule>
  </conditionalFormatting>
  <conditionalFormatting sqref="H25">
    <cfRule type="expression" dxfId="547" priority="128">
      <formula>H25&lt;51</formula>
    </cfRule>
    <cfRule type="expression" dxfId="546" priority="129">
      <formula>H25&gt;59</formula>
    </cfRule>
  </conditionalFormatting>
  <conditionalFormatting sqref="H25">
    <cfRule type="expression" dxfId="545" priority="127">
      <formula>H25&lt;1</formula>
    </cfRule>
  </conditionalFormatting>
  <conditionalFormatting sqref="H26:H27">
    <cfRule type="expression" dxfId="544" priority="125">
      <formula>H26&lt;51</formula>
    </cfRule>
    <cfRule type="expression" dxfId="543" priority="126">
      <formula>H26&gt;59</formula>
    </cfRule>
  </conditionalFormatting>
  <conditionalFormatting sqref="H26:H27">
    <cfRule type="expression" dxfId="542" priority="124">
      <formula>H26&lt;1</formula>
    </cfRule>
  </conditionalFormatting>
  <conditionalFormatting sqref="H28">
    <cfRule type="expression" dxfId="541" priority="122">
      <formula>H28&lt;30</formula>
    </cfRule>
    <cfRule type="expression" dxfId="540" priority="123">
      <formula>H28&gt;40</formula>
    </cfRule>
  </conditionalFormatting>
  <conditionalFormatting sqref="H28">
    <cfRule type="expression" dxfId="539" priority="121">
      <formula>H28&lt;1</formula>
    </cfRule>
  </conditionalFormatting>
  <conditionalFormatting sqref="H29">
    <cfRule type="expression" dxfId="538" priority="119">
      <formula>H29&lt;26</formula>
    </cfRule>
    <cfRule type="expression" dxfId="537" priority="120">
      <formula>H29&gt;32</formula>
    </cfRule>
  </conditionalFormatting>
  <conditionalFormatting sqref="H29">
    <cfRule type="expression" dxfId="536" priority="118">
      <formula>H29&lt;1</formula>
    </cfRule>
  </conditionalFormatting>
  <conditionalFormatting sqref="H30">
    <cfRule type="expression" dxfId="535" priority="116">
      <formula>H30&lt;26</formula>
    </cfRule>
    <cfRule type="expression" dxfId="534" priority="117">
      <formula>H30&gt;32</formula>
    </cfRule>
  </conditionalFormatting>
  <conditionalFormatting sqref="H30">
    <cfRule type="expression" dxfId="533" priority="115">
      <formula>H30&lt;1</formula>
    </cfRule>
  </conditionalFormatting>
  <conditionalFormatting sqref="I25:K25">
    <cfRule type="expression" dxfId="532" priority="105">
      <formula>I25&lt;51</formula>
    </cfRule>
    <cfRule type="expression" dxfId="531" priority="106">
      <formula>I25&gt;59</formula>
    </cfRule>
  </conditionalFormatting>
  <conditionalFormatting sqref="I25:K25">
    <cfRule type="expression" dxfId="530" priority="104">
      <formula>I25&lt;1</formula>
    </cfRule>
  </conditionalFormatting>
  <conditionalFormatting sqref="I26:K27">
    <cfRule type="expression" dxfId="529" priority="102">
      <formula>I26&lt;51</formula>
    </cfRule>
    <cfRule type="expression" dxfId="528" priority="103">
      <formula>I26&gt;59</formula>
    </cfRule>
  </conditionalFormatting>
  <conditionalFormatting sqref="I26:K27">
    <cfRule type="expression" dxfId="527" priority="101">
      <formula>I26&lt;1</formula>
    </cfRule>
  </conditionalFormatting>
  <conditionalFormatting sqref="I28:K28">
    <cfRule type="expression" dxfId="526" priority="99">
      <formula>I28&lt;30</formula>
    </cfRule>
    <cfRule type="expression" dxfId="525" priority="100">
      <formula>I28&gt;40</formula>
    </cfRule>
  </conditionalFormatting>
  <conditionalFormatting sqref="I28:K28">
    <cfRule type="expression" dxfId="524" priority="98">
      <formula>I28&lt;1</formula>
    </cfRule>
  </conditionalFormatting>
  <conditionalFormatting sqref="I29:K29">
    <cfRule type="expression" dxfId="523" priority="96">
      <formula>I29&lt;26</formula>
    </cfRule>
    <cfRule type="expression" dxfId="522" priority="97">
      <formula>I29&gt;32</formula>
    </cfRule>
  </conditionalFormatting>
  <conditionalFormatting sqref="I29:K29">
    <cfRule type="expression" dxfId="521" priority="95">
      <formula>I29&lt;1</formula>
    </cfRule>
  </conditionalFormatting>
  <conditionalFormatting sqref="I30:K30">
    <cfRule type="expression" dxfId="520" priority="93">
      <formula>I30&lt;26</formula>
    </cfRule>
    <cfRule type="expression" dxfId="519" priority="94">
      <formula>I30&gt;32</formula>
    </cfRule>
  </conditionalFormatting>
  <conditionalFormatting sqref="I30:K30">
    <cfRule type="expression" dxfId="518" priority="92">
      <formula>I30&lt;1</formula>
    </cfRule>
  </conditionalFormatting>
  <conditionalFormatting sqref="I25:K25">
    <cfRule type="expression" dxfId="517" priority="90">
      <formula>I25&lt;51</formula>
    </cfRule>
    <cfRule type="expression" dxfId="516" priority="91">
      <formula>I25&gt;59</formula>
    </cfRule>
  </conditionalFormatting>
  <conditionalFormatting sqref="I25:K25">
    <cfRule type="expression" dxfId="515" priority="89">
      <formula>I25&lt;1</formula>
    </cfRule>
  </conditionalFormatting>
  <conditionalFormatting sqref="I26:K27">
    <cfRule type="expression" dxfId="514" priority="87">
      <formula>I26&lt;51</formula>
    </cfRule>
    <cfRule type="expression" dxfId="513" priority="88">
      <formula>I26&gt;59</formula>
    </cfRule>
  </conditionalFormatting>
  <conditionalFormatting sqref="I26:K27">
    <cfRule type="expression" dxfId="512" priority="86">
      <formula>I26&lt;1</formula>
    </cfRule>
  </conditionalFormatting>
  <conditionalFormatting sqref="I28:K28">
    <cfRule type="expression" dxfId="511" priority="84">
      <formula>I28&lt;30</formula>
    </cfRule>
    <cfRule type="expression" dxfId="510" priority="85">
      <formula>I28&gt;40</formula>
    </cfRule>
  </conditionalFormatting>
  <conditionalFormatting sqref="I28:K28">
    <cfRule type="expression" dxfId="509" priority="83">
      <formula>I28&lt;1</formula>
    </cfRule>
  </conditionalFormatting>
  <conditionalFormatting sqref="I29:K29">
    <cfRule type="expression" dxfId="508" priority="81">
      <formula>I29&lt;26</formula>
    </cfRule>
    <cfRule type="expression" dxfId="507" priority="82">
      <formula>I29&gt;32</formula>
    </cfRule>
  </conditionalFormatting>
  <conditionalFormatting sqref="I29:K29">
    <cfRule type="expression" dxfId="506" priority="80">
      <formula>I29&lt;1</formula>
    </cfRule>
  </conditionalFormatting>
  <conditionalFormatting sqref="I30:K30">
    <cfRule type="expression" dxfId="505" priority="78">
      <formula>I30&lt;26</formula>
    </cfRule>
    <cfRule type="expression" dxfId="504" priority="79">
      <formula>I30&gt;32</formula>
    </cfRule>
  </conditionalFormatting>
  <conditionalFormatting sqref="I30:K30">
    <cfRule type="expression" dxfId="503" priority="77">
      <formula>I30&lt;1</formula>
    </cfRule>
  </conditionalFormatting>
  <conditionalFormatting sqref="I31">
    <cfRule type="expression" dxfId="502" priority="75">
      <formula>I31&lt;170</formula>
    </cfRule>
    <cfRule type="expression" dxfId="501" priority="76">
      <formula>I31&gt;220</formula>
    </cfRule>
  </conditionalFormatting>
  <conditionalFormatting sqref="I31">
    <cfRule type="expression" dxfId="500" priority="74">
      <formula>I31&lt;1</formula>
    </cfRule>
  </conditionalFormatting>
  <conditionalFormatting sqref="M25:O25">
    <cfRule type="expression" dxfId="499" priority="72">
      <formula>M25&lt;51</formula>
    </cfRule>
    <cfRule type="expression" dxfId="498" priority="73">
      <formula>M25&gt;59</formula>
    </cfRule>
  </conditionalFormatting>
  <conditionalFormatting sqref="M25:O25">
    <cfRule type="expression" dxfId="497" priority="71">
      <formula>M25&lt;1</formula>
    </cfRule>
  </conditionalFormatting>
  <conditionalFormatting sqref="M26:O27">
    <cfRule type="expression" dxfId="496" priority="69">
      <formula>M26&lt;51</formula>
    </cfRule>
    <cfRule type="expression" dxfId="495" priority="70">
      <formula>M26&gt;59</formula>
    </cfRule>
  </conditionalFormatting>
  <conditionalFormatting sqref="M26:O27">
    <cfRule type="expression" dxfId="494" priority="68">
      <formula>M26&lt;1</formula>
    </cfRule>
  </conditionalFormatting>
  <conditionalFormatting sqref="M28:O28">
    <cfRule type="expression" dxfId="493" priority="66">
      <formula>M28&lt;30</formula>
    </cfRule>
    <cfRule type="expression" dxfId="492" priority="67">
      <formula>M28&gt;40</formula>
    </cfRule>
  </conditionalFormatting>
  <conditionalFormatting sqref="M28:O28">
    <cfRule type="expression" dxfId="491" priority="65">
      <formula>M28&lt;1</formula>
    </cfRule>
  </conditionalFormatting>
  <conditionalFormatting sqref="M29:O29">
    <cfRule type="expression" dxfId="490" priority="63">
      <formula>M29&lt;26</formula>
    </cfRule>
    <cfRule type="expression" dxfId="489" priority="64">
      <formula>M29&gt;32</formula>
    </cfRule>
  </conditionalFormatting>
  <conditionalFormatting sqref="M29:O29">
    <cfRule type="expression" dxfId="488" priority="62">
      <formula>M29&lt;1</formula>
    </cfRule>
  </conditionalFormatting>
  <conditionalFormatting sqref="M30:O30">
    <cfRule type="expression" dxfId="487" priority="60">
      <formula>M30&lt;26</formula>
    </cfRule>
    <cfRule type="expression" dxfId="486" priority="61">
      <formula>M30&gt;32</formula>
    </cfRule>
  </conditionalFormatting>
  <conditionalFormatting sqref="M30:O30">
    <cfRule type="expression" dxfId="485" priority="59">
      <formula>M30&lt;1</formula>
    </cfRule>
  </conditionalFormatting>
  <conditionalFormatting sqref="M25:O25">
    <cfRule type="expression" dxfId="484" priority="57">
      <formula>M25&lt;51</formula>
    </cfRule>
    <cfRule type="expression" dxfId="483" priority="58">
      <formula>M25&gt;59</formula>
    </cfRule>
  </conditionalFormatting>
  <conditionalFormatting sqref="M25:O25">
    <cfRule type="expression" dxfId="482" priority="56">
      <formula>M25&lt;1</formula>
    </cfRule>
  </conditionalFormatting>
  <conditionalFormatting sqref="M26:O27">
    <cfRule type="expression" dxfId="481" priority="54">
      <formula>M26&lt;51</formula>
    </cfRule>
    <cfRule type="expression" dxfId="480" priority="55">
      <formula>M26&gt;59</formula>
    </cfRule>
  </conditionalFormatting>
  <conditionalFormatting sqref="M26:O27">
    <cfRule type="expression" dxfId="479" priority="53">
      <formula>M26&lt;1</formula>
    </cfRule>
  </conditionalFormatting>
  <conditionalFormatting sqref="M28:O28">
    <cfRule type="expression" dxfId="478" priority="51">
      <formula>M28&lt;30</formula>
    </cfRule>
    <cfRule type="expression" dxfId="477" priority="52">
      <formula>M28&gt;40</formula>
    </cfRule>
  </conditionalFormatting>
  <conditionalFormatting sqref="M28:O28">
    <cfRule type="expression" dxfId="476" priority="50">
      <formula>M28&lt;1</formula>
    </cfRule>
  </conditionalFormatting>
  <conditionalFormatting sqref="M29:O29">
    <cfRule type="expression" dxfId="475" priority="48">
      <formula>M29&lt;26</formula>
    </cfRule>
    <cfRule type="expression" dxfId="474" priority="49">
      <formula>M29&gt;32</formula>
    </cfRule>
  </conditionalFormatting>
  <conditionalFormatting sqref="M29:O29">
    <cfRule type="expression" dxfId="473" priority="47">
      <formula>M29&lt;1</formula>
    </cfRule>
  </conditionalFormatting>
  <conditionalFormatting sqref="M30:O30">
    <cfRule type="expression" dxfId="472" priority="45">
      <formula>M30&lt;26</formula>
    </cfRule>
    <cfRule type="expression" dxfId="471" priority="46">
      <formula>M30&gt;32</formula>
    </cfRule>
  </conditionalFormatting>
  <conditionalFormatting sqref="M30:O30">
    <cfRule type="expression" dxfId="470" priority="44">
      <formula>M30&lt;1</formula>
    </cfRule>
  </conditionalFormatting>
  <conditionalFormatting sqref="M31">
    <cfRule type="expression" dxfId="469" priority="42">
      <formula>M31&lt;170</formula>
    </cfRule>
    <cfRule type="expression" dxfId="468" priority="43">
      <formula>M31&gt;220</formula>
    </cfRule>
  </conditionalFormatting>
  <conditionalFormatting sqref="M31">
    <cfRule type="expression" dxfId="467" priority="41">
      <formula>M31&lt;1</formula>
    </cfRule>
  </conditionalFormatting>
  <conditionalFormatting sqref="H7">
    <cfRule type="expression" dxfId="466" priority="7">
      <formula>H7&lt;10</formula>
    </cfRule>
    <cfRule type="expression" dxfId="465" priority="8">
      <formula>H7&gt;20</formula>
    </cfRule>
  </conditionalFormatting>
  <conditionalFormatting sqref="L7">
    <cfRule type="expression" dxfId="464" priority="5">
      <formula>L7&lt;10</formula>
    </cfRule>
    <cfRule type="expression" dxfId="463" priority="6">
      <formula>L7&gt;20</formula>
    </cfRule>
  </conditionalFormatting>
  <conditionalFormatting sqref="H8:H9">
    <cfRule type="expression" dxfId="462" priority="4" stopIfTrue="1">
      <formula>H8&lt;40</formula>
    </cfRule>
  </conditionalFormatting>
  <conditionalFormatting sqref="H8:H9">
    <cfRule type="expression" dxfId="461" priority="3" stopIfTrue="1">
      <formula>H8&gt;60</formula>
    </cfRule>
  </conditionalFormatting>
  <conditionalFormatting sqref="L8:L9">
    <cfRule type="expression" dxfId="460" priority="2" stopIfTrue="1">
      <formula>L8&lt;40</formula>
    </cfRule>
  </conditionalFormatting>
  <conditionalFormatting sqref="L8:L9">
    <cfRule type="expression" dxfId="459" priority="1" stopIfTrue="1">
      <formula>L8&gt;60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8">
    <tabColor rgb="FFFF0000"/>
  </sheetPr>
  <dimension ref="A1:S46"/>
  <sheetViews>
    <sheetView topLeftCell="A19" zoomScale="70" zoomScaleNormal="70" workbookViewId="0">
      <selection activeCell="E3" sqref="E3:F3"/>
    </sheetView>
  </sheetViews>
  <sheetFormatPr defaultRowHeight="13.5"/>
  <cols>
    <col min="1" max="1" width="3.875" style="535" customWidth="1"/>
    <col min="2" max="2" width="20.5" style="585" customWidth="1"/>
    <col min="3" max="3" width="5" style="585" customWidth="1"/>
    <col min="4" max="4" width="7.625" style="535" customWidth="1"/>
    <col min="5" max="5" width="13.625" style="535" customWidth="1"/>
    <col min="6" max="6" width="8.75" style="535" customWidth="1"/>
    <col min="7" max="7" width="2.375" style="535" customWidth="1"/>
    <col min="8" max="8" width="7.25" style="586" customWidth="1"/>
    <col min="9" max="9" width="3.125" style="586" customWidth="1"/>
    <col min="10" max="10" width="8.125" style="586" customWidth="1"/>
    <col min="11" max="11" width="2.5" style="586" customWidth="1"/>
    <col min="12" max="12" width="6.5" style="586" customWidth="1"/>
    <col min="13" max="13" width="3.75" style="586" customWidth="1"/>
    <col min="14" max="14" width="8.125" style="586" customWidth="1"/>
    <col min="15" max="15" width="2.5" style="586" customWidth="1"/>
    <col min="16" max="16" width="6.5" style="586" customWidth="1"/>
    <col min="17" max="17" width="3.75" style="586" customWidth="1"/>
    <col min="18" max="18" width="7.375" style="534" customWidth="1"/>
    <col min="19" max="19" width="5.75" style="534" customWidth="1"/>
    <col min="20" max="16384" width="9" style="535"/>
  </cols>
  <sheetData>
    <row r="1" spans="1:19" ht="33" customHeight="1">
      <c r="A1" s="2546" t="s">
        <v>625</v>
      </c>
      <c r="B1" s="2546"/>
      <c r="C1" s="2546"/>
      <c r="D1" s="2546"/>
      <c r="E1" s="2546"/>
      <c r="F1" s="2546"/>
      <c r="G1" s="2546"/>
      <c r="H1" s="2546"/>
      <c r="I1" s="2546"/>
      <c r="J1" s="2546"/>
      <c r="K1" s="2546"/>
      <c r="L1" s="2546"/>
      <c r="M1" s="2546"/>
      <c r="N1" s="2546"/>
      <c r="O1" s="2546"/>
      <c r="P1" s="671"/>
      <c r="Q1" s="671"/>
    </row>
    <row r="2" spans="1:19" ht="39.75" customHeight="1">
      <c r="A2" s="2543" t="s">
        <v>972</v>
      </c>
      <c r="B2" s="2543"/>
      <c r="C2" s="2543"/>
      <c r="D2" s="2543"/>
      <c r="E2" s="2543"/>
      <c r="F2" s="2543"/>
      <c r="G2" s="2543"/>
      <c r="H2" s="2543"/>
      <c r="I2" s="2543"/>
      <c r="J2" s="2543"/>
      <c r="K2" s="2543"/>
      <c r="L2" s="2543"/>
      <c r="M2" s="2543"/>
      <c r="N2" s="2543"/>
      <c r="O2" s="2669"/>
      <c r="P2" s="2547" t="s">
        <v>626</v>
      </c>
      <c r="Q2" s="2548"/>
      <c r="R2" s="2549" t="s">
        <v>627</v>
      </c>
      <c r="S2" s="2550"/>
    </row>
    <row r="3" spans="1:19" ht="22.5" customHeight="1">
      <c r="A3" s="537"/>
      <c r="B3" s="538" t="s">
        <v>767</v>
      </c>
      <c r="C3" s="538"/>
      <c r="D3" s="539"/>
      <c r="E3" s="2670" t="str">
        <f>'1.xi den'!$G$3</f>
        <v>2023/03/21</v>
      </c>
      <c r="F3" s="2670"/>
      <c r="G3" s="537"/>
      <c r="H3" s="537"/>
      <c r="I3" s="537"/>
      <c r="J3" s="541"/>
      <c r="K3" s="541"/>
      <c r="L3" s="541"/>
      <c r="M3" s="541"/>
      <c r="N3" s="541"/>
      <c r="O3" s="541"/>
      <c r="P3" s="2551" t="str">
        <f>'1.xi den'!$N$3</f>
        <v>Trang</v>
      </c>
      <c r="Q3" s="2552"/>
      <c r="R3" s="2553" t="s">
        <v>629</v>
      </c>
      <c r="S3" s="2554"/>
    </row>
    <row r="4" spans="1:19" s="543" customFormat="1" ht="33" customHeight="1">
      <c r="A4" s="2545" t="s">
        <v>630</v>
      </c>
      <c r="B4" s="2282" t="s">
        <v>681</v>
      </c>
      <c r="C4" s="2665"/>
      <c r="D4" s="2561" t="s">
        <v>682</v>
      </c>
      <c r="E4" s="2526" t="s">
        <v>632</v>
      </c>
      <c r="F4" s="2508" t="s">
        <v>633</v>
      </c>
      <c r="G4" s="2509"/>
      <c r="H4" s="2509"/>
      <c r="I4" s="2509"/>
      <c r="J4" s="2509"/>
      <c r="K4" s="2509"/>
      <c r="L4" s="2509"/>
      <c r="M4" s="2509"/>
      <c r="N4" s="2509"/>
      <c r="O4" s="2509"/>
      <c r="P4" s="2509"/>
      <c r="Q4" s="2510"/>
      <c r="R4" s="2532" t="s">
        <v>634</v>
      </c>
      <c r="S4" s="2532"/>
    </row>
    <row r="5" spans="1:19" s="543" customFormat="1" ht="15.75" customHeight="1">
      <c r="A5" s="2521"/>
      <c r="B5" s="2383"/>
      <c r="C5" s="2666"/>
      <c r="D5" s="2561"/>
      <c r="E5" s="2526"/>
      <c r="F5" s="2533">
        <v>0.33333333333333331</v>
      </c>
      <c r="G5" s="2524"/>
      <c r="H5" s="2524"/>
      <c r="I5" s="2524"/>
      <c r="J5" s="2534">
        <v>0.52083333333333337</v>
      </c>
      <c r="K5" s="2535"/>
      <c r="L5" s="2535"/>
      <c r="M5" s="2536"/>
      <c r="N5" s="2534">
        <v>0.66666666666666663</v>
      </c>
      <c r="O5" s="2535"/>
      <c r="P5" s="2535"/>
      <c r="Q5" s="2536"/>
      <c r="R5" s="2532"/>
      <c r="S5" s="2532"/>
    </row>
    <row r="6" spans="1:19" s="543" customFormat="1" ht="44.25" customHeight="1">
      <c r="A6" s="2522"/>
      <c r="B6" s="2667"/>
      <c r="C6" s="2668"/>
      <c r="D6" s="2567"/>
      <c r="E6" s="2527"/>
      <c r="F6" s="545" t="s">
        <v>635</v>
      </c>
      <c r="G6" s="2537" t="s">
        <v>636</v>
      </c>
      <c r="H6" s="2538"/>
      <c r="I6" s="2539"/>
      <c r="J6" s="545" t="s">
        <v>635</v>
      </c>
      <c r="K6" s="2528" t="s">
        <v>636</v>
      </c>
      <c r="L6" s="2529"/>
      <c r="M6" s="2530"/>
      <c r="N6" s="545" t="s">
        <v>635</v>
      </c>
      <c r="O6" s="2528" t="s">
        <v>636</v>
      </c>
      <c r="P6" s="2529"/>
      <c r="Q6" s="2530"/>
      <c r="R6" s="2540" t="s">
        <v>637</v>
      </c>
      <c r="S6" s="2540"/>
    </row>
    <row r="7" spans="1:19" ht="29.25" customHeight="1">
      <c r="A7" s="544">
        <v>1</v>
      </c>
      <c r="B7" s="2594" t="s">
        <v>433</v>
      </c>
      <c r="C7" s="2596"/>
      <c r="D7" s="596" t="s">
        <v>694</v>
      </c>
      <c r="E7" s="546" t="s">
        <v>640</v>
      </c>
      <c r="F7" s="672">
        <f>'R.GUI MAIL'!H6</f>
        <v>0</v>
      </c>
      <c r="G7" s="550" t="s">
        <v>641</v>
      </c>
      <c r="H7" s="551">
        <f>'R.GUI MAIL'!K6</f>
        <v>0</v>
      </c>
      <c r="I7" s="544" t="s">
        <v>10</v>
      </c>
      <c r="J7" s="672">
        <f>'R.GUI MAIL'!N6</f>
        <v>0</v>
      </c>
      <c r="K7" s="550" t="s">
        <v>641</v>
      </c>
      <c r="L7" s="551">
        <f>'R.GUI MAIL'!Q6</f>
        <v>0</v>
      </c>
      <c r="M7" s="544" t="s">
        <v>10</v>
      </c>
      <c r="N7" s="672">
        <f>'R.GUI MAIL'!T6</f>
        <v>0</v>
      </c>
      <c r="O7" s="550" t="s">
        <v>641</v>
      </c>
      <c r="P7" s="551">
        <f>'R.GUI MAIL'!W6</f>
        <v>0</v>
      </c>
      <c r="Q7" s="544" t="s">
        <v>10</v>
      </c>
      <c r="R7" s="2515" t="s">
        <v>642</v>
      </c>
      <c r="S7" s="2515"/>
    </row>
    <row r="8" spans="1:19" ht="26.25" hidden="1" customHeight="1">
      <c r="A8" s="544"/>
      <c r="B8" s="2594" t="s">
        <v>434</v>
      </c>
      <c r="C8" s="2596"/>
      <c r="D8" s="596" t="s">
        <v>694</v>
      </c>
      <c r="E8" s="546" t="s">
        <v>640</v>
      </c>
      <c r="F8" s="553">
        <f>'R.GUI MAIL'!H7</f>
        <v>0</v>
      </c>
      <c r="G8" s="554" t="s">
        <v>641</v>
      </c>
      <c r="H8" s="555">
        <f>'R.GUI MAIL'!K7</f>
        <v>292.1875</v>
      </c>
      <c r="I8" s="235" t="s">
        <v>10</v>
      </c>
      <c r="J8" s="553">
        <f>'R.GUI MAIL'!N7</f>
        <v>0</v>
      </c>
      <c r="K8" s="554" t="s">
        <v>641</v>
      </c>
      <c r="L8" s="555">
        <f>'R.GUI MAIL'!Q7</f>
        <v>292.1875</v>
      </c>
      <c r="M8" s="235" t="s">
        <v>10</v>
      </c>
      <c r="N8" s="553">
        <f>'R.GUI MAIL'!T7</f>
        <v>0</v>
      </c>
      <c r="O8" s="554" t="s">
        <v>641</v>
      </c>
      <c r="P8" s="555">
        <f>'R.GUI MAIL'!W7</f>
        <v>292.1875</v>
      </c>
      <c r="Q8" s="235" t="s">
        <v>10</v>
      </c>
      <c r="R8" s="2515" t="s">
        <v>642</v>
      </c>
      <c r="S8" s="2515"/>
    </row>
    <row r="9" spans="1:19" ht="29.25" customHeight="1">
      <c r="A9" s="544">
        <v>2</v>
      </c>
      <c r="B9" s="2659" t="s">
        <v>725</v>
      </c>
      <c r="C9" s="2660">
        <f>R.HN!B4</f>
        <v>3</v>
      </c>
      <c r="D9" s="2559" t="s">
        <v>466</v>
      </c>
      <c r="E9" s="546" t="s">
        <v>768</v>
      </c>
      <c r="F9" s="672">
        <f>'R.GUI MAIL'!H8</f>
        <v>0</v>
      </c>
      <c r="G9" s="550" t="s">
        <v>646</v>
      </c>
      <c r="H9" s="551">
        <f>'R.GUI MAIL'!K8</f>
        <v>0</v>
      </c>
      <c r="I9" s="544" t="s">
        <v>647</v>
      </c>
      <c r="J9" s="672">
        <f>'R.GUI MAIL'!N8</f>
        <v>0</v>
      </c>
      <c r="K9" s="550" t="s">
        <v>646</v>
      </c>
      <c r="L9" s="551">
        <f>'R.GUI MAIL'!Q8</f>
        <v>0</v>
      </c>
      <c r="M9" s="544" t="s">
        <v>647</v>
      </c>
      <c r="N9" s="672">
        <f>'R.GUI MAIL'!T8</f>
        <v>0</v>
      </c>
      <c r="O9" s="550" t="s">
        <v>646</v>
      </c>
      <c r="P9" s="551">
        <f>'R.GUI MAIL'!W8</f>
        <v>0</v>
      </c>
      <c r="Q9" s="544" t="s">
        <v>647</v>
      </c>
      <c r="R9" s="2515" t="s">
        <v>648</v>
      </c>
      <c r="S9" s="2515"/>
    </row>
    <row r="10" spans="1:19" ht="29.25" customHeight="1">
      <c r="A10" s="544">
        <v>3</v>
      </c>
      <c r="B10" s="2663"/>
      <c r="C10" s="2664"/>
      <c r="D10" s="2559"/>
      <c r="E10" s="546" t="s">
        <v>769</v>
      </c>
      <c r="F10" s="672">
        <f>'R.GUI MAIL'!H9</f>
        <v>0</v>
      </c>
      <c r="G10" s="550" t="s">
        <v>646</v>
      </c>
      <c r="H10" s="551">
        <f>'R.GUI MAIL'!K9</f>
        <v>0</v>
      </c>
      <c r="I10" s="544" t="s">
        <v>647</v>
      </c>
      <c r="J10" s="672">
        <f>'R.GUI MAIL'!N9</f>
        <v>0</v>
      </c>
      <c r="K10" s="550" t="s">
        <v>646</v>
      </c>
      <c r="L10" s="551">
        <f>'R.GUI MAIL'!Q9</f>
        <v>0</v>
      </c>
      <c r="M10" s="544" t="s">
        <v>647</v>
      </c>
      <c r="N10" s="672">
        <f>'R.GUI MAIL'!T9</f>
        <v>0</v>
      </c>
      <c r="O10" s="550" t="s">
        <v>646</v>
      </c>
      <c r="P10" s="551">
        <f>'R.GUI MAIL'!W9</f>
        <v>0</v>
      </c>
      <c r="Q10" s="544" t="s">
        <v>647</v>
      </c>
      <c r="R10" s="2515" t="s">
        <v>650</v>
      </c>
      <c r="S10" s="2515"/>
    </row>
    <row r="11" spans="1:19" ht="29.25" customHeight="1">
      <c r="A11" s="544">
        <v>4</v>
      </c>
      <c r="B11" s="2661"/>
      <c r="C11" s="2662"/>
      <c r="D11" s="2559"/>
      <c r="E11" s="546" t="s">
        <v>651</v>
      </c>
      <c r="F11" s="673">
        <f>'R.GUI MAIL'!H10</f>
        <v>0</v>
      </c>
      <c r="G11" s="550" t="s">
        <v>646</v>
      </c>
      <c r="H11" s="551">
        <f>'R.GUI MAIL'!K10</f>
        <v>0</v>
      </c>
      <c r="I11" s="544" t="s">
        <v>647</v>
      </c>
      <c r="J11" s="673">
        <f>'R.GUI MAIL'!N10</f>
        <v>0</v>
      </c>
      <c r="K11" s="550" t="s">
        <v>646</v>
      </c>
      <c r="L11" s="551">
        <f>'R.GUI MAIL'!Q10</f>
        <v>0</v>
      </c>
      <c r="M11" s="544" t="s">
        <v>647</v>
      </c>
      <c r="N11" s="673">
        <f>'R.GUI MAIL'!T10</f>
        <v>0</v>
      </c>
      <c r="O11" s="550" t="s">
        <v>646</v>
      </c>
      <c r="P11" s="551">
        <f>'R.GUI MAIL'!W10</f>
        <v>0</v>
      </c>
      <c r="Q11" s="544" t="s">
        <v>647</v>
      </c>
      <c r="R11" s="2515"/>
      <c r="S11" s="2515"/>
    </row>
    <row r="12" spans="1:19" ht="29.25" customHeight="1">
      <c r="A12" s="544">
        <v>5</v>
      </c>
      <c r="B12" s="2659" t="s">
        <v>770</v>
      </c>
      <c r="C12" s="2660">
        <f>R.HN!B7</f>
        <v>4</v>
      </c>
      <c r="D12" s="2559" t="s">
        <v>466</v>
      </c>
      <c r="E12" s="546" t="s">
        <v>768</v>
      </c>
      <c r="F12" s="672">
        <f>'R.GUI MAIL'!H11</f>
        <v>0</v>
      </c>
      <c r="G12" s="550" t="s">
        <v>646</v>
      </c>
      <c r="H12" s="551">
        <f>'R.GUI MAIL'!K11</f>
        <v>0</v>
      </c>
      <c r="I12" s="544"/>
      <c r="J12" s="672">
        <f>'R.GUI MAIL'!N11</f>
        <v>0</v>
      </c>
      <c r="K12" s="550" t="s">
        <v>646</v>
      </c>
      <c r="L12" s="551">
        <f>'R.GUI MAIL'!Q11</f>
        <v>0</v>
      </c>
      <c r="M12" s="544" t="s">
        <v>647</v>
      </c>
      <c r="N12" s="672">
        <f>'R.GUI MAIL'!T11</f>
        <v>0</v>
      </c>
      <c r="O12" s="550" t="s">
        <v>646</v>
      </c>
      <c r="P12" s="551">
        <f>'R.GUI MAIL'!W11</f>
        <v>0</v>
      </c>
      <c r="Q12" s="544" t="s">
        <v>647</v>
      </c>
      <c r="R12" s="2515" t="s">
        <v>648</v>
      </c>
      <c r="S12" s="2515"/>
    </row>
    <row r="13" spans="1:19" ht="29.25" customHeight="1">
      <c r="A13" s="544">
        <v>6</v>
      </c>
      <c r="B13" s="2663"/>
      <c r="C13" s="2664"/>
      <c r="D13" s="2559"/>
      <c r="E13" s="546" t="s">
        <v>769</v>
      </c>
      <c r="F13" s="672">
        <f>'R.GUI MAIL'!H12</f>
        <v>0</v>
      </c>
      <c r="G13" s="550" t="s">
        <v>646</v>
      </c>
      <c r="H13" s="551">
        <f>'R.GUI MAIL'!K12</f>
        <v>0</v>
      </c>
      <c r="I13" s="544"/>
      <c r="J13" s="672">
        <f>'R.GUI MAIL'!N12</f>
        <v>0</v>
      </c>
      <c r="K13" s="550" t="s">
        <v>646</v>
      </c>
      <c r="L13" s="551">
        <f>'R.GUI MAIL'!Q12</f>
        <v>0</v>
      </c>
      <c r="M13" s="544" t="s">
        <v>647</v>
      </c>
      <c r="N13" s="672">
        <f>'R.GUI MAIL'!T12</f>
        <v>0</v>
      </c>
      <c r="O13" s="550" t="s">
        <v>646</v>
      </c>
      <c r="P13" s="551">
        <f>'R.GUI MAIL'!W12</f>
        <v>0</v>
      </c>
      <c r="Q13" s="544" t="s">
        <v>647</v>
      </c>
      <c r="R13" s="2515" t="s">
        <v>650</v>
      </c>
      <c r="S13" s="2515"/>
    </row>
    <row r="14" spans="1:19" ht="29.25" customHeight="1">
      <c r="A14" s="544">
        <v>7</v>
      </c>
      <c r="B14" s="2661"/>
      <c r="C14" s="2662"/>
      <c r="D14" s="2559"/>
      <c r="E14" s="546" t="s">
        <v>651</v>
      </c>
      <c r="F14" s="673">
        <f>'R.GUI MAIL'!H13</f>
        <v>0</v>
      </c>
      <c r="G14" s="550" t="s">
        <v>8</v>
      </c>
      <c r="H14" s="551">
        <f>'R.GUI MAIL'!K13</f>
        <v>0</v>
      </c>
      <c r="I14" s="544"/>
      <c r="J14" s="673">
        <f>'R.GUI MAIL'!N13</f>
        <v>0</v>
      </c>
      <c r="K14" s="550" t="s">
        <v>646</v>
      </c>
      <c r="L14" s="551">
        <f>'R.GUI MAIL'!Q13</f>
        <v>0</v>
      </c>
      <c r="M14" s="544" t="s">
        <v>647</v>
      </c>
      <c r="N14" s="673">
        <f>'R.GUI MAIL'!T13</f>
        <v>0</v>
      </c>
      <c r="O14" s="550" t="s">
        <v>646</v>
      </c>
      <c r="P14" s="551">
        <f>'R.GUI MAIL'!W13</f>
        <v>0</v>
      </c>
      <c r="Q14" s="544" t="s">
        <v>647</v>
      </c>
      <c r="R14" s="2515"/>
      <c r="S14" s="2515"/>
    </row>
    <row r="15" spans="1:19" s="564" customFormat="1" ht="29.25" customHeight="1">
      <c r="A15" s="544">
        <v>8</v>
      </c>
      <c r="B15" s="2659" t="s">
        <v>701</v>
      </c>
      <c r="C15" s="2660"/>
      <c r="D15" s="593" t="s">
        <v>466</v>
      </c>
      <c r="E15" s="548" t="s">
        <v>476</v>
      </c>
      <c r="F15" s="672">
        <f>'R.GUI MAIL'!H14</f>
        <v>0</v>
      </c>
      <c r="G15" s="550" t="s">
        <v>654</v>
      </c>
      <c r="H15" s="562">
        <f>'R.GUI MAIL'!K14</f>
        <v>0</v>
      </c>
      <c r="I15" s="563" t="s">
        <v>655</v>
      </c>
      <c r="J15" s="672">
        <f>'R.GUI MAIL'!N14</f>
        <v>0</v>
      </c>
      <c r="K15" s="550" t="s">
        <v>654</v>
      </c>
      <c r="L15" s="562">
        <f>'R.GUI MAIL'!Q14</f>
        <v>0</v>
      </c>
      <c r="M15" s="563" t="s">
        <v>655</v>
      </c>
      <c r="N15" s="672">
        <f>'R.GUI MAIL'!T14</f>
        <v>0</v>
      </c>
      <c r="O15" s="550" t="s">
        <v>654</v>
      </c>
      <c r="P15" s="562">
        <f>'R.GUI MAIL'!W14</f>
        <v>0</v>
      </c>
      <c r="Q15" s="563" t="s">
        <v>655</v>
      </c>
      <c r="R15" s="2515"/>
      <c r="S15" s="2515"/>
    </row>
    <row r="16" spans="1:19" s="564" customFormat="1" ht="29.25" customHeight="1">
      <c r="A16" s="544">
        <v>9</v>
      </c>
      <c r="B16" s="2661"/>
      <c r="C16" s="2662"/>
      <c r="D16" s="604" t="s">
        <v>723</v>
      </c>
      <c r="E16" s="546" t="s">
        <v>657</v>
      </c>
      <c r="F16" s="672">
        <f>'R.GUI MAIL'!H15</f>
        <v>0</v>
      </c>
      <c r="G16" s="550" t="s">
        <v>654</v>
      </c>
      <c r="H16" s="551"/>
      <c r="I16" s="563"/>
      <c r="J16" s="672">
        <f>'R.GUI MAIL'!N15</f>
        <v>0</v>
      </c>
      <c r="K16" s="550" t="s">
        <v>654</v>
      </c>
      <c r="L16" s="551"/>
      <c r="M16" s="563"/>
      <c r="N16" s="672">
        <f>'R.GUI MAIL'!T15</f>
        <v>0</v>
      </c>
      <c r="O16" s="550" t="s">
        <v>654</v>
      </c>
      <c r="P16" s="551"/>
      <c r="Q16" s="563"/>
      <c r="R16" s="2515"/>
      <c r="S16" s="2515"/>
    </row>
    <row r="17" spans="1:19" s="564" customFormat="1" ht="25.5" customHeight="1">
      <c r="A17" s="2516" t="s">
        <v>658</v>
      </c>
      <c r="B17" s="2516"/>
      <c r="C17" s="2516"/>
      <c r="D17" s="2516"/>
      <c r="E17" s="2516"/>
      <c r="F17" s="2516"/>
      <c r="G17" s="2516"/>
      <c r="H17" s="2516"/>
      <c r="I17" s="2516"/>
      <c r="J17" s="2516"/>
      <c r="K17" s="2516"/>
      <c r="L17" s="2516"/>
      <c r="M17" s="2516"/>
      <c r="N17" s="2516"/>
      <c r="O17" s="2516"/>
      <c r="P17" s="2516"/>
      <c r="Q17" s="2516"/>
      <c r="R17" s="2516"/>
      <c r="S17" s="2516"/>
    </row>
    <row r="18" spans="1:19" s="564" customFormat="1" ht="40.5" customHeight="1">
      <c r="A18" s="544" t="s">
        <v>659</v>
      </c>
      <c r="B18" s="2594" t="s">
        <v>660</v>
      </c>
      <c r="C18" s="2596"/>
      <c r="D18" s="542" t="s">
        <v>661</v>
      </c>
      <c r="E18" s="542" t="s">
        <v>662</v>
      </c>
      <c r="F18" s="2516" t="s">
        <v>48</v>
      </c>
      <c r="G18" s="2516"/>
      <c r="H18" s="2516" t="s">
        <v>65</v>
      </c>
      <c r="I18" s="2516"/>
      <c r="J18" s="2516" t="s">
        <v>48</v>
      </c>
      <c r="K18" s="2516"/>
      <c r="L18" s="2516" t="s">
        <v>65</v>
      </c>
      <c r="M18" s="2516"/>
      <c r="N18" s="2516" t="s">
        <v>48</v>
      </c>
      <c r="O18" s="2516"/>
      <c r="P18" s="2516" t="s">
        <v>65</v>
      </c>
      <c r="Q18" s="2516"/>
      <c r="R18" s="2511" t="s">
        <v>634</v>
      </c>
      <c r="S18" s="2512"/>
    </row>
    <row r="19" spans="1:19" s="564" customFormat="1" ht="27" customHeight="1">
      <c r="A19" s="544">
        <v>1</v>
      </c>
      <c r="B19" s="2594" t="s">
        <v>480</v>
      </c>
      <c r="C19" s="2596"/>
      <c r="D19" s="568" t="s">
        <v>664</v>
      </c>
      <c r="E19" s="569" t="s">
        <v>665</v>
      </c>
      <c r="F19" s="2091">
        <f>'R.FILE GOC'!H18</f>
        <v>0</v>
      </c>
      <c r="G19" s="2092"/>
      <c r="H19" s="2091">
        <f>'R.FILE GOC'!K18</f>
        <v>0</v>
      </c>
      <c r="I19" s="2092"/>
      <c r="J19" s="2091">
        <f>'R.FILE GOC'!N18</f>
        <v>0</v>
      </c>
      <c r="K19" s="2092"/>
      <c r="L19" s="2091">
        <f>'R.FILE GOC'!Q18</f>
        <v>0</v>
      </c>
      <c r="M19" s="2092"/>
      <c r="N19" s="2091">
        <f>'R.GUI MAIL'!T18</f>
        <v>0</v>
      </c>
      <c r="O19" s="2092"/>
      <c r="P19" s="2091">
        <f>'R.FILE GOC'!W18</f>
        <v>0</v>
      </c>
      <c r="Q19" s="2092"/>
      <c r="R19" s="570"/>
      <c r="S19" s="570"/>
    </row>
    <row r="20" spans="1:19" s="564" customFormat="1" ht="27" customHeight="1">
      <c r="A20" s="544">
        <v>2</v>
      </c>
      <c r="B20" s="2594" t="s">
        <v>482</v>
      </c>
      <c r="C20" s="2596"/>
      <c r="D20" s="568" t="s">
        <v>664</v>
      </c>
      <c r="E20" s="569" t="s">
        <v>665</v>
      </c>
      <c r="F20" s="2091">
        <f>'R.FILE GOC'!H19</f>
        <v>0</v>
      </c>
      <c r="G20" s="2092"/>
      <c r="H20" s="2091">
        <f>'R.FILE GOC'!K19</f>
        <v>0</v>
      </c>
      <c r="I20" s="2092"/>
      <c r="J20" s="2091">
        <f>'R.FILE GOC'!N19</f>
        <v>0</v>
      </c>
      <c r="K20" s="2092"/>
      <c r="L20" s="2091">
        <f>'R.FILE GOC'!Q19</f>
        <v>0</v>
      </c>
      <c r="M20" s="2092"/>
      <c r="N20" s="2091">
        <f>'R.GUI MAIL'!T19</f>
        <v>0</v>
      </c>
      <c r="O20" s="2092"/>
      <c r="P20" s="2091">
        <f>'R.FILE GOC'!W19</f>
        <v>0</v>
      </c>
      <c r="Q20" s="2092"/>
      <c r="R20" s="571"/>
      <c r="S20" s="571"/>
    </row>
    <row r="21" spans="1:19" s="564" customFormat="1" ht="27" customHeight="1">
      <c r="A21" s="544">
        <v>3</v>
      </c>
      <c r="B21" s="2594" t="s">
        <v>475</v>
      </c>
      <c r="C21" s="2596"/>
      <c r="D21" s="568" t="s">
        <v>664</v>
      </c>
      <c r="E21" s="569" t="s">
        <v>666</v>
      </c>
      <c r="F21" s="2091">
        <f>'R.FILE GOC'!H20</f>
        <v>0</v>
      </c>
      <c r="G21" s="2092"/>
      <c r="H21" s="2091">
        <f>'R.FILE GOC'!K20</f>
        <v>0</v>
      </c>
      <c r="I21" s="2092"/>
      <c r="J21" s="2091">
        <f>'R.FILE GOC'!N20</f>
        <v>0</v>
      </c>
      <c r="K21" s="2092"/>
      <c r="L21" s="2091">
        <f>'R.FILE GOC'!Q20</f>
        <v>0</v>
      </c>
      <c r="M21" s="2092"/>
      <c r="N21" s="2091">
        <f>'R.GUI MAIL'!T20</f>
        <v>0</v>
      </c>
      <c r="O21" s="2092"/>
      <c r="P21" s="2091">
        <f>'R.FILE GOC'!W20</f>
        <v>0</v>
      </c>
      <c r="Q21" s="2092"/>
      <c r="R21" s="571"/>
      <c r="S21" s="571"/>
    </row>
    <row r="22" spans="1:19" s="564" customFormat="1" ht="27" customHeight="1">
      <c r="A22" s="572"/>
      <c r="B22" s="573"/>
      <c r="C22" s="573"/>
      <c r="D22" s="574"/>
      <c r="E22" s="575"/>
      <c r="F22" s="2542"/>
      <c r="G22" s="2542"/>
      <c r="H22" s="2542"/>
      <c r="I22" s="2542"/>
      <c r="J22" s="2542"/>
      <c r="K22" s="2542"/>
      <c r="L22" s="2542"/>
      <c r="M22" s="2542"/>
      <c r="N22" s="2542"/>
      <c r="O22" s="2542"/>
      <c r="P22" s="2542"/>
      <c r="Q22" s="2542"/>
      <c r="R22" s="576"/>
      <c r="S22" s="576"/>
    </row>
    <row r="23" spans="1:19" s="564" customFormat="1" ht="27.75" customHeight="1">
      <c r="A23" s="578"/>
      <c r="B23" s="579"/>
      <c r="C23" s="579"/>
      <c r="D23" s="580"/>
      <c r="E23" s="579"/>
      <c r="F23" s="579"/>
      <c r="G23" s="579"/>
      <c r="H23" s="579"/>
      <c r="I23" s="579"/>
      <c r="J23" s="579"/>
      <c r="K23" s="579"/>
      <c r="L23" s="579"/>
      <c r="M23" s="579"/>
      <c r="N23" s="579"/>
      <c r="O23" s="579"/>
      <c r="P23" s="579"/>
      <c r="Q23" s="579"/>
      <c r="R23" s="534"/>
      <c r="S23" s="534"/>
    </row>
    <row r="24" spans="1:19" ht="39" customHeight="1">
      <c r="A24" s="2543" t="s">
        <v>972</v>
      </c>
      <c r="B24" s="2543"/>
      <c r="C24" s="2543"/>
      <c r="D24" s="2543"/>
      <c r="E24" s="2543"/>
      <c r="F24" s="2543"/>
      <c r="G24" s="2543"/>
      <c r="H24" s="2543"/>
      <c r="I24" s="2543"/>
      <c r="J24" s="2543"/>
      <c r="K24" s="2543"/>
      <c r="L24" s="2543"/>
      <c r="M24" s="2543"/>
      <c r="N24" s="2543"/>
      <c r="O24" s="2543"/>
      <c r="P24" s="2543"/>
      <c r="Q24" s="2543"/>
      <c r="R24" s="2544"/>
      <c r="S24" s="2544"/>
    </row>
    <row r="25" spans="1:19" ht="23.25" customHeight="1">
      <c r="A25" s="538"/>
      <c r="B25" s="538" t="s">
        <v>667</v>
      </c>
      <c r="C25" s="538"/>
      <c r="D25" s="539"/>
      <c r="E25" s="540"/>
      <c r="F25" s="537"/>
      <c r="G25" s="537"/>
      <c r="H25" s="537"/>
      <c r="I25" s="537"/>
      <c r="J25" s="537"/>
      <c r="K25" s="537"/>
      <c r="L25" s="537"/>
      <c r="M25" s="537"/>
      <c r="N25" s="537"/>
      <c r="O25" s="537"/>
      <c r="P25" s="537"/>
      <c r="Q25" s="537"/>
      <c r="R25" s="2541"/>
      <c r="S25" s="2541"/>
    </row>
    <row r="26" spans="1:19" s="543" customFormat="1" ht="32.25" customHeight="1">
      <c r="A26" s="2521" t="s">
        <v>668</v>
      </c>
      <c r="B26" s="2282" t="s">
        <v>681</v>
      </c>
      <c r="C26" s="2665"/>
      <c r="D26" s="2561" t="s">
        <v>682</v>
      </c>
      <c r="E26" s="2525" t="s">
        <v>632</v>
      </c>
      <c r="F26" s="2508" t="s">
        <v>633</v>
      </c>
      <c r="G26" s="2509"/>
      <c r="H26" s="2509"/>
      <c r="I26" s="2509"/>
      <c r="J26" s="2509"/>
      <c r="K26" s="2509"/>
      <c r="L26" s="2509"/>
      <c r="M26" s="2509"/>
      <c r="N26" s="2509"/>
      <c r="O26" s="2509"/>
      <c r="P26" s="2509"/>
      <c r="Q26" s="2510"/>
      <c r="R26" s="2531" t="s">
        <v>634</v>
      </c>
      <c r="S26" s="2531"/>
    </row>
    <row r="27" spans="1:19" s="543" customFormat="1" ht="16.5" customHeight="1">
      <c r="A27" s="2521"/>
      <c r="B27" s="2383"/>
      <c r="C27" s="2666"/>
      <c r="D27" s="2561"/>
      <c r="E27" s="2526"/>
      <c r="F27" s="2533">
        <v>0.83333333333333337</v>
      </c>
      <c r="G27" s="2524"/>
      <c r="H27" s="2524"/>
      <c r="I27" s="2524"/>
      <c r="J27" s="2534">
        <v>4.1666666666666664E-2</v>
      </c>
      <c r="K27" s="2535"/>
      <c r="L27" s="2535"/>
      <c r="M27" s="2536"/>
      <c r="N27" s="2534">
        <v>0.16666666666666666</v>
      </c>
      <c r="O27" s="2535"/>
      <c r="P27" s="2535"/>
      <c r="Q27" s="2536"/>
      <c r="R27" s="2532"/>
      <c r="S27" s="2532"/>
    </row>
    <row r="28" spans="1:19" s="543" customFormat="1" ht="38.25" customHeight="1">
      <c r="A28" s="2522"/>
      <c r="B28" s="2667"/>
      <c r="C28" s="2668"/>
      <c r="D28" s="2567"/>
      <c r="E28" s="2527"/>
      <c r="F28" s="545" t="s">
        <v>635</v>
      </c>
      <c r="G28" s="2537" t="s">
        <v>636</v>
      </c>
      <c r="H28" s="2538"/>
      <c r="I28" s="2539"/>
      <c r="J28" s="545" t="s">
        <v>635</v>
      </c>
      <c r="K28" s="2528" t="s">
        <v>636</v>
      </c>
      <c r="L28" s="2529"/>
      <c r="M28" s="2530"/>
      <c r="N28" s="545" t="s">
        <v>635</v>
      </c>
      <c r="O28" s="2528" t="s">
        <v>636</v>
      </c>
      <c r="P28" s="2529"/>
      <c r="Q28" s="2530"/>
      <c r="R28" s="2540" t="s">
        <v>669</v>
      </c>
      <c r="S28" s="2540"/>
    </row>
    <row r="29" spans="1:19" ht="28.5" customHeight="1">
      <c r="A29" s="544">
        <v>1</v>
      </c>
      <c r="B29" s="2594" t="s">
        <v>433</v>
      </c>
      <c r="C29" s="2596"/>
      <c r="D29" s="596" t="s">
        <v>694</v>
      </c>
      <c r="E29" s="546" t="s">
        <v>640</v>
      </c>
      <c r="F29" s="672">
        <f>'R.GUI MAIL'!Z6</f>
        <v>0</v>
      </c>
      <c r="G29" s="550" t="s">
        <v>654</v>
      </c>
      <c r="H29" s="551">
        <f>'R.GUI MAIL'!AC6</f>
        <v>0</v>
      </c>
      <c r="I29" s="544" t="s">
        <v>10</v>
      </c>
      <c r="J29" s="672">
        <f>'R.GUI MAIL'!AF6</f>
        <v>0</v>
      </c>
      <c r="K29" s="550" t="s">
        <v>654</v>
      </c>
      <c r="L29" s="551">
        <f>'R.GUI MAIL'!AI6</f>
        <v>0</v>
      </c>
      <c r="M29" s="544" t="s">
        <v>10</v>
      </c>
      <c r="N29" s="672">
        <f>'R.GUI MAIL'!AL6</f>
        <v>0</v>
      </c>
      <c r="O29" s="550" t="s">
        <v>654</v>
      </c>
      <c r="P29" s="551">
        <f>'R.GUI MAIL'!AO6</f>
        <v>0</v>
      </c>
      <c r="Q29" s="544" t="s">
        <v>10</v>
      </c>
      <c r="R29" s="2515" t="s">
        <v>670</v>
      </c>
      <c r="S29" s="2515"/>
    </row>
    <row r="30" spans="1:19" ht="28.5" hidden="1" customHeight="1">
      <c r="A30" s="544"/>
      <c r="B30" s="2594" t="s">
        <v>434</v>
      </c>
      <c r="C30" s="2596"/>
      <c r="D30" s="596" t="s">
        <v>694</v>
      </c>
      <c r="E30" s="546" t="s">
        <v>640</v>
      </c>
      <c r="F30" s="553">
        <f>'R.GUI MAIL'!Z7</f>
        <v>0</v>
      </c>
      <c r="G30" s="554" t="s">
        <v>654</v>
      </c>
      <c r="H30" s="555">
        <f>'R.GUI MAIL'!AC7</f>
        <v>292.1875</v>
      </c>
      <c r="I30" s="235" t="s">
        <v>10</v>
      </c>
      <c r="J30" s="553">
        <f>'R.GUI MAIL'!AF7</f>
        <v>0</v>
      </c>
      <c r="K30" s="554" t="s">
        <v>654</v>
      </c>
      <c r="L30" s="555">
        <f>'R.GUI MAIL'!AI7</f>
        <v>292.1875</v>
      </c>
      <c r="M30" s="235" t="s">
        <v>10</v>
      </c>
      <c r="N30" s="553">
        <f>'R.GUI MAIL'!AL7</f>
        <v>0</v>
      </c>
      <c r="O30" s="554" t="s">
        <v>654</v>
      </c>
      <c r="P30" s="555">
        <f>'R.GUI MAIL'!AO7</f>
        <v>292.1875</v>
      </c>
      <c r="Q30" s="235" t="s">
        <v>10</v>
      </c>
      <c r="R30" s="2515" t="s">
        <v>670</v>
      </c>
      <c r="S30" s="2515"/>
    </row>
    <row r="31" spans="1:19" ht="28.5" customHeight="1">
      <c r="A31" s="544">
        <v>2</v>
      </c>
      <c r="B31" s="2659" t="s">
        <v>725</v>
      </c>
      <c r="C31" s="2660">
        <f>R.HN!B4</f>
        <v>3</v>
      </c>
      <c r="D31" s="2559" t="s">
        <v>466</v>
      </c>
      <c r="E31" s="546" t="s">
        <v>768</v>
      </c>
      <c r="F31" s="672">
        <f>'R.GUI MAIL'!Z8</f>
        <v>0</v>
      </c>
      <c r="G31" s="550" t="s">
        <v>654</v>
      </c>
      <c r="H31" s="551">
        <f>'R.GUI MAIL'!AC8</f>
        <v>0</v>
      </c>
      <c r="I31" s="544" t="s">
        <v>655</v>
      </c>
      <c r="J31" s="672">
        <f>'R.GUI MAIL'!AF8</f>
        <v>0</v>
      </c>
      <c r="K31" s="550" t="s">
        <v>654</v>
      </c>
      <c r="L31" s="551">
        <f>'R.GUI MAIL'!AI8</f>
        <v>0</v>
      </c>
      <c r="M31" s="544" t="s">
        <v>655</v>
      </c>
      <c r="N31" s="672">
        <f>'R.GUI MAIL'!AL8</f>
        <v>0</v>
      </c>
      <c r="O31" s="550" t="s">
        <v>654</v>
      </c>
      <c r="P31" s="551">
        <f>'R.GUI MAIL'!AO8</f>
        <v>0</v>
      </c>
      <c r="Q31" s="544" t="s">
        <v>655</v>
      </c>
      <c r="R31" s="2515" t="s">
        <v>673</v>
      </c>
      <c r="S31" s="2515"/>
    </row>
    <row r="32" spans="1:19" ht="28.5" customHeight="1">
      <c r="A32" s="544">
        <v>3</v>
      </c>
      <c r="B32" s="2663"/>
      <c r="C32" s="2664"/>
      <c r="D32" s="2559"/>
      <c r="E32" s="546" t="s">
        <v>769</v>
      </c>
      <c r="F32" s="672">
        <f>'R.GUI MAIL'!Z9</f>
        <v>0</v>
      </c>
      <c r="G32" s="550" t="s">
        <v>654</v>
      </c>
      <c r="H32" s="551">
        <f>'R.GUI MAIL'!AC9</f>
        <v>0</v>
      </c>
      <c r="I32" s="544" t="s">
        <v>655</v>
      </c>
      <c r="J32" s="672">
        <f>'R.GUI MAIL'!AF9</f>
        <v>0</v>
      </c>
      <c r="K32" s="550" t="s">
        <v>654</v>
      </c>
      <c r="L32" s="551">
        <f>'R.GUI MAIL'!AI9</f>
        <v>0</v>
      </c>
      <c r="M32" s="544" t="s">
        <v>655</v>
      </c>
      <c r="N32" s="672">
        <f>'R.GUI MAIL'!AL9</f>
        <v>0</v>
      </c>
      <c r="O32" s="550" t="s">
        <v>654</v>
      </c>
      <c r="P32" s="551">
        <f>'R.GUI MAIL'!AO9</f>
        <v>0</v>
      </c>
      <c r="Q32" s="544" t="s">
        <v>655</v>
      </c>
      <c r="R32" s="2515" t="s">
        <v>674</v>
      </c>
      <c r="S32" s="2515"/>
    </row>
    <row r="33" spans="1:19" ht="28.5" customHeight="1">
      <c r="A33" s="544">
        <v>4</v>
      </c>
      <c r="B33" s="2661"/>
      <c r="C33" s="2662"/>
      <c r="D33" s="2559"/>
      <c r="E33" s="546" t="s">
        <v>651</v>
      </c>
      <c r="F33" s="673">
        <f>'R.GUI MAIL'!Z10</f>
        <v>0</v>
      </c>
      <c r="G33" s="550" t="s">
        <v>675</v>
      </c>
      <c r="H33" s="551">
        <f>'R.GUI MAIL'!AC10</f>
        <v>0</v>
      </c>
      <c r="I33" s="560" t="s">
        <v>676</v>
      </c>
      <c r="J33" s="673">
        <f>'R.GUI MAIL'!AF10</f>
        <v>0</v>
      </c>
      <c r="K33" s="550" t="s">
        <v>675</v>
      </c>
      <c r="L33" s="551">
        <f>'R.GUI MAIL'!AI10</f>
        <v>0</v>
      </c>
      <c r="M33" s="560" t="s">
        <v>676</v>
      </c>
      <c r="N33" s="673">
        <f>'R.GUI MAIL'!AL10</f>
        <v>0</v>
      </c>
      <c r="O33" s="550" t="s">
        <v>675</v>
      </c>
      <c r="P33" s="551">
        <f>'R.GUI MAIL'!AO10</f>
        <v>0</v>
      </c>
      <c r="Q33" s="560" t="s">
        <v>676</v>
      </c>
      <c r="R33" s="2515"/>
      <c r="S33" s="2515"/>
    </row>
    <row r="34" spans="1:19" ht="28.5" customHeight="1">
      <c r="A34" s="544">
        <v>5</v>
      </c>
      <c r="B34" s="2659" t="s">
        <v>770</v>
      </c>
      <c r="C34" s="2660">
        <f>R.HN!B7</f>
        <v>4</v>
      </c>
      <c r="D34" s="2559" t="s">
        <v>466</v>
      </c>
      <c r="E34" s="546" t="s">
        <v>768</v>
      </c>
      <c r="F34" s="672">
        <f>'R.GUI MAIL'!Z11</f>
        <v>0</v>
      </c>
      <c r="G34" s="550" t="s">
        <v>675</v>
      </c>
      <c r="H34" s="551">
        <f>'R.GUI MAIL'!AC11</f>
        <v>0</v>
      </c>
      <c r="I34" s="560" t="s">
        <v>676</v>
      </c>
      <c r="J34" s="672">
        <f>'R.GUI MAIL'!AF11</f>
        <v>0</v>
      </c>
      <c r="K34" s="550" t="s">
        <v>675</v>
      </c>
      <c r="L34" s="551">
        <f>'R.GUI MAIL'!AI11</f>
        <v>0</v>
      </c>
      <c r="M34" s="560" t="s">
        <v>676</v>
      </c>
      <c r="N34" s="672">
        <f>'R.GUI MAIL'!AL11</f>
        <v>0</v>
      </c>
      <c r="O34" s="550" t="s">
        <v>675</v>
      </c>
      <c r="P34" s="551">
        <f>'R.GUI MAIL'!AO11</f>
        <v>0</v>
      </c>
      <c r="Q34" s="560" t="s">
        <v>676</v>
      </c>
      <c r="R34" s="2515" t="s">
        <v>673</v>
      </c>
      <c r="S34" s="2515"/>
    </row>
    <row r="35" spans="1:19" ht="28.5" customHeight="1">
      <c r="A35" s="544">
        <v>6</v>
      </c>
      <c r="B35" s="2663"/>
      <c r="C35" s="2664"/>
      <c r="D35" s="2559"/>
      <c r="E35" s="546" t="s">
        <v>769</v>
      </c>
      <c r="F35" s="672">
        <f>'R.GUI MAIL'!Z12</f>
        <v>0</v>
      </c>
      <c r="G35" s="550" t="s">
        <v>675</v>
      </c>
      <c r="H35" s="551">
        <f>'R.GUI MAIL'!AC12</f>
        <v>0</v>
      </c>
      <c r="I35" s="560" t="s">
        <v>676</v>
      </c>
      <c r="J35" s="672">
        <f>'R.GUI MAIL'!AF12</f>
        <v>0</v>
      </c>
      <c r="K35" s="550" t="s">
        <v>675</v>
      </c>
      <c r="L35" s="551">
        <f>'R.GUI MAIL'!AI12</f>
        <v>0</v>
      </c>
      <c r="M35" s="560" t="s">
        <v>676</v>
      </c>
      <c r="N35" s="672">
        <f>'R.GUI MAIL'!AL12</f>
        <v>0</v>
      </c>
      <c r="O35" s="550" t="s">
        <v>675</v>
      </c>
      <c r="P35" s="551">
        <f>'R.GUI MAIL'!AO12</f>
        <v>0</v>
      </c>
      <c r="Q35" s="560" t="s">
        <v>676</v>
      </c>
      <c r="R35" s="2515" t="s">
        <v>674</v>
      </c>
      <c r="S35" s="2515"/>
    </row>
    <row r="36" spans="1:19" ht="28.5" customHeight="1">
      <c r="A36" s="544">
        <v>7</v>
      </c>
      <c r="B36" s="2661"/>
      <c r="C36" s="2662"/>
      <c r="D36" s="2559"/>
      <c r="E36" s="546" t="s">
        <v>651</v>
      </c>
      <c r="F36" s="673">
        <f>'R.GUI MAIL'!Z13</f>
        <v>0</v>
      </c>
      <c r="G36" s="550" t="s">
        <v>675</v>
      </c>
      <c r="H36" s="551">
        <f>'R.GUI MAIL'!AC13</f>
        <v>0</v>
      </c>
      <c r="I36" s="560" t="s">
        <v>676</v>
      </c>
      <c r="J36" s="673">
        <f>'R.GUI MAIL'!AF13</f>
        <v>0</v>
      </c>
      <c r="K36" s="550" t="s">
        <v>675</v>
      </c>
      <c r="L36" s="551">
        <f>'R.GUI MAIL'!AI13</f>
        <v>0</v>
      </c>
      <c r="M36" s="560" t="s">
        <v>676</v>
      </c>
      <c r="N36" s="673">
        <f>'R.GUI MAIL'!AL13</f>
        <v>0</v>
      </c>
      <c r="O36" s="550" t="s">
        <v>675</v>
      </c>
      <c r="P36" s="551">
        <f>'R.GUI MAIL'!AO13</f>
        <v>0</v>
      </c>
      <c r="Q36" s="560" t="s">
        <v>676</v>
      </c>
      <c r="R36" s="2515"/>
      <c r="S36" s="2515"/>
    </row>
    <row r="37" spans="1:19" s="564" customFormat="1" ht="28.5" customHeight="1">
      <c r="A37" s="544">
        <v>8</v>
      </c>
      <c r="B37" s="2659" t="s">
        <v>701</v>
      </c>
      <c r="C37" s="2660"/>
      <c r="D37" s="593" t="s">
        <v>466</v>
      </c>
      <c r="E37" s="548" t="s">
        <v>476</v>
      </c>
      <c r="F37" s="672">
        <f>'R.GUI MAIL'!Z14</f>
        <v>0</v>
      </c>
      <c r="G37" s="550" t="s">
        <v>654</v>
      </c>
      <c r="H37" s="562">
        <f>'R.GUI MAIL'!AC14</f>
        <v>0</v>
      </c>
      <c r="I37" s="563" t="s">
        <v>655</v>
      </c>
      <c r="J37" s="672">
        <f>'R.GUI MAIL'!AF14</f>
        <v>0</v>
      </c>
      <c r="K37" s="550" t="s">
        <v>654</v>
      </c>
      <c r="L37" s="562">
        <f>'R.GUI MAIL'!AI14</f>
        <v>0</v>
      </c>
      <c r="M37" s="563" t="s">
        <v>655</v>
      </c>
      <c r="N37" s="672">
        <f>'R.GUI MAIL'!AL14</f>
        <v>0</v>
      </c>
      <c r="O37" s="550" t="s">
        <v>654</v>
      </c>
      <c r="P37" s="562">
        <f>'R.GUI MAIL'!AO14</f>
        <v>0</v>
      </c>
      <c r="Q37" s="563" t="s">
        <v>655</v>
      </c>
      <c r="R37" s="2515"/>
      <c r="S37" s="2515"/>
    </row>
    <row r="38" spans="1:19" s="564" customFormat="1" ht="28.5" customHeight="1">
      <c r="A38" s="544">
        <v>9</v>
      </c>
      <c r="B38" s="2661"/>
      <c r="C38" s="2662"/>
      <c r="D38" s="604" t="s">
        <v>723</v>
      </c>
      <c r="E38" s="546" t="s">
        <v>657</v>
      </c>
      <c r="F38" s="672">
        <f>'R.GUI MAIL'!Z15</f>
        <v>0</v>
      </c>
      <c r="G38" s="550"/>
      <c r="H38" s="551"/>
      <c r="I38" s="563"/>
      <c r="J38" s="672">
        <f>'R.GUI MAIL'!AF15</f>
        <v>0</v>
      </c>
      <c r="K38" s="550"/>
      <c r="L38" s="551"/>
      <c r="M38" s="563"/>
      <c r="N38" s="672">
        <f>'R.GUI MAIL'!AL15</f>
        <v>0</v>
      </c>
      <c r="O38" s="550"/>
      <c r="P38" s="551"/>
      <c r="Q38" s="563"/>
      <c r="R38" s="2515"/>
      <c r="S38" s="2515"/>
    </row>
    <row r="39" spans="1:19" s="564" customFormat="1" ht="27" customHeight="1">
      <c r="A39" s="2516" t="s">
        <v>658</v>
      </c>
      <c r="B39" s="2516"/>
      <c r="C39" s="2516"/>
      <c r="D39" s="2516"/>
      <c r="E39" s="2516"/>
      <c r="F39" s="2516"/>
      <c r="G39" s="2516"/>
      <c r="H39" s="2516"/>
      <c r="I39" s="2516"/>
      <c r="J39" s="2516"/>
      <c r="K39" s="2516"/>
      <c r="L39" s="2516"/>
      <c r="M39" s="2516"/>
      <c r="N39" s="2516"/>
      <c r="O39" s="2516"/>
      <c r="P39" s="2516"/>
      <c r="Q39" s="2516"/>
      <c r="R39" s="2516"/>
      <c r="S39" s="2516"/>
    </row>
    <row r="40" spans="1:19" s="564" customFormat="1" ht="34.5" customHeight="1">
      <c r="A40" s="544" t="s">
        <v>677</v>
      </c>
      <c r="B40" s="2594" t="s">
        <v>660</v>
      </c>
      <c r="C40" s="2596"/>
      <c r="D40" s="542" t="s">
        <v>661</v>
      </c>
      <c r="E40" s="542" t="s">
        <v>662</v>
      </c>
      <c r="F40" s="2516" t="s">
        <v>48</v>
      </c>
      <c r="G40" s="2516"/>
      <c r="H40" s="2516" t="s">
        <v>65</v>
      </c>
      <c r="I40" s="2516"/>
      <c r="J40" s="2516" t="s">
        <v>48</v>
      </c>
      <c r="K40" s="2516"/>
      <c r="L40" s="2516" t="s">
        <v>65</v>
      </c>
      <c r="M40" s="2516"/>
      <c r="N40" s="2516" t="s">
        <v>48</v>
      </c>
      <c r="O40" s="2516"/>
      <c r="P40" s="2516" t="s">
        <v>65</v>
      </c>
      <c r="Q40" s="2516"/>
      <c r="R40" s="2511" t="s">
        <v>634</v>
      </c>
      <c r="S40" s="2512"/>
    </row>
    <row r="41" spans="1:19" s="564" customFormat="1" ht="27.75" customHeight="1">
      <c r="A41" s="544">
        <v>1</v>
      </c>
      <c r="B41" s="2594" t="s">
        <v>480</v>
      </c>
      <c r="C41" s="2596"/>
      <c r="D41" s="568" t="s">
        <v>664</v>
      </c>
      <c r="E41" s="569" t="s">
        <v>665</v>
      </c>
      <c r="F41" s="2091">
        <f>'R.GUI MAIL'!Z18</f>
        <v>0</v>
      </c>
      <c r="G41" s="2092"/>
      <c r="H41" s="2091">
        <f>'R.FILE GOC'!AC18</f>
        <v>0</v>
      </c>
      <c r="I41" s="2092"/>
      <c r="J41" s="2091">
        <f>'R.GUI MAIL'!AF18</f>
        <v>0</v>
      </c>
      <c r="K41" s="2092"/>
      <c r="L41" s="2091">
        <f>'R.FILE GOC'!AI18</f>
        <v>0</v>
      </c>
      <c r="M41" s="2092"/>
      <c r="N41" s="2091">
        <f>'R.GUI MAIL'!AL18</f>
        <v>0</v>
      </c>
      <c r="O41" s="2092"/>
      <c r="P41" s="2091">
        <f>'R.FILE GOC'!AO18</f>
        <v>0</v>
      </c>
      <c r="Q41" s="2092"/>
      <c r="R41" s="570"/>
      <c r="S41" s="570"/>
    </row>
    <row r="42" spans="1:19" s="564" customFormat="1" ht="27.75" customHeight="1">
      <c r="A42" s="544">
        <v>2</v>
      </c>
      <c r="B42" s="2594" t="s">
        <v>482</v>
      </c>
      <c r="C42" s="2596"/>
      <c r="D42" s="568" t="s">
        <v>664</v>
      </c>
      <c r="E42" s="569" t="s">
        <v>665</v>
      </c>
      <c r="F42" s="2091">
        <f>'R.GUI MAIL'!Z19</f>
        <v>0</v>
      </c>
      <c r="G42" s="2092"/>
      <c r="H42" s="2091">
        <f>'R.FILE GOC'!AC19</f>
        <v>0</v>
      </c>
      <c r="I42" s="2092"/>
      <c r="J42" s="2091">
        <f>'R.GUI MAIL'!AF19</f>
        <v>0</v>
      </c>
      <c r="K42" s="2092"/>
      <c r="L42" s="2091">
        <f>'R.FILE GOC'!AI19</f>
        <v>0</v>
      </c>
      <c r="M42" s="2092"/>
      <c r="N42" s="2091">
        <f>'R.GUI MAIL'!AL19</f>
        <v>0</v>
      </c>
      <c r="O42" s="2092"/>
      <c r="P42" s="2091">
        <f>'R.FILE GOC'!AO19</f>
        <v>0</v>
      </c>
      <c r="Q42" s="2092"/>
      <c r="R42" s="570"/>
      <c r="S42" s="570"/>
    </row>
    <row r="43" spans="1:19" s="564" customFormat="1" ht="27.75" customHeight="1">
      <c r="A43" s="544">
        <v>3</v>
      </c>
      <c r="B43" s="2594" t="s">
        <v>475</v>
      </c>
      <c r="C43" s="2596"/>
      <c r="D43" s="568" t="s">
        <v>664</v>
      </c>
      <c r="E43" s="569" t="s">
        <v>666</v>
      </c>
      <c r="F43" s="2091">
        <f>'R.GUI MAIL'!Z20</f>
        <v>0</v>
      </c>
      <c r="G43" s="2092"/>
      <c r="H43" s="2091">
        <f>'R.FILE GOC'!AC20</f>
        <v>0</v>
      </c>
      <c r="I43" s="2092"/>
      <c r="J43" s="2091">
        <f>'R.GUI MAIL'!AF20</f>
        <v>0</v>
      </c>
      <c r="K43" s="2092"/>
      <c r="L43" s="2091">
        <f>'R.FILE GOC'!AI20</f>
        <v>0</v>
      </c>
      <c r="M43" s="2092"/>
      <c r="N43" s="2091">
        <f>'R.GUI MAIL'!AL20</f>
        <v>0</v>
      </c>
      <c r="O43" s="2092"/>
      <c r="P43" s="2091">
        <f>'R.FILE GOC'!AO20</f>
        <v>0</v>
      </c>
      <c r="Q43" s="2092"/>
      <c r="R43" s="571"/>
      <c r="S43" s="571"/>
    </row>
    <row r="44" spans="1:19" s="564" customFormat="1" ht="27.75" customHeight="1">
      <c r="A44" s="572"/>
      <c r="B44" s="573"/>
      <c r="C44" s="573"/>
      <c r="D44" s="574"/>
      <c r="E44" s="575"/>
      <c r="F44" s="2386"/>
      <c r="G44" s="2386"/>
      <c r="H44" s="2386"/>
      <c r="I44" s="2386"/>
      <c r="J44" s="2658"/>
      <c r="K44" s="2658"/>
      <c r="L44" s="2658"/>
      <c r="M44" s="2658"/>
      <c r="N44" s="2658"/>
      <c r="O44" s="2658"/>
      <c r="P44" s="2658"/>
      <c r="Q44" s="2658"/>
      <c r="R44" s="576"/>
      <c r="S44" s="576"/>
    </row>
    <row r="45" spans="1:19" ht="20.25" customHeight="1">
      <c r="A45" s="578"/>
      <c r="B45" s="579"/>
      <c r="C45" s="579"/>
      <c r="D45" s="580"/>
      <c r="E45" s="579"/>
      <c r="F45" s="579"/>
      <c r="G45" s="579"/>
      <c r="H45" s="579"/>
      <c r="I45" s="579"/>
      <c r="J45" s="579"/>
      <c r="K45" s="579"/>
      <c r="L45" s="579"/>
      <c r="M45" s="579"/>
      <c r="N45" s="579"/>
      <c r="O45" s="579"/>
      <c r="P45" s="579"/>
      <c r="Q45" s="579"/>
    </row>
    <row r="46" spans="1:19" ht="12.75" customHeight="1">
      <c r="A46" s="581"/>
      <c r="B46" s="579"/>
      <c r="C46" s="579"/>
      <c r="D46" s="572"/>
      <c r="E46" s="579"/>
      <c r="F46" s="582"/>
      <c r="G46" s="583"/>
      <c r="H46" s="572"/>
      <c r="I46" s="584"/>
      <c r="J46" s="584"/>
      <c r="K46" s="584"/>
      <c r="L46" s="584"/>
      <c r="M46" s="584"/>
      <c r="N46" s="584"/>
      <c r="O46" s="584"/>
      <c r="P46" s="584"/>
      <c r="Q46" s="584"/>
    </row>
  </sheetData>
  <sheetProtection selectLockedCells="1"/>
  <mergeCells count="140">
    <mergeCell ref="A1:O1"/>
    <mergeCell ref="A2:O2"/>
    <mergeCell ref="P2:Q2"/>
    <mergeCell ref="R2:S2"/>
    <mergeCell ref="P3:Q3"/>
    <mergeCell ref="R3:S3"/>
    <mergeCell ref="K6:M6"/>
    <mergeCell ref="O6:Q6"/>
    <mergeCell ref="R6:S6"/>
    <mergeCell ref="E3:F3"/>
    <mergeCell ref="B7:C7"/>
    <mergeCell ref="R7:S7"/>
    <mergeCell ref="B8:C8"/>
    <mergeCell ref="R8:S8"/>
    <mergeCell ref="A4:A6"/>
    <mergeCell ref="B4:C6"/>
    <mergeCell ref="D4:D6"/>
    <mergeCell ref="E4:E6"/>
    <mergeCell ref="F4:Q4"/>
    <mergeCell ref="R4:S5"/>
    <mergeCell ref="F5:I5"/>
    <mergeCell ref="J5:M5"/>
    <mergeCell ref="N5:Q5"/>
    <mergeCell ref="G6:I6"/>
    <mergeCell ref="B12:B14"/>
    <mergeCell ref="C12:C14"/>
    <mergeCell ref="D12:D14"/>
    <mergeCell ref="R12:S12"/>
    <mergeCell ref="R13:S13"/>
    <mergeCell ref="R14:S14"/>
    <mergeCell ref="B9:B11"/>
    <mergeCell ref="C9:C11"/>
    <mergeCell ref="D9:D11"/>
    <mergeCell ref="R9:S9"/>
    <mergeCell ref="R10:S10"/>
    <mergeCell ref="R11:S11"/>
    <mergeCell ref="B15:C16"/>
    <mergeCell ref="R15:S15"/>
    <mergeCell ref="R16:S16"/>
    <mergeCell ref="A17:S17"/>
    <mergeCell ref="B18:C18"/>
    <mergeCell ref="F18:G18"/>
    <mergeCell ref="H18:I18"/>
    <mergeCell ref="J18:K18"/>
    <mergeCell ref="L18:M18"/>
    <mergeCell ref="N18:O18"/>
    <mergeCell ref="P18:Q18"/>
    <mergeCell ref="R18:S18"/>
    <mergeCell ref="B19:C19"/>
    <mergeCell ref="F19:G19"/>
    <mergeCell ref="H19:I19"/>
    <mergeCell ref="J19:K19"/>
    <mergeCell ref="L19:M19"/>
    <mergeCell ref="N19:O19"/>
    <mergeCell ref="P19:Q19"/>
    <mergeCell ref="F22:I22"/>
    <mergeCell ref="J22:M22"/>
    <mergeCell ref="N22:Q22"/>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B34:B36"/>
    <mergeCell ref="C34:C36"/>
    <mergeCell ref="D34:D36"/>
    <mergeCell ref="R34:S34"/>
    <mergeCell ref="R35:S35"/>
    <mergeCell ref="R36:S36"/>
    <mergeCell ref="B31:B33"/>
    <mergeCell ref="C31:C33"/>
    <mergeCell ref="D31:D33"/>
    <mergeCell ref="R31:S31"/>
    <mergeCell ref="R32:S32"/>
    <mergeCell ref="R33:S33"/>
    <mergeCell ref="B37:C38"/>
    <mergeCell ref="R37:S37"/>
    <mergeCell ref="R38:S38"/>
    <mergeCell ref="A39:S39"/>
    <mergeCell ref="B40:C40"/>
    <mergeCell ref="F40:G40"/>
    <mergeCell ref="H40:I40"/>
    <mergeCell ref="J40:K40"/>
    <mergeCell ref="L40:M40"/>
    <mergeCell ref="N40:O40"/>
    <mergeCell ref="P40:Q40"/>
    <mergeCell ref="R40:S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s>
  <phoneticPr fontId="6" type="noConversion"/>
  <conditionalFormatting sqref="F7:F8 J7:J8">
    <cfRule type="expression" dxfId="458" priority="140">
      <formula>F7&lt;10</formula>
    </cfRule>
    <cfRule type="expression" dxfId="457" priority="141">
      <formula>F7&gt;15</formula>
    </cfRule>
  </conditionalFormatting>
  <conditionalFormatting sqref="F9 F12 J9 J12">
    <cfRule type="expression" dxfId="456" priority="138">
      <formula>F9&lt;40</formula>
    </cfRule>
    <cfRule type="expression" dxfId="455" priority="139">
      <formula>F9&gt;60</formula>
    </cfRule>
  </conditionalFormatting>
  <conditionalFormatting sqref="F10 F13 J10 J13">
    <cfRule type="expression" dxfId="454" priority="136">
      <formula>F10&lt;5.2</formula>
    </cfRule>
    <cfRule type="expression" dxfId="453" priority="137">
      <formula>F10&gt;7.8</formula>
    </cfRule>
  </conditionalFormatting>
  <conditionalFormatting sqref="F11 F14 J11 J14">
    <cfRule type="expression" dxfId="452" priority="135">
      <formula>F11&gt;0.4</formula>
    </cfRule>
  </conditionalFormatting>
  <conditionalFormatting sqref="F15 J15">
    <cfRule type="expression" dxfId="451" priority="133">
      <formula>F15&lt;0.8</formula>
    </cfRule>
    <cfRule type="expression" dxfId="450" priority="134">
      <formula>F15&gt;1.2</formula>
    </cfRule>
  </conditionalFormatting>
  <conditionalFormatting sqref="F16 J16">
    <cfRule type="expression" dxfId="449" priority="131">
      <formula>F16&lt;8</formula>
    </cfRule>
    <cfRule type="expression" dxfId="448" priority="132">
      <formula>F16&gt;10</formula>
    </cfRule>
  </conditionalFormatting>
  <conditionalFormatting sqref="N29:N30">
    <cfRule type="expression" dxfId="447" priority="125">
      <formula>N29&lt;10</formula>
    </cfRule>
    <cfRule type="expression" dxfId="446" priority="126">
      <formula>N29&gt;15</formula>
    </cfRule>
  </conditionalFormatting>
  <conditionalFormatting sqref="N31 N34">
    <cfRule type="expression" dxfId="445" priority="123">
      <formula>N31&lt;40</formula>
    </cfRule>
    <cfRule type="expression" dxfId="444" priority="124">
      <formula>N31&gt;60</formula>
    </cfRule>
  </conditionalFormatting>
  <conditionalFormatting sqref="N32 N35">
    <cfRule type="expression" dxfId="443" priority="121">
      <formula>N32&lt;5.2</formula>
    </cfRule>
    <cfRule type="expression" dxfId="442" priority="122">
      <formula>N32&gt;7.8</formula>
    </cfRule>
  </conditionalFormatting>
  <conditionalFormatting sqref="N33 N36">
    <cfRule type="expression" dxfId="441" priority="120">
      <formula>N33&gt;0.4</formula>
    </cfRule>
  </conditionalFormatting>
  <conditionalFormatting sqref="N37">
    <cfRule type="expression" dxfId="440" priority="118">
      <formula>N37&lt;0.8</formula>
    </cfRule>
    <cfRule type="expression" dxfId="439" priority="119">
      <formula>N37&gt;1.2</formula>
    </cfRule>
  </conditionalFormatting>
  <conditionalFormatting sqref="N38">
    <cfRule type="expression" dxfId="438" priority="116">
      <formula>N38&lt;8</formula>
    </cfRule>
    <cfRule type="expression" dxfId="437" priority="117">
      <formula>N38&gt;10</formula>
    </cfRule>
  </conditionalFormatting>
  <conditionalFormatting sqref="N7:N8">
    <cfRule type="expression" dxfId="436" priority="106">
      <formula>N7&lt;10</formula>
    </cfRule>
    <cfRule type="expression" dxfId="435" priority="107">
      <formula>N7&gt;15</formula>
    </cfRule>
  </conditionalFormatting>
  <conditionalFormatting sqref="N9 N12">
    <cfRule type="expression" dxfId="434" priority="104">
      <formula>N9&lt;40</formula>
    </cfRule>
    <cfRule type="expression" dxfId="433" priority="105">
      <formula>N9&gt;60</formula>
    </cfRule>
  </conditionalFormatting>
  <conditionalFormatting sqref="N10 N13">
    <cfRule type="expression" dxfId="432" priority="102">
      <formula>N10&lt;5.2</formula>
    </cfRule>
    <cfRule type="expression" dxfId="431" priority="103">
      <formula>N10&gt;7.8</formula>
    </cfRule>
  </conditionalFormatting>
  <conditionalFormatting sqref="N11 N14">
    <cfRule type="expression" dxfId="430" priority="101">
      <formula>N11&gt;0.4</formula>
    </cfRule>
  </conditionalFormatting>
  <conditionalFormatting sqref="N15">
    <cfRule type="expression" dxfId="429" priority="99">
      <formula>N15&lt;0.8</formula>
    </cfRule>
    <cfRule type="expression" dxfId="428" priority="100">
      <formula>N15&gt;1.2</formula>
    </cfRule>
  </conditionalFormatting>
  <conditionalFormatting sqref="N16">
    <cfRule type="expression" dxfId="427" priority="97">
      <formula>N16&lt;8</formula>
    </cfRule>
    <cfRule type="expression" dxfId="426" priority="98">
      <formula>N16&gt;10</formula>
    </cfRule>
  </conditionalFormatting>
  <conditionalFormatting sqref="J29:J30">
    <cfRule type="expression" dxfId="425" priority="95">
      <formula>J29&lt;10</formula>
    </cfRule>
    <cfRule type="expression" dxfId="424" priority="96">
      <formula>J29&gt;15</formula>
    </cfRule>
  </conditionalFormatting>
  <conditionalFormatting sqref="J31 J34">
    <cfRule type="expression" dxfId="423" priority="93">
      <formula>J31&lt;40</formula>
    </cfRule>
    <cfRule type="expression" dxfId="422" priority="94">
      <formula>J31&gt;60</formula>
    </cfRule>
  </conditionalFormatting>
  <conditionalFormatting sqref="J32 J35">
    <cfRule type="expression" dxfId="421" priority="91">
      <formula>J32&lt;5.2</formula>
    </cfRule>
    <cfRule type="expression" dxfId="420" priority="92">
      <formula>J32&gt;7.8</formula>
    </cfRule>
  </conditionalFormatting>
  <conditionalFormatting sqref="J33 J36">
    <cfRule type="expression" dxfId="419" priority="90">
      <formula>J33&gt;0.4</formula>
    </cfRule>
  </conditionalFormatting>
  <conditionalFormatting sqref="J37">
    <cfRule type="expression" dxfId="418" priority="88">
      <formula>J37&lt;0.8</formula>
    </cfRule>
    <cfRule type="expression" dxfId="417" priority="89">
      <formula>J37&gt;1.2</formula>
    </cfRule>
  </conditionalFormatting>
  <conditionalFormatting sqref="J38">
    <cfRule type="expression" dxfId="416" priority="86">
      <formula>J38&lt;8</formula>
    </cfRule>
    <cfRule type="expression" dxfId="415" priority="87">
      <formula>J38&gt;10</formula>
    </cfRule>
  </conditionalFormatting>
  <conditionalFormatting sqref="F29:F30">
    <cfRule type="expression" dxfId="414" priority="80">
      <formula>F29&lt;10</formula>
    </cfRule>
    <cfRule type="expression" dxfId="413" priority="81">
      <formula>F29&gt;15</formula>
    </cfRule>
  </conditionalFormatting>
  <conditionalFormatting sqref="F31 F34">
    <cfRule type="expression" dxfId="412" priority="78">
      <formula>F31&lt;40</formula>
    </cfRule>
    <cfRule type="expression" dxfId="411" priority="79">
      <formula>F31&gt;60</formula>
    </cfRule>
  </conditionalFormatting>
  <conditionalFormatting sqref="F32 F35">
    <cfRule type="expression" dxfId="410" priority="76">
      <formula>F32&lt;5.2</formula>
    </cfRule>
    <cfRule type="expression" dxfId="409" priority="77">
      <formula>F32&gt;7.8</formula>
    </cfRule>
  </conditionalFormatting>
  <conditionalFormatting sqref="F33 F36">
    <cfRule type="expression" dxfId="408" priority="75">
      <formula>F33&gt;0.4</formula>
    </cfRule>
  </conditionalFormatting>
  <conditionalFormatting sqref="F37">
    <cfRule type="expression" dxfId="407" priority="73">
      <formula>F37&lt;0.8</formula>
    </cfRule>
    <cfRule type="expression" dxfId="406" priority="74">
      <formula>F37&gt;1.2</formula>
    </cfRule>
  </conditionalFormatting>
  <conditionalFormatting sqref="F38">
    <cfRule type="expression" dxfId="405" priority="71">
      <formula>F38&lt;8</formula>
    </cfRule>
    <cfRule type="expression" dxfId="404" priority="72">
      <formula>F38&gt;10</formula>
    </cfRule>
  </conditionalFormatting>
  <conditionalFormatting sqref="J8">
    <cfRule type="expression" dxfId="403" priority="61">
      <formula>J8&lt;10</formula>
    </cfRule>
    <cfRule type="expression" dxfId="402" priority="62">
      <formula>J8&gt;15</formula>
    </cfRule>
  </conditionalFormatting>
  <conditionalFormatting sqref="N8">
    <cfRule type="expression" dxfId="401" priority="59">
      <formula>N8&lt;10</formula>
    </cfRule>
    <cfRule type="expression" dxfId="400" priority="60">
      <formula>N8&gt;15</formula>
    </cfRule>
  </conditionalFormatting>
  <conditionalFormatting sqref="F8">
    <cfRule type="expression" dxfId="399" priority="57">
      <formula>F8&lt;10</formula>
    </cfRule>
    <cfRule type="expression" dxfId="398" priority="58">
      <formula>F8&gt;15</formula>
    </cfRule>
  </conditionalFormatting>
  <conditionalFormatting sqref="F8 J8">
    <cfRule type="expression" dxfId="397" priority="55">
      <formula>F8&lt;10</formula>
    </cfRule>
    <cfRule type="expression" dxfId="396" priority="56">
      <formula>F8&gt;15</formula>
    </cfRule>
  </conditionalFormatting>
  <conditionalFormatting sqref="N8">
    <cfRule type="expression" dxfId="395" priority="53">
      <formula>N8&lt;10</formula>
    </cfRule>
    <cfRule type="expression" dxfId="394" priority="54">
      <formula>N8&gt;15</formula>
    </cfRule>
  </conditionalFormatting>
  <conditionalFormatting sqref="F8">
    <cfRule type="expression" dxfId="393" priority="51">
      <formula>F8&lt;10</formula>
    </cfRule>
    <cfRule type="expression" dxfId="392" priority="52">
      <formula>F8&gt;15</formula>
    </cfRule>
  </conditionalFormatting>
  <conditionalFormatting sqref="F8">
    <cfRule type="expression" dxfId="391" priority="50">
      <formula>F8&lt;1</formula>
    </cfRule>
  </conditionalFormatting>
  <conditionalFormatting sqref="J8">
    <cfRule type="expression" dxfId="390" priority="48">
      <formula>J8&lt;10</formula>
    </cfRule>
    <cfRule type="expression" dxfId="389" priority="49">
      <formula>J8&gt;15</formula>
    </cfRule>
  </conditionalFormatting>
  <conditionalFormatting sqref="J8">
    <cfRule type="expression" dxfId="388" priority="47">
      <formula>J8&lt;1</formula>
    </cfRule>
  </conditionalFormatting>
  <conditionalFormatting sqref="N8">
    <cfRule type="expression" dxfId="387" priority="45">
      <formula>N8&lt;10</formula>
    </cfRule>
    <cfRule type="expression" dxfId="386" priority="46">
      <formula>N8&gt;15</formula>
    </cfRule>
  </conditionalFormatting>
  <conditionalFormatting sqref="N8">
    <cfRule type="expression" dxfId="385" priority="43">
      <formula>N8&lt;10</formula>
    </cfRule>
    <cfRule type="expression" dxfId="384" priority="44">
      <formula>N8&gt;15</formula>
    </cfRule>
  </conditionalFormatting>
  <conditionalFormatting sqref="N8">
    <cfRule type="expression" dxfId="383" priority="42">
      <formula>N8&lt;1</formula>
    </cfRule>
  </conditionalFormatting>
  <conditionalFormatting sqref="F30 J30">
    <cfRule type="expression" dxfId="382" priority="40">
      <formula>F30&lt;10</formula>
    </cfRule>
    <cfRule type="expression" dxfId="381" priority="41">
      <formula>F30&gt;15</formula>
    </cfRule>
  </conditionalFormatting>
  <conditionalFormatting sqref="N30">
    <cfRule type="expression" dxfId="380" priority="38">
      <formula>N30&lt;10</formula>
    </cfRule>
    <cfRule type="expression" dxfId="379" priority="39">
      <formula>N30&gt;15</formula>
    </cfRule>
  </conditionalFormatting>
  <conditionalFormatting sqref="J30">
    <cfRule type="expression" dxfId="378" priority="36">
      <formula>J30&lt;10</formula>
    </cfRule>
    <cfRule type="expression" dxfId="377" priority="37">
      <formula>J30&gt;15</formula>
    </cfRule>
  </conditionalFormatting>
  <conditionalFormatting sqref="N30">
    <cfRule type="expression" dxfId="376" priority="34">
      <formula>N30&lt;10</formula>
    </cfRule>
    <cfRule type="expression" dxfId="375" priority="35">
      <formula>N30&gt;15</formula>
    </cfRule>
  </conditionalFormatting>
  <conditionalFormatting sqref="F30">
    <cfRule type="expression" dxfId="374" priority="32">
      <formula>F30&lt;10</formula>
    </cfRule>
    <cfRule type="expression" dxfId="373" priority="33">
      <formula>F30&gt;15</formula>
    </cfRule>
  </conditionalFormatting>
  <conditionalFormatting sqref="F30 J30">
    <cfRule type="expression" dxfId="372" priority="30">
      <formula>F30&lt;10</formula>
    </cfRule>
    <cfRule type="expression" dxfId="371" priority="31">
      <formula>F30&gt;15</formula>
    </cfRule>
  </conditionalFormatting>
  <conditionalFormatting sqref="N30">
    <cfRule type="expression" dxfId="370" priority="28">
      <formula>N30&lt;10</formula>
    </cfRule>
    <cfRule type="expression" dxfId="369" priority="29">
      <formula>N30&gt;15</formula>
    </cfRule>
  </conditionalFormatting>
  <conditionalFormatting sqref="F30">
    <cfRule type="expression" dxfId="368" priority="26">
      <formula>F30&lt;10</formula>
    </cfRule>
    <cfRule type="expression" dxfId="367" priority="27">
      <formula>F30&gt;15</formula>
    </cfRule>
  </conditionalFormatting>
  <conditionalFormatting sqref="F30">
    <cfRule type="expression" dxfId="366" priority="25">
      <formula>F30&lt;1</formula>
    </cfRule>
  </conditionalFormatting>
  <conditionalFormatting sqref="J30">
    <cfRule type="expression" dxfId="365" priority="23">
      <formula>J30&lt;10</formula>
    </cfRule>
    <cfRule type="expression" dxfId="364" priority="24">
      <formula>J30&gt;15</formula>
    </cfRule>
  </conditionalFormatting>
  <conditionalFormatting sqref="J30">
    <cfRule type="expression" dxfId="363" priority="22">
      <formula>J30&lt;1</formula>
    </cfRule>
  </conditionalFormatting>
  <conditionalFormatting sqref="N30">
    <cfRule type="expression" dxfId="362" priority="20">
      <formula>N30&lt;10</formula>
    </cfRule>
    <cfRule type="expression" dxfId="361" priority="21">
      <formula>N30&gt;15</formula>
    </cfRule>
  </conditionalFormatting>
  <conditionalFormatting sqref="N30">
    <cfRule type="expression" dxfId="360" priority="18">
      <formula>N30&lt;10</formula>
    </cfRule>
    <cfRule type="expression" dxfId="359" priority="19">
      <formula>N30&gt;15</formula>
    </cfRule>
  </conditionalFormatting>
  <conditionalFormatting sqref="N30">
    <cfRule type="expression" dxfId="358" priority="17">
      <formula>N30&lt;1</formula>
    </cfRule>
  </conditionalFormatting>
  <conditionalFormatting sqref="F41:G42">
    <cfRule type="expression" dxfId="357" priority="15">
      <formula>F41&lt;65</formula>
    </cfRule>
    <cfRule type="expression" dxfId="356" priority="16">
      <formula>F41&gt;85</formula>
    </cfRule>
  </conditionalFormatting>
  <conditionalFormatting sqref="F43:G43">
    <cfRule type="expression" dxfId="355" priority="13">
      <formula>F43&lt;80</formula>
    </cfRule>
    <cfRule type="expression" dxfId="354" priority="14">
      <formula>F43&gt;90</formula>
    </cfRule>
  </conditionalFormatting>
  <conditionalFormatting sqref="H41:Q42">
    <cfRule type="expression" dxfId="353" priority="11">
      <formula>H41&lt;65</formula>
    </cfRule>
    <cfRule type="expression" dxfId="352" priority="12">
      <formula>H41&gt;85</formula>
    </cfRule>
  </conditionalFormatting>
  <conditionalFormatting sqref="H43:Q43">
    <cfRule type="expression" dxfId="351" priority="9">
      <formula>H43&lt;80</formula>
    </cfRule>
    <cfRule type="expression" dxfId="350" priority="10">
      <formula>H43&gt;90</formula>
    </cfRule>
  </conditionalFormatting>
  <conditionalFormatting sqref="F19:G20">
    <cfRule type="expression" dxfId="349" priority="7">
      <formula>F19&lt;65</formula>
    </cfRule>
    <cfRule type="expression" dxfId="348" priority="8">
      <formula>F19&gt;85</formula>
    </cfRule>
  </conditionalFormatting>
  <conditionalFormatting sqref="F21:G21">
    <cfRule type="expression" dxfId="347" priority="5">
      <formula>F21&lt;80</formula>
    </cfRule>
    <cfRule type="expression" dxfId="346" priority="6">
      <formula>F21&gt;90</formula>
    </cfRule>
  </conditionalFormatting>
  <conditionalFormatting sqref="H19:Q20">
    <cfRule type="expression" dxfId="345" priority="3">
      <formula>H19&lt;65</formula>
    </cfRule>
    <cfRule type="expression" dxfId="344" priority="4">
      <formula>H19&gt;85</formula>
    </cfRule>
  </conditionalFormatting>
  <conditionalFormatting sqref="H21:Q21">
    <cfRule type="expression" dxfId="343" priority="1">
      <formula>H21&lt;80</formula>
    </cfRule>
    <cfRule type="expression" dxfId="342"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activeCell="D3" sqref="D3"/>
    </sheetView>
  </sheetViews>
  <sheetFormatPr defaultRowHeight="13.5"/>
  <cols>
    <col min="1" max="1" width="5.5" style="535" customWidth="1"/>
    <col min="2" max="2" width="23.375" style="585" customWidth="1"/>
    <col min="3" max="3" width="6.5" style="535" customWidth="1"/>
    <col min="4" max="4" width="14" style="535" customWidth="1"/>
    <col min="5" max="5" width="7.375" style="535" customWidth="1"/>
    <col min="6" max="6" width="3.25" style="535" customWidth="1"/>
    <col min="7" max="7" width="6.5" style="535" customWidth="1"/>
    <col min="8" max="8" width="4.375" style="535" customWidth="1"/>
    <col min="9" max="9" width="8.5" style="535" customWidth="1"/>
    <col min="10" max="10" width="2.625" style="535" customWidth="1"/>
    <col min="11" max="11" width="6.875" style="535" customWidth="1"/>
    <col min="12" max="12" width="4.25" style="535" customWidth="1"/>
    <col min="13" max="13" width="8.5" style="535" customWidth="1"/>
    <col min="14" max="14" width="2.625" style="535" customWidth="1"/>
    <col min="15" max="15" width="6.875" style="535" customWidth="1"/>
    <col min="16" max="16" width="4.25" style="535" customWidth="1"/>
    <col min="17" max="17" width="11.125" style="535" customWidth="1"/>
    <col min="18" max="16384" width="9" style="535"/>
  </cols>
  <sheetData>
    <row r="1" spans="1:17" ht="27.75" customHeight="1">
      <c r="A1" s="2546" t="s">
        <v>625</v>
      </c>
      <c r="B1" s="2546"/>
      <c r="C1" s="2546"/>
      <c r="D1" s="2546"/>
      <c r="E1" s="2546"/>
      <c r="F1" s="2546"/>
      <c r="G1" s="2546"/>
      <c r="H1" s="2546"/>
      <c r="I1" s="2546"/>
      <c r="J1" s="2546"/>
      <c r="K1" s="2546"/>
      <c r="L1" s="2546"/>
      <c r="M1" s="533"/>
      <c r="N1" s="533"/>
      <c r="O1" s="533"/>
      <c r="P1" s="533"/>
      <c r="Q1" s="533"/>
    </row>
    <row r="2" spans="1:17" ht="36.75" customHeight="1">
      <c r="A2" s="2543" t="s">
        <v>979</v>
      </c>
      <c r="B2" s="2543"/>
      <c r="C2" s="2543"/>
      <c r="D2" s="2543"/>
      <c r="E2" s="2543"/>
      <c r="F2" s="2543"/>
      <c r="G2" s="2543"/>
      <c r="H2" s="2543"/>
      <c r="I2" s="2543"/>
      <c r="J2" s="2543"/>
      <c r="K2" s="2543"/>
      <c r="L2" s="2543"/>
      <c r="M2" s="536"/>
      <c r="N2" s="536"/>
      <c r="O2" s="2229" t="s">
        <v>678</v>
      </c>
      <c r="P2" s="2230"/>
      <c r="Q2" s="85" t="s">
        <v>17</v>
      </c>
    </row>
    <row r="3" spans="1:17" ht="22.5" customHeight="1">
      <c r="A3" s="537"/>
      <c r="B3" s="538" t="s">
        <v>628</v>
      </c>
      <c r="C3" s="539"/>
      <c r="D3" s="1731" t="str">
        <f>'1.xi den'!$G$3</f>
        <v>2023/03/21</v>
      </c>
      <c r="E3" s="539"/>
      <c r="F3" s="539"/>
      <c r="G3" s="539"/>
      <c r="H3" s="539"/>
      <c r="I3" s="2563"/>
      <c r="J3" s="2563"/>
      <c r="K3" s="2563"/>
      <c r="L3" s="587"/>
      <c r="M3" s="538"/>
      <c r="N3" s="538"/>
      <c r="O3" s="2551" t="str">
        <f>'1.xi den'!$N$3</f>
        <v>Trang</v>
      </c>
      <c r="P3" s="2552"/>
      <c r="Q3" s="588" t="s">
        <v>679</v>
      </c>
    </row>
    <row r="4" spans="1:17" s="589" customFormat="1" ht="39" customHeight="1">
      <c r="A4" s="2564" t="s">
        <v>680</v>
      </c>
      <c r="B4" s="2561" t="s">
        <v>681</v>
      </c>
      <c r="C4" s="2561" t="s">
        <v>682</v>
      </c>
      <c r="D4" s="2568" t="s">
        <v>683</v>
      </c>
      <c r="E4" s="2508" t="s">
        <v>980</v>
      </c>
      <c r="F4" s="2509"/>
      <c r="G4" s="2509"/>
      <c r="H4" s="2509"/>
      <c r="I4" s="2509"/>
      <c r="J4" s="2509"/>
      <c r="K4" s="2509"/>
      <c r="L4" s="2509"/>
      <c r="M4" s="2509"/>
      <c r="N4" s="2509"/>
      <c r="O4" s="2509"/>
      <c r="P4" s="2510"/>
      <c r="Q4" s="2208" t="s">
        <v>684</v>
      </c>
    </row>
    <row r="5" spans="1:17" s="589" customFormat="1" ht="25.5" customHeight="1">
      <c r="A5" s="2565"/>
      <c r="B5" s="2561"/>
      <c r="C5" s="2561"/>
      <c r="D5" s="2568"/>
      <c r="E5" s="2533">
        <v>0.33333333333333331</v>
      </c>
      <c r="F5" s="2524"/>
      <c r="G5" s="2524"/>
      <c r="H5" s="2524"/>
      <c r="I5" s="2534">
        <v>0.52083333333333337</v>
      </c>
      <c r="J5" s="2535"/>
      <c r="K5" s="2535"/>
      <c r="L5" s="2536"/>
      <c r="M5" s="2534">
        <v>0.66666666666666663</v>
      </c>
      <c r="N5" s="2535"/>
      <c r="O5" s="2535"/>
      <c r="P5" s="2536"/>
      <c r="Q5" s="2209"/>
    </row>
    <row r="6" spans="1:17" s="589" customFormat="1" ht="40.5" customHeight="1">
      <c r="A6" s="2566"/>
      <c r="B6" s="2567"/>
      <c r="C6" s="2567"/>
      <c r="D6" s="2569"/>
      <c r="E6" s="590" t="s">
        <v>685</v>
      </c>
      <c r="F6" s="2380" t="s">
        <v>686</v>
      </c>
      <c r="G6" s="2388"/>
      <c r="H6" s="2562"/>
      <c r="I6" s="590" t="s">
        <v>685</v>
      </c>
      <c r="J6" s="2380" t="s">
        <v>686</v>
      </c>
      <c r="K6" s="2388"/>
      <c r="L6" s="2562"/>
      <c r="M6" s="590" t="s">
        <v>685</v>
      </c>
      <c r="N6" s="2380" t="s">
        <v>686</v>
      </c>
      <c r="O6" s="2388"/>
      <c r="P6" s="2562"/>
      <c r="Q6" s="300" t="s">
        <v>687</v>
      </c>
    </row>
    <row r="7" spans="1:17" s="589" customFormat="1" ht="27.75" customHeight="1">
      <c r="A7" s="591">
        <v>1</v>
      </c>
      <c r="B7" s="592" t="s">
        <v>688</v>
      </c>
      <c r="C7" s="593" t="s">
        <v>689</v>
      </c>
      <c r="D7" s="548" t="s">
        <v>771</v>
      </c>
      <c r="E7" s="672">
        <f>'R.GUI MAIL'!H25</f>
        <v>0</v>
      </c>
      <c r="F7" s="554" t="s">
        <v>690</v>
      </c>
      <c r="G7" s="555">
        <f>'R.GUI MAIL'!K25</f>
        <v>0</v>
      </c>
      <c r="H7" s="235" t="s">
        <v>691</v>
      </c>
      <c r="I7" s="672">
        <f>'R.GUI MAIL'!N25</f>
        <v>0</v>
      </c>
      <c r="J7" s="554" t="s">
        <v>690</v>
      </c>
      <c r="K7" s="555">
        <f>'R.GUI MAIL'!Q25</f>
        <v>0</v>
      </c>
      <c r="L7" s="235" t="s">
        <v>691</v>
      </c>
      <c r="M7" s="672">
        <f>'R.GUI MAIL'!T25</f>
        <v>0</v>
      </c>
      <c r="N7" s="554" t="s">
        <v>675</v>
      </c>
      <c r="O7" s="555">
        <f>'R.GUI MAIL'!W25</f>
        <v>0</v>
      </c>
      <c r="P7" s="235" t="s">
        <v>676</v>
      </c>
      <c r="Q7" s="300" t="s">
        <v>692</v>
      </c>
    </row>
    <row r="8" spans="1:17" s="598" customFormat="1" ht="27.75" customHeight="1">
      <c r="A8" s="591">
        <v>2</v>
      </c>
      <c r="B8" s="595" t="s">
        <v>693</v>
      </c>
      <c r="C8" s="596" t="s">
        <v>694</v>
      </c>
      <c r="D8" s="597" t="s">
        <v>772</v>
      </c>
      <c r="E8" s="672">
        <f>'R.GUI MAIL'!H26</f>
        <v>0</v>
      </c>
      <c r="F8" s="554" t="s">
        <v>695</v>
      </c>
      <c r="G8" s="555">
        <f>'R.GUI MAIL'!K26</f>
        <v>0</v>
      </c>
      <c r="H8" s="235" t="s">
        <v>696</v>
      </c>
      <c r="I8" s="672">
        <f>'R.GUI MAIL'!N26</f>
        <v>0</v>
      </c>
      <c r="J8" s="554" t="s">
        <v>695</v>
      </c>
      <c r="K8" s="555">
        <f>'R.GUI MAIL'!Q26</f>
        <v>0</v>
      </c>
      <c r="L8" s="235" t="s">
        <v>696</v>
      </c>
      <c r="M8" s="672">
        <f>'R.GUI MAIL'!T26</f>
        <v>0</v>
      </c>
      <c r="N8" s="554" t="s">
        <v>675</v>
      </c>
      <c r="O8" s="555">
        <f>'R.GUI MAIL'!W26</f>
        <v>0</v>
      </c>
      <c r="P8" s="235" t="s">
        <v>696</v>
      </c>
      <c r="Q8" s="300" t="s">
        <v>727</v>
      </c>
    </row>
    <row r="9" spans="1:17" s="598" customFormat="1" ht="27.75" customHeight="1">
      <c r="A9" s="591">
        <v>3</v>
      </c>
      <c r="B9" s="2556" t="s">
        <v>698</v>
      </c>
      <c r="C9" s="2559" t="s">
        <v>466</v>
      </c>
      <c r="D9" s="548" t="s">
        <v>773</v>
      </c>
      <c r="E9" s="672">
        <f>'R.GUI MAIL'!H27</f>
        <v>0</v>
      </c>
      <c r="F9" s="554" t="s">
        <v>690</v>
      </c>
      <c r="G9" s="555">
        <f>'R.GUI MAIL'!K27</f>
        <v>0</v>
      </c>
      <c r="H9" s="235" t="s">
        <v>691</v>
      </c>
      <c r="I9" s="672">
        <f>'R.GUI MAIL'!N27</f>
        <v>0</v>
      </c>
      <c r="J9" s="554" t="s">
        <v>690</v>
      </c>
      <c r="K9" s="555">
        <f>'R.GUI MAIL'!Q27</f>
        <v>0</v>
      </c>
      <c r="L9" s="235" t="s">
        <v>691</v>
      </c>
      <c r="M9" s="672">
        <f>'R.GUI MAIL'!T27</f>
        <v>0</v>
      </c>
      <c r="N9" s="554" t="s">
        <v>675</v>
      </c>
      <c r="O9" s="555">
        <f>'R.GUI MAIL'!W27</f>
        <v>0</v>
      </c>
      <c r="P9" s="235" t="s">
        <v>676</v>
      </c>
      <c r="Q9" s="300" t="s">
        <v>729</v>
      </c>
    </row>
    <row r="10" spans="1:17" s="598" customFormat="1" ht="27.75" customHeight="1">
      <c r="A10" s="591">
        <v>4</v>
      </c>
      <c r="B10" s="2557"/>
      <c r="C10" s="2559"/>
      <c r="D10" s="548" t="s">
        <v>769</v>
      </c>
      <c r="E10" s="672">
        <f>'R.GUI MAIL'!H28</f>
        <v>0</v>
      </c>
      <c r="F10" s="554" t="s">
        <v>690</v>
      </c>
      <c r="G10" s="555">
        <f>'R.GUI MAIL'!K28</f>
        <v>0</v>
      </c>
      <c r="H10" s="235" t="s">
        <v>691</v>
      </c>
      <c r="I10" s="672">
        <f>'R.GUI MAIL'!N28</f>
        <v>0</v>
      </c>
      <c r="J10" s="554" t="s">
        <v>690</v>
      </c>
      <c r="K10" s="555">
        <f>'R.GUI MAIL'!Q28</f>
        <v>0</v>
      </c>
      <c r="L10" s="235" t="s">
        <v>691</v>
      </c>
      <c r="M10" s="672">
        <f>'R.GUI MAIL'!T28</f>
        <v>0</v>
      </c>
      <c r="N10" s="554" t="s">
        <v>675</v>
      </c>
      <c r="O10" s="555">
        <f>'R.GUI MAIL'!W28</f>
        <v>0</v>
      </c>
      <c r="P10" s="235" t="s">
        <v>676</v>
      </c>
      <c r="Q10" s="300" t="s">
        <v>730</v>
      </c>
    </row>
    <row r="11" spans="1:17" s="598" customFormat="1" ht="27.75" customHeight="1">
      <c r="A11" s="591">
        <v>5</v>
      </c>
      <c r="B11" s="2558"/>
      <c r="C11" s="2559"/>
      <c r="D11" s="548" t="s">
        <v>651</v>
      </c>
      <c r="E11" s="673">
        <f>'R.GUI MAIL'!H29</f>
        <v>0</v>
      </c>
      <c r="F11" s="554" t="s">
        <v>690</v>
      </c>
      <c r="G11" s="555">
        <f>'R.GUI MAIL'!K29</f>
        <v>0</v>
      </c>
      <c r="H11" s="75" t="s">
        <v>691</v>
      </c>
      <c r="I11" s="673">
        <f>'R.GUI MAIL'!N29</f>
        <v>0</v>
      </c>
      <c r="J11" s="554" t="s">
        <v>690</v>
      </c>
      <c r="K11" s="555">
        <f>'R.GUI MAIL'!Q29</f>
        <v>0</v>
      </c>
      <c r="L11" s="75" t="s">
        <v>691</v>
      </c>
      <c r="M11" s="673">
        <f>'R.GUI MAIL'!T29</f>
        <v>0</v>
      </c>
      <c r="N11" s="554" t="s">
        <v>675</v>
      </c>
      <c r="O11" s="555">
        <f>'R.GUI MAIL'!W29</f>
        <v>0</v>
      </c>
      <c r="P11" s="75" t="s">
        <v>676</v>
      </c>
      <c r="Q11" s="600"/>
    </row>
    <row r="12" spans="1:17" s="603" customFormat="1" ht="27.75" customHeight="1">
      <c r="A12" s="591">
        <v>6</v>
      </c>
      <c r="B12" s="2556" t="s">
        <v>701</v>
      </c>
      <c r="C12" s="593" t="s">
        <v>466</v>
      </c>
      <c r="D12" s="548" t="s">
        <v>476</v>
      </c>
      <c r="E12" s="672">
        <f>'R.GUI MAIL'!H30</f>
        <v>0</v>
      </c>
      <c r="F12" s="554"/>
      <c r="G12" s="601">
        <f>'R.GUI MAIL'!K30</f>
        <v>0</v>
      </c>
      <c r="H12" s="75" t="s">
        <v>691</v>
      </c>
      <c r="I12" s="672">
        <f>'R.GUI MAIL'!N30</f>
        <v>0</v>
      </c>
      <c r="J12" s="554"/>
      <c r="K12" s="601">
        <f>'R.GUI MAIL'!Q30</f>
        <v>0</v>
      </c>
      <c r="L12" s="75" t="s">
        <v>691</v>
      </c>
      <c r="M12" s="672">
        <f>'R.GUI MAIL'!T30</f>
        <v>0</v>
      </c>
      <c r="N12" s="554"/>
      <c r="O12" s="601">
        <f>'R.GUI MAIL'!W30</f>
        <v>0</v>
      </c>
      <c r="P12" s="75" t="s">
        <v>676</v>
      </c>
      <c r="Q12" s="602" t="s">
        <v>702</v>
      </c>
    </row>
    <row r="13" spans="1:17" s="603" customFormat="1" ht="27.75" customHeight="1">
      <c r="A13" s="591">
        <v>7</v>
      </c>
      <c r="B13" s="2558"/>
      <c r="C13" s="604" t="s">
        <v>703</v>
      </c>
      <c r="D13" s="1102" t="s">
        <v>1030</v>
      </c>
      <c r="E13" s="672">
        <f>'R.GUI MAIL'!H31</f>
        <v>0</v>
      </c>
      <c r="F13" s="554" t="s">
        <v>690</v>
      </c>
      <c r="G13" s="555">
        <f>'R.GUI MAIL'!K31</f>
        <v>0</v>
      </c>
      <c r="H13" s="235" t="s">
        <v>691</v>
      </c>
      <c r="I13" s="672">
        <f>'R.GUI MAIL'!N31</f>
        <v>0</v>
      </c>
      <c r="J13" s="554" t="s">
        <v>690</v>
      </c>
      <c r="K13" s="555">
        <f>'R.GUI MAIL'!Q31</f>
        <v>0</v>
      </c>
      <c r="L13" s="235" t="s">
        <v>691</v>
      </c>
      <c r="M13" s="672">
        <f>'R.GUI MAIL'!T31</f>
        <v>0</v>
      </c>
      <c r="N13" s="554" t="s">
        <v>675</v>
      </c>
      <c r="O13" s="555">
        <f>'R.GUI MAIL'!W31</f>
        <v>0</v>
      </c>
      <c r="P13" s="235" t="s">
        <v>676</v>
      </c>
      <c r="Q13" s="235"/>
    </row>
    <row r="14" spans="1:17" s="598" customFormat="1" ht="30.75" customHeight="1">
      <c r="A14" s="2560" t="s">
        <v>704</v>
      </c>
      <c r="B14" s="2560"/>
      <c r="C14" s="2560"/>
      <c r="D14" s="2560"/>
      <c r="E14" s="2560"/>
      <c r="F14" s="2560"/>
      <c r="G14" s="2560"/>
      <c r="H14" s="2560"/>
      <c r="I14" s="2560"/>
      <c r="J14" s="2560"/>
      <c r="K14" s="2560"/>
      <c r="L14" s="2560"/>
      <c r="M14" s="2560"/>
      <c r="N14" s="2560"/>
      <c r="O14" s="2560"/>
      <c r="P14" s="2560"/>
      <c r="Q14" s="2560"/>
    </row>
    <row r="15" spans="1:17" s="598" customFormat="1" ht="37.5" customHeight="1">
      <c r="A15" s="235" t="s">
        <v>705</v>
      </c>
      <c r="B15" s="605" t="s">
        <v>706</v>
      </c>
      <c r="C15" s="605" t="s">
        <v>707</v>
      </c>
      <c r="D15" s="605" t="s">
        <v>708</v>
      </c>
      <c r="E15" s="2516" t="s">
        <v>48</v>
      </c>
      <c r="F15" s="2516"/>
      <c r="G15" s="2516" t="s">
        <v>65</v>
      </c>
      <c r="H15" s="2516"/>
      <c r="I15" s="2516" t="s">
        <v>48</v>
      </c>
      <c r="J15" s="2516"/>
      <c r="K15" s="2516" t="s">
        <v>65</v>
      </c>
      <c r="L15" s="2516"/>
      <c r="M15" s="2516" t="s">
        <v>48</v>
      </c>
      <c r="N15" s="2516"/>
      <c r="O15" s="2516" t="s">
        <v>65</v>
      </c>
      <c r="P15" s="2516"/>
      <c r="Q15" s="365"/>
    </row>
    <row r="16" spans="1:17" s="598" customFormat="1" ht="27.75" customHeight="1">
      <c r="A16" s="235">
        <v>1</v>
      </c>
      <c r="B16" s="605" t="s">
        <v>709</v>
      </c>
      <c r="C16" s="606" t="s">
        <v>710</v>
      </c>
      <c r="D16" s="548" t="s">
        <v>711</v>
      </c>
      <c r="E16" s="2671">
        <f>'R.FILE GOC'!H34</f>
        <v>0</v>
      </c>
      <c r="F16" s="2672"/>
      <c r="G16" s="2181">
        <f>'R.FILE GOC'!K34</f>
        <v>0</v>
      </c>
      <c r="H16" s="2182"/>
      <c r="I16" s="2671">
        <f>'R.FILE GOC'!N34</f>
        <v>0</v>
      </c>
      <c r="J16" s="2672"/>
      <c r="K16" s="2181">
        <f>'R.FILE GOC'!Q34</f>
        <v>0</v>
      </c>
      <c r="L16" s="2182"/>
      <c r="M16" s="2671">
        <f>'R.GUI MAIL'!T34</f>
        <v>0</v>
      </c>
      <c r="N16" s="2672"/>
      <c r="O16" s="2185">
        <f>'R.FILE GOC'!W34</f>
        <v>0</v>
      </c>
      <c r="P16" s="2185"/>
      <c r="Q16" s="555"/>
    </row>
    <row r="17" spans="1:17" s="598" customFormat="1" ht="27.75" customHeight="1">
      <c r="A17" s="235">
        <v>2</v>
      </c>
      <c r="B17" s="605" t="s">
        <v>712</v>
      </c>
      <c r="C17" s="606" t="s">
        <v>710</v>
      </c>
      <c r="D17" s="548" t="s">
        <v>713</v>
      </c>
      <c r="E17" s="2181">
        <f>'R.FILE GOC'!H35</f>
        <v>0</v>
      </c>
      <c r="F17" s="2182"/>
      <c r="G17" s="2181">
        <f>'R.FILE GOC'!K35</f>
        <v>0</v>
      </c>
      <c r="H17" s="2182"/>
      <c r="I17" s="2181">
        <f>'R.FILE GOC'!N35</f>
        <v>0</v>
      </c>
      <c r="J17" s="2182"/>
      <c r="K17" s="2181">
        <f>'R.FILE GOC'!Q35</f>
        <v>0</v>
      </c>
      <c r="L17" s="2182"/>
      <c r="M17" s="2181">
        <f>'R.GUI MAIL'!T35</f>
        <v>0</v>
      </c>
      <c r="N17" s="2182"/>
      <c r="O17" s="2185">
        <f>'R.FILE GOC'!W35</f>
        <v>0</v>
      </c>
      <c r="P17" s="2185"/>
      <c r="Q17" s="555"/>
    </row>
    <row r="18" spans="1:17" s="598" customFormat="1" ht="27.75" customHeight="1">
      <c r="A18" s="235">
        <v>3</v>
      </c>
      <c r="B18" s="605" t="s">
        <v>714</v>
      </c>
      <c r="C18" s="606" t="s">
        <v>710</v>
      </c>
      <c r="D18" s="548" t="s">
        <v>715</v>
      </c>
      <c r="E18" s="2671">
        <f>'R.FILE GOC'!H36</f>
        <v>0</v>
      </c>
      <c r="F18" s="2672"/>
      <c r="G18" s="2181">
        <f>'R.FILE GOC'!K36</f>
        <v>0</v>
      </c>
      <c r="H18" s="2182"/>
      <c r="I18" s="2671">
        <f>'R.FILE GOC'!N36</f>
        <v>0</v>
      </c>
      <c r="J18" s="2672"/>
      <c r="K18" s="2181">
        <f>'R.FILE GOC'!Q36</f>
        <v>0</v>
      </c>
      <c r="L18" s="2182"/>
      <c r="M18" s="2671">
        <f>'R.GUI MAIL'!T36</f>
        <v>0</v>
      </c>
      <c r="N18" s="2672"/>
      <c r="O18" s="2185">
        <f>'R.FILE GOC'!W36</f>
        <v>0</v>
      </c>
      <c r="P18" s="2185"/>
      <c r="Q18" s="555"/>
    </row>
    <row r="19" spans="1:17" ht="36.75" customHeight="1">
      <c r="A19" s="2543" t="s">
        <v>979</v>
      </c>
      <c r="B19" s="2543"/>
      <c r="C19" s="2543"/>
      <c r="D19" s="2543"/>
      <c r="E19" s="2543"/>
      <c r="F19" s="2543"/>
      <c r="G19" s="2543"/>
      <c r="H19" s="2543"/>
      <c r="I19" s="2543"/>
      <c r="J19" s="2543"/>
      <c r="K19" s="2543"/>
      <c r="L19" s="2543"/>
      <c r="M19" s="536"/>
      <c r="N19" s="536"/>
      <c r="O19" s="536"/>
      <c r="P19" s="536"/>
      <c r="Q19" s="607"/>
    </row>
    <row r="20" spans="1:17" ht="21.75" customHeight="1">
      <c r="A20" s="537"/>
      <c r="B20" s="538" t="s">
        <v>716</v>
      </c>
      <c r="C20" s="539"/>
      <c r="D20" s="539"/>
      <c r="E20" s="539"/>
      <c r="F20" s="539"/>
      <c r="G20" s="539"/>
      <c r="H20" s="539"/>
      <c r="I20" s="2563"/>
      <c r="J20" s="2563"/>
      <c r="K20" s="2563"/>
      <c r="L20" s="587"/>
      <c r="M20" s="2563"/>
      <c r="N20" s="2563"/>
      <c r="O20" s="2563"/>
      <c r="P20" s="587"/>
      <c r="Q20" s="608"/>
    </row>
    <row r="21" spans="1:17" s="589" customFormat="1" ht="37.5" customHeight="1">
      <c r="A21" s="2564" t="s">
        <v>717</v>
      </c>
      <c r="B21" s="2561" t="s">
        <v>681</v>
      </c>
      <c r="C21" s="2561" t="s">
        <v>682</v>
      </c>
      <c r="D21" s="2568" t="s">
        <v>683</v>
      </c>
      <c r="E21" s="2508" t="s">
        <v>974</v>
      </c>
      <c r="F21" s="2509"/>
      <c r="G21" s="2509"/>
      <c r="H21" s="2509"/>
      <c r="I21" s="2509"/>
      <c r="J21" s="2509"/>
      <c r="K21" s="2509"/>
      <c r="L21" s="2509"/>
      <c r="M21" s="2509"/>
      <c r="N21" s="2509"/>
      <c r="O21" s="2509"/>
      <c r="P21" s="2510"/>
      <c r="Q21" s="2219" t="s">
        <v>684</v>
      </c>
    </row>
    <row r="22" spans="1:17" s="589" customFormat="1" ht="20.25" customHeight="1">
      <c r="A22" s="2565"/>
      <c r="B22" s="2561"/>
      <c r="C22" s="2561"/>
      <c r="D22" s="2568"/>
      <c r="E22" s="2533">
        <v>0.83333333333333337</v>
      </c>
      <c r="F22" s="2524"/>
      <c r="G22" s="2524"/>
      <c r="H22" s="2524"/>
      <c r="I22" s="2534">
        <v>4.1666666666666664E-2</v>
      </c>
      <c r="J22" s="2535"/>
      <c r="K22" s="2535"/>
      <c r="L22" s="2536"/>
      <c r="M22" s="2534">
        <v>0.16666666666666666</v>
      </c>
      <c r="N22" s="2535"/>
      <c r="O22" s="2535"/>
      <c r="P22" s="2536"/>
      <c r="Q22" s="2219"/>
    </row>
    <row r="23" spans="1:17" s="589" customFormat="1" ht="36" customHeight="1">
      <c r="A23" s="2566"/>
      <c r="B23" s="2567"/>
      <c r="C23" s="2567"/>
      <c r="D23" s="2569"/>
      <c r="E23" s="590" t="s">
        <v>685</v>
      </c>
      <c r="F23" s="2380" t="s">
        <v>686</v>
      </c>
      <c r="G23" s="2388"/>
      <c r="H23" s="2562"/>
      <c r="I23" s="590" t="s">
        <v>685</v>
      </c>
      <c r="J23" s="2380" t="s">
        <v>686</v>
      </c>
      <c r="K23" s="2388"/>
      <c r="L23" s="2562"/>
      <c r="M23" s="590" t="s">
        <v>685</v>
      </c>
      <c r="N23" s="2380" t="s">
        <v>686</v>
      </c>
      <c r="O23" s="2388"/>
      <c r="P23" s="2562"/>
      <c r="Q23" s="300" t="s">
        <v>687</v>
      </c>
    </row>
    <row r="24" spans="1:17" s="589" customFormat="1" ht="30.75" customHeight="1">
      <c r="A24" s="591">
        <v>1</v>
      </c>
      <c r="B24" s="592" t="s">
        <v>688</v>
      </c>
      <c r="C24" s="593" t="s">
        <v>689</v>
      </c>
      <c r="D24" s="548" t="s">
        <v>771</v>
      </c>
      <c r="E24" s="672">
        <f>'R.GUI MAIL'!Z25</f>
        <v>0</v>
      </c>
      <c r="F24" s="554" t="s">
        <v>641</v>
      </c>
      <c r="G24" s="555">
        <f>'R.GUI MAIL'!AC25</f>
        <v>0</v>
      </c>
      <c r="H24" s="235" t="s">
        <v>718</v>
      </c>
      <c r="I24" s="672">
        <f>'R.GUI MAIL'!AF25</f>
        <v>0</v>
      </c>
      <c r="J24" s="554" t="s">
        <v>641</v>
      </c>
      <c r="K24" s="555">
        <f>'R.GUI MAIL'!AI25</f>
        <v>0</v>
      </c>
      <c r="L24" s="555" t="s">
        <v>718</v>
      </c>
      <c r="M24" s="672">
        <f>'R.GUI MAIL'!AL25</f>
        <v>0</v>
      </c>
      <c r="N24" s="554" t="s">
        <v>641</v>
      </c>
      <c r="O24" s="555">
        <f>'R.GUI MAIL'!AO25</f>
        <v>0</v>
      </c>
      <c r="P24" s="235" t="s">
        <v>718</v>
      </c>
      <c r="Q24" s="300" t="s">
        <v>692</v>
      </c>
    </row>
    <row r="25" spans="1:17" s="598" customFormat="1" ht="30.75" customHeight="1">
      <c r="A25" s="591">
        <v>2</v>
      </c>
      <c r="B25" s="595" t="s">
        <v>693</v>
      </c>
      <c r="C25" s="596" t="s">
        <v>719</v>
      </c>
      <c r="D25" s="597" t="s">
        <v>772</v>
      </c>
      <c r="E25" s="672">
        <f>'R.GUI MAIL'!Z26</f>
        <v>0</v>
      </c>
      <c r="F25" s="554" t="s">
        <v>641</v>
      </c>
      <c r="G25" s="555">
        <f>'R.GUI MAIL'!AC26</f>
        <v>0</v>
      </c>
      <c r="H25" s="235" t="s">
        <v>720</v>
      </c>
      <c r="I25" s="672">
        <f>'R.GUI MAIL'!AF26</f>
        <v>0</v>
      </c>
      <c r="J25" s="554" t="s">
        <v>641</v>
      </c>
      <c r="K25" s="555">
        <f>'R.GUI MAIL'!AI26</f>
        <v>0</v>
      </c>
      <c r="L25" s="555" t="s">
        <v>720</v>
      </c>
      <c r="M25" s="672">
        <f>'R.GUI MAIL'!AL26</f>
        <v>0</v>
      </c>
      <c r="N25" s="554" t="s">
        <v>641</v>
      </c>
      <c r="O25" s="555">
        <f>'R.GUI MAIL'!AO26</f>
        <v>0</v>
      </c>
      <c r="P25" s="235" t="s">
        <v>720</v>
      </c>
      <c r="Q25" s="300" t="s">
        <v>727</v>
      </c>
    </row>
    <row r="26" spans="1:17" s="598" customFormat="1" ht="30.75" customHeight="1">
      <c r="A26" s="591">
        <v>3</v>
      </c>
      <c r="B26" s="2556" t="s">
        <v>721</v>
      </c>
      <c r="C26" s="2559" t="s">
        <v>722</v>
      </c>
      <c r="D26" s="548" t="s">
        <v>773</v>
      </c>
      <c r="E26" s="672">
        <f>'R.GUI MAIL'!Z27</f>
        <v>0</v>
      </c>
      <c r="F26" s="554" t="s">
        <v>641</v>
      </c>
      <c r="G26" s="555">
        <f>'R.GUI MAIL'!AC27</f>
        <v>0</v>
      </c>
      <c r="H26" s="235" t="s">
        <v>718</v>
      </c>
      <c r="I26" s="672">
        <f>'R.GUI MAIL'!AF27</f>
        <v>0</v>
      </c>
      <c r="J26" s="554" t="s">
        <v>641</v>
      </c>
      <c r="K26" s="555">
        <f>'R.GUI MAIL'!AI27</f>
        <v>0</v>
      </c>
      <c r="L26" s="555" t="s">
        <v>718</v>
      </c>
      <c r="M26" s="672">
        <f>'R.GUI MAIL'!AL27</f>
        <v>0</v>
      </c>
      <c r="N26" s="554" t="s">
        <v>641</v>
      </c>
      <c r="O26" s="555">
        <f>'R.GUI MAIL'!AO27</f>
        <v>0</v>
      </c>
      <c r="P26" s="235" t="s">
        <v>718</v>
      </c>
      <c r="Q26" s="300" t="s">
        <v>729</v>
      </c>
    </row>
    <row r="27" spans="1:17" s="598" customFormat="1" ht="30.75" customHeight="1">
      <c r="A27" s="591">
        <v>4</v>
      </c>
      <c r="B27" s="2557"/>
      <c r="C27" s="2559"/>
      <c r="D27" s="548" t="s">
        <v>769</v>
      </c>
      <c r="E27" s="672">
        <f>'R.GUI MAIL'!Z28</f>
        <v>0</v>
      </c>
      <c r="F27" s="554" t="s">
        <v>641</v>
      </c>
      <c r="G27" s="555">
        <f>'R.GUI MAIL'!AC28</f>
        <v>0</v>
      </c>
      <c r="H27" s="235" t="s">
        <v>718</v>
      </c>
      <c r="I27" s="672">
        <f>'R.GUI MAIL'!AF28</f>
        <v>0</v>
      </c>
      <c r="J27" s="554" t="s">
        <v>641</v>
      </c>
      <c r="K27" s="555">
        <f>'R.GUI MAIL'!AI28</f>
        <v>0</v>
      </c>
      <c r="L27" s="555" t="s">
        <v>718</v>
      </c>
      <c r="M27" s="672">
        <f>'R.GUI MAIL'!AL28</f>
        <v>0</v>
      </c>
      <c r="N27" s="554" t="s">
        <v>641</v>
      </c>
      <c r="O27" s="555">
        <f>'R.GUI MAIL'!AO28</f>
        <v>0</v>
      </c>
      <c r="P27" s="235" t="s">
        <v>718</v>
      </c>
      <c r="Q27" s="300" t="s">
        <v>730</v>
      </c>
    </row>
    <row r="28" spans="1:17" s="598" customFormat="1" ht="30.75" customHeight="1">
      <c r="A28" s="591">
        <v>5</v>
      </c>
      <c r="B28" s="2558"/>
      <c r="C28" s="2559"/>
      <c r="D28" s="548" t="s">
        <v>651</v>
      </c>
      <c r="E28" s="673">
        <f>'R.GUI MAIL'!Z29</f>
        <v>0</v>
      </c>
      <c r="F28" s="554" t="s">
        <v>641</v>
      </c>
      <c r="G28" s="555">
        <f>'R.GUI MAIL'!AC29</f>
        <v>0</v>
      </c>
      <c r="H28" s="75" t="s">
        <v>718</v>
      </c>
      <c r="I28" s="673">
        <f>'R.GUI MAIL'!AF29</f>
        <v>0</v>
      </c>
      <c r="J28" s="554" t="s">
        <v>641</v>
      </c>
      <c r="K28" s="555">
        <f>'R.GUI MAIL'!AI29</f>
        <v>0</v>
      </c>
      <c r="L28" s="555" t="s">
        <v>718</v>
      </c>
      <c r="M28" s="673">
        <f>'R.GUI MAIL'!AL29</f>
        <v>0</v>
      </c>
      <c r="N28" s="554" t="s">
        <v>641</v>
      </c>
      <c r="O28" s="555">
        <f>'R.GUI MAIL'!AO29</f>
        <v>0</v>
      </c>
      <c r="P28" s="75" t="s">
        <v>718</v>
      </c>
      <c r="Q28" s="600"/>
    </row>
    <row r="29" spans="1:17" s="603" customFormat="1" ht="30.75" customHeight="1">
      <c r="A29" s="591">
        <v>6</v>
      </c>
      <c r="B29" s="2556" t="s">
        <v>701</v>
      </c>
      <c r="C29" s="593" t="s">
        <v>466</v>
      </c>
      <c r="D29" s="548" t="s">
        <v>476</v>
      </c>
      <c r="E29" s="672">
        <f>'R.GUI MAIL'!Z30</f>
        <v>0</v>
      </c>
      <c r="F29" s="609" t="s">
        <v>641</v>
      </c>
      <c r="G29" s="601">
        <f>'R.GUI MAIL'!AC30</f>
        <v>0</v>
      </c>
      <c r="H29" s="594" t="s">
        <v>718</v>
      </c>
      <c r="I29" s="672">
        <f>'R.GUI MAIL'!AF30</f>
        <v>0</v>
      </c>
      <c r="J29" s="609" t="s">
        <v>641</v>
      </c>
      <c r="K29" s="601">
        <f>'R.GUI MAIL'!AI30</f>
        <v>0</v>
      </c>
      <c r="L29" s="601" t="s">
        <v>718</v>
      </c>
      <c r="M29" s="672">
        <f>'R.GUI MAIL'!AL30</f>
        <v>0</v>
      </c>
      <c r="N29" s="609" t="s">
        <v>641</v>
      </c>
      <c r="O29" s="601">
        <f>'R.GUI MAIL'!AO30</f>
        <v>0</v>
      </c>
      <c r="P29" s="594" t="s">
        <v>718</v>
      </c>
      <c r="Q29" s="602" t="s">
        <v>702</v>
      </c>
    </row>
    <row r="30" spans="1:17" s="603" customFormat="1" ht="30.75" customHeight="1">
      <c r="A30" s="591">
        <v>7</v>
      </c>
      <c r="B30" s="2558"/>
      <c r="C30" s="604" t="s">
        <v>723</v>
      </c>
      <c r="D30" s="1102" t="s">
        <v>1030</v>
      </c>
      <c r="E30" s="672">
        <f>'R.GUI MAIL'!Z31</f>
        <v>0</v>
      </c>
      <c r="F30" s="554" t="s">
        <v>641</v>
      </c>
      <c r="G30" s="555">
        <f>'R.GUI MAIL'!AC31</f>
        <v>0</v>
      </c>
      <c r="H30" s="235" t="s">
        <v>718</v>
      </c>
      <c r="I30" s="672">
        <f>'R.GUI MAIL'!AF31</f>
        <v>0</v>
      </c>
      <c r="J30" s="554" t="s">
        <v>641</v>
      </c>
      <c r="K30" s="555">
        <f>'R.GUI MAIL'!AI31</f>
        <v>0</v>
      </c>
      <c r="L30" s="555" t="s">
        <v>718</v>
      </c>
      <c r="M30" s="672">
        <f>'R.GUI MAIL'!AL31</f>
        <v>0</v>
      </c>
      <c r="N30" s="554" t="s">
        <v>641</v>
      </c>
      <c r="O30" s="555">
        <f>'R.GUI MAIL'!AO31</f>
        <v>0</v>
      </c>
      <c r="P30" s="235" t="s">
        <v>718</v>
      </c>
      <c r="Q30" s="235"/>
    </row>
    <row r="31" spans="1:17" s="598" customFormat="1" ht="25.5" customHeight="1">
      <c r="A31" s="2560" t="s">
        <v>704</v>
      </c>
      <c r="B31" s="2560"/>
      <c r="C31" s="2560"/>
      <c r="D31" s="2560"/>
      <c r="E31" s="2560"/>
      <c r="F31" s="2560"/>
      <c r="G31" s="2560"/>
      <c r="H31" s="2560"/>
      <c r="I31" s="2560"/>
      <c r="J31" s="2560"/>
      <c r="K31" s="2560"/>
      <c r="L31" s="2560"/>
      <c r="M31" s="2560"/>
      <c r="N31" s="2560"/>
      <c r="O31" s="2560"/>
      <c r="P31" s="2560"/>
      <c r="Q31" s="2560"/>
    </row>
    <row r="32" spans="1:17" s="598" customFormat="1" ht="38.25" customHeight="1">
      <c r="A32" s="235" t="s">
        <v>724</v>
      </c>
      <c r="B32" s="605" t="s">
        <v>706</v>
      </c>
      <c r="C32" s="605" t="s">
        <v>707</v>
      </c>
      <c r="D32" s="605" t="s">
        <v>708</v>
      </c>
      <c r="E32" s="2516" t="s">
        <v>48</v>
      </c>
      <c r="F32" s="2516"/>
      <c r="G32" s="2516" t="s">
        <v>65</v>
      </c>
      <c r="H32" s="2516"/>
      <c r="I32" s="2516" t="s">
        <v>48</v>
      </c>
      <c r="J32" s="2516"/>
      <c r="K32" s="2516" t="s">
        <v>65</v>
      </c>
      <c r="L32" s="2516"/>
      <c r="M32" s="2516" t="s">
        <v>48</v>
      </c>
      <c r="N32" s="2516"/>
      <c r="O32" s="2516" t="s">
        <v>65</v>
      </c>
      <c r="P32" s="2516"/>
      <c r="Q32" s="365"/>
    </row>
    <row r="33" spans="1:17" s="598" customFormat="1" ht="30" customHeight="1">
      <c r="A33" s="235">
        <v>1</v>
      </c>
      <c r="B33" s="605" t="s">
        <v>709</v>
      </c>
      <c r="C33" s="606" t="s">
        <v>710</v>
      </c>
      <c r="D33" s="548" t="s">
        <v>711</v>
      </c>
      <c r="E33" s="2671">
        <f>'R.GUI MAIL'!Z34</f>
        <v>0</v>
      </c>
      <c r="F33" s="2672"/>
      <c r="G33" s="2181">
        <f>'R.FILE GOC'!AC34</f>
        <v>0</v>
      </c>
      <c r="H33" s="2182"/>
      <c r="I33" s="2671">
        <f>'R.GUI MAIL'!AF34</f>
        <v>0</v>
      </c>
      <c r="J33" s="2672"/>
      <c r="K33" s="2181">
        <f>'R.FILE GOC'!AI34</f>
        <v>0</v>
      </c>
      <c r="L33" s="2182"/>
      <c r="M33" s="2671">
        <f>'R.GUI MAIL'!AL34</f>
        <v>0</v>
      </c>
      <c r="N33" s="2672"/>
      <c r="O33" s="2185">
        <f>'R.FILE GOC'!AO34</f>
        <v>0</v>
      </c>
      <c r="P33" s="2185"/>
      <c r="Q33" s="555"/>
    </row>
    <row r="34" spans="1:17" s="598" customFormat="1" ht="30" customHeight="1">
      <c r="A34" s="235">
        <v>2</v>
      </c>
      <c r="B34" s="605" t="s">
        <v>725</v>
      </c>
      <c r="C34" s="606" t="s">
        <v>710</v>
      </c>
      <c r="D34" s="548" t="s">
        <v>713</v>
      </c>
      <c r="E34" s="2181">
        <f>'R.GUI MAIL'!Z35</f>
        <v>0</v>
      </c>
      <c r="F34" s="2182"/>
      <c r="G34" s="2181">
        <f>'R.FILE GOC'!AC35</f>
        <v>0</v>
      </c>
      <c r="H34" s="2182"/>
      <c r="I34" s="2181">
        <f>'R.GUI MAIL'!AF35</f>
        <v>0</v>
      </c>
      <c r="J34" s="2182"/>
      <c r="K34" s="2181">
        <f>'R.FILE GOC'!AI35</f>
        <v>0</v>
      </c>
      <c r="L34" s="2182"/>
      <c r="M34" s="2181">
        <f>'R.GUI MAIL'!AL35</f>
        <v>0</v>
      </c>
      <c r="N34" s="2182"/>
      <c r="O34" s="2185">
        <f>'R.FILE GOC'!AO35</f>
        <v>0</v>
      </c>
      <c r="P34" s="2185"/>
      <c r="Q34" s="555"/>
    </row>
    <row r="35" spans="1:17" s="598" customFormat="1" ht="30" customHeight="1">
      <c r="A35" s="235">
        <v>3</v>
      </c>
      <c r="B35" s="605" t="s">
        <v>714</v>
      </c>
      <c r="C35" s="606" t="s">
        <v>710</v>
      </c>
      <c r="D35" s="548" t="s">
        <v>715</v>
      </c>
      <c r="E35" s="2671">
        <f>'R.GUI MAIL'!Z36</f>
        <v>0</v>
      </c>
      <c r="F35" s="2672"/>
      <c r="G35" s="2181">
        <f>'R.FILE GOC'!AC36</f>
        <v>0</v>
      </c>
      <c r="H35" s="2182"/>
      <c r="I35" s="2671">
        <f>'R.GUI MAIL'!AF36</f>
        <v>0</v>
      </c>
      <c r="J35" s="2672"/>
      <c r="K35" s="2181">
        <f>'R.FILE GOC'!AI36</f>
        <v>0</v>
      </c>
      <c r="L35" s="2182"/>
      <c r="M35" s="2671">
        <f>'R.GUI MAIL'!AL36</f>
        <v>0</v>
      </c>
      <c r="N35" s="2672"/>
      <c r="O35" s="2185">
        <f>'R.FILE GOC'!AO36</f>
        <v>0</v>
      </c>
      <c r="P35" s="2185"/>
      <c r="Q35" s="555"/>
    </row>
  </sheetData>
  <sheetProtection selectLockedCells="1"/>
  <mergeCells count="88">
    <mergeCell ref="A4:A6"/>
    <mergeCell ref="B4:B6"/>
    <mergeCell ref="C4:C6"/>
    <mergeCell ref="D4:D6"/>
    <mergeCell ref="E4:P4"/>
    <mergeCell ref="A1:L1"/>
    <mergeCell ref="A2:L2"/>
    <mergeCell ref="O2:P2"/>
    <mergeCell ref="I3:K3"/>
    <mergeCell ref="O3:P3"/>
    <mergeCell ref="Q4:Q5"/>
    <mergeCell ref="E5:H5"/>
    <mergeCell ref="I5:L5"/>
    <mergeCell ref="M5:P5"/>
    <mergeCell ref="F6:H6"/>
    <mergeCell ref="J6:L6"/>
    <mergeCell ref="N6:P6"/>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O18:P18"/>
    <mergeCell ref="E17:F17"/>
    <mergeCell ref="G17:H17"/>
    <mergeCell ref="I17:J17"/>
    <mergeCell ref="K17:L17"/>
    <mergeCell ref="M17:N17"/>
    <mergeCell ref="O17:P17"/>
    <mergeCell ref="E18:F18"/>
    <mergeCell ref="G18:H18"/>
    <mergeCell ref="I18:J18"/>
    <mergeCell ref="K18:L18"/>
    <mergeCell ref="M18:N18"/>
    <mergeCell ref="A19:L19"/>
    <mergeCell ref="I20:K20"/>
    <mergeCell ref="M20:O20"/>
    <mergeCell ref="A21:A23"/>
    <mergeCell ref="B21:B23"/>
    <mergeCell ref="C21:C23"/>
    <mergeCell ref="D21:D23"/>
    <mergeCell ref="E21:P21"/>
    <mergeCell ref="Q21:Q22"/>
    <mergeCell ref="E22:H22"/>
    <mergeCell ref="I22:L22"/>
    <mergeCell ref="M22:P22"/>
    <mergeCell ref="F23:H23"/>
    <mergeCell ref="J23:L23"/>
    <mergeCell ref="N23:P23"/>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O35:P35"/>
    <mergeCell ref="E34:F34"/>
    <mergeCell ref="G34:H34"/>
    <mergeCell ref="I34:J34"/>
    <mergeCell ref="K34:L34"/>
    <mergeCell ref="M34:N34"/>
    <mergeCell ref="O34:P34"/>
    <mergeCell ref="E35:F35"/>
    <mergeCell ref="G35:H35"/>
    <mergeCell ref="I35:J35"/>
    <mergeCell ref="K35:L35"/>
    <mergeCell ref="M35:N35"/>
  </mergeCells>
  <phoneticPr fontId="6" type="noConversion"/>
  <conditionalFormatting sqref="E8 I8 M8 M25 I25 E25">
    <cfRule type="expression" dxfId="341" priority="111">
      <formula>E8&lt;10</formula>
    </cfRule>
    <cfRule type="expression" dxfId="340" priority="112">
      <formula>E8&gt;15</formula>
    </cfRule>
  </conditionalFormatting>
  <conditionalFormatting sqref="E7 I7 M7 M24 I24 E24">
    <cfRule type="expression" dxfId="339" priority="109">
      <formula>E7&lt;30</formula>
    </cfRule>
    <cfRule type="expression" dxfId="338" priority="110">
      <formula>E7&gt;50</formula>
    </cfRule>
  </conditionalFormatting>
  <conditionalFormatting sqref="E9 I9 M9 M26 I26 E26">
    <cfRule type="expression" dxfId="337" priority="107">
      <formula>E9&lt;40</formula>
    </cfRule>
    <cfRule type="expression" dxfId="336" priority="108">
      <formula>E9&gt;60</formula>
    </cfRule>
  </conditionalFormatting>
  <conditionalFormatting sqref="E10 I10 M10 M27 I27 E27">
    <cfRule type="expression" dxfId="335" priority="105">
      <formula>E10&lt;5.2</formula>
    </cfRule>
    <cfRule type="expression" dxfId="334" priority="106">
      <formula>E10&gt;7.8</formula>
    </cfRule>
  </conditionalFormatting>
  <conditionalFormatting sqref="E11 I11 M11 M28 I28 E28">
    <cfRule type="expression" dxfId="333" priority="104">
      <formula>E11&gt;0.4</formula>
    </cfRule>
  </conditionalFormatting>
  <conditionalFormatting sqref="E12 I12 M12 M29 I29 E29">
    <cfRule type="expression" dxfId="332" priority="102">
      <formula>E12&lt;0.8</formula>
    </cfRule>
    <cfRule type="expression" dxfId="331" priority="103">
      <formula>E12&gt;1.2</formula>
    </cfRule>
  </conditionalFormatting>
  <conditionalFormatting sqref="I13 M30 I30 E30">
    <cfRule type="expression" dxfId="330" priority="100">
      <formula>E13&lt;8</formula>
    </cfRule>
    <cfRule type="expression" dxfId="329" priority="101">
      <formula>E13&gt;10</formula>
    </cfRule>
  </conditionalFormatting>
  <conditionalFormatting sqref="E34:F34 E17:P17">
    <cfRule type="expression" dxfId="328" priority="23">
      <formula>E17&lt;65</formula>
    </cfRule>
    <cfRule type="expression" dxfId="327" priority="24">
      <formula>E17&gt;85</formula>
    </cfRule>
  </conditionalFormatting>
  <conditionalFormatting sqref="E35:F35 E18:P18">
    <cfRule type="expression" dxfId="326" priority="21">
      <formula>E18&lt;80</formula>
    </cfRule>
    <cfRule type="expression" dxfId="325" priority="22">
      <formula>E18&gt;90</formula>
    </cfRule>
  </conditionalFormatting>
  <conditionalFormatting sqref="E33 E16 G16 I16 K16 M16 O16">
    <cfRule type="expression" dxfId="324" priority="19">
      <formula>E16&lt;55</formula>
    </cfRule>
    <cfRule type="expression" dxfId="323" priority="20">
      <formula>E16&gt;65</formula>
    </cfRule>
  </conditionalFormatting>
  <conditionalFormatting sqref="G34:P34">
    <cfRule type="expression" dxfId="322" priority="17">
      <formula>G34&lt;65</formula>
    </cfRule>
    <cfRule type="expression" dxfId="321" priority="18">
      <formula>G34&gt;85</formula>
    </cfRule>
  </conditionalFormatting>
  <conditionalFormatting sqref="G35:P35">
    <cfRule type="expression" dxfId="320" priority="15">
      <formula>G35&lt;80</formula>
    </cfRule>
    <cfRule type="expression" dxfId="319" priority="16">
      <formula>G35&gt;90</formula>
    </cfRule>
  </conditionalFormatting>
  <conditionalFormatting sqref="G33 I33 K33 M33 O33">
    <cfRule type="expression" dxfId="318" priority="13">
      <formula>G33&lt;55</formula>
    </cfRule>
    <cfRule type="expression" dxfId="317"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P29" sqref="P29"/>
    </sheetView>
  </sheetViews>
  <sheetFormatPr defaultRowHeight="13.5"/>
  <cols>
    <col min="1" max="1" width="5.5" style="535" customWidth="1"/>
    <col min="2" max="2" width="20.875" style="585" customWidth="1"/>
    <col min="3" max="3" width="4.125" style="585" customWidth="1"/>
    <col min="4" max="4" width="6.875" style="535" customWidth="1"/>
    <col min="5" max="5" width="16.875" style="535" customWidth="1"/>
    <col min="6" max="6" width="8.5" style="535" customWidth="1"/>
    <col min="7" max="7" width="3.875" style="535" customWidth="1"/>
    <col min="8" max="8" width="7.25" style="535" customWidth="1"/>
    <col min="9" max="9" width="4.375" style="535" customWidth="1"/>
    <col min="10" max="10" width="8.75" style="535" customWidth="1"/>
    <col min="11" max="11" width="2.625" style="535" customWidth="1"/>
    <col min="12" max="12" width="7.375" style="535" customWidth="1"/>
    <col min="13" max="13" width="4.25" style="535" customWidth="1"/>
    <col min="14" max="14" width="8.75" style="535" customWidth="1"/>
    <col min="15" max="15" width="2.625" style="535" customWidth="1"/>
    <col min="16" max="16" width="7.375" style="535" customWidth="1"/>
    <col min="17" max="17" width="4.25" style="535" customWidth="1"/>
    <col min="18" max="18" width="16.125" style="535" customWidth="1"/>
    <col min="19" max="16384" width="9" style="535"/>
  </cols>
  <sheetData>
    <row r="1" spans="1:18" ht="27.75" customHeight="1">
      <c r="A1" s="2546" t="s">
        <v>625</v>
      </c>
      <c r="B1" s="2546"/>
      <c r="C1" s="2546"/>
      <c r="D1" s="2546"/>
      <c r="E1" s="2546"/>
      <c r="F1" s="2546"/>
      <c r="G1" s="2546"/>
      <c r="H1" s="2546"/>
      <c r="I1" s="2546"/>
      <c r="J1" s="2546"/>
      <c r="K1" s="2546"/>
      <c r="L1" s="2546"/>
      <c r="M1" s="2546"/>
      <c r="N1" s="533"/>
      <c r="O1" s="533"/>
      <c r="P1" s="533"/>
      <c r="Q1" s="533"/>
      <c r="R1" s="533"/>
    </row>
    <row r="2" spans="1:18" ht="36.75" customHeight="1">
      <c r="A2" s="2543" t="s">
        <v>981</v>
      </c>
      <c r="B2" s="2543"/>
      <c r="C2" s="2543"/>
      <c r="D2" s="2543"/>
      <c r="E2" s="2543"/>
      <c r="F2" s="2543"/>
      <c r="G2" s="2543"/>
      <c r="H2" s="2543"/>
      <c r="I2" s="2543"/>
      <c r="J2" s="2543"/>
      <c r="K2" s="2543"/>
      <c r="L2" s="2543"/>
      <c r="M2" s="2543"/>
      <c r="N2" s="536"/>
      <c r="O2" s="536"/>
      <c r="P2" s="2229" t="s">
        <v>678</v>
      </c>
      <c r="Q2" s="2230"/>
      <c r="R2" s="85" t="s">
        <v>17</v>
      </c>
    </row>
    <row r="3" spans="1:18" ht="20.25" customHeight="1">
      <c r="A3" s="537"/>
      <c r="B3" s="538" t="s">
        <v>628</v>
      </c>
      <c r="C3" s="538"/>
      <c r="D3" s="539"/>
      <c r="E3" s="1729" t="str">
        <f>'1.xi den'!$G$3</f>
        <v>2023/03/21</v>
      </c>
      <c r="F3" s="539"/>
      <c r="G3" s="539"/>
      <c r="H3" s="539"/>
      <c r="I3" s="539"/>
      <c r="J3" s="2563"/>
      <c r="K3" s="2563"/>
      <c r="L3" s="2563"/>
      <c r="M3" s="587"/>
      <c r="N3" s="538"/>
      <c r="O3" s="538"/>
      <c r="P3" s="2551" t="str">
        <f>'1.xi den'!$N$3</f>
        <v>Trang</v>
      </c>
      <c r="Q3" s="2552"/>
      <c r="R3" s="588" t="s">
        <v>679</v>
      </c>
    </row>
    <row r="4" spans="1:18" s="589" customFormat="1" ht="42" customHeight="1">
      <c r="A4" s="2564" t="s">
        <v>717</v>
      </c>
      <c r="B4" s="2282" t="s">
        <v>681</v>
      </c>
      <c r="C4" s="2665"/>
      <c r="D4" s="2561" t="s">
        <v>682</v>
      </c>
      <c r="E4" s="2568" t="s">
        <v>683</v>
      </c>
      <c r="F4" s="2508" t="s">
        <v>907</v>
      </c>
      <c r="G4" s="2509"/>
      <c r="H4" s="2509"/>
      <c r="I4" s="2509"/>
      <c r="J4" s="2509"/>
      <c r="K4" s="2509"/>
      <c r="L4" s="2509"/>
      <c r="M4" s="2509"/>
      <c r="N4" s="2509"/>
      <c r="O4" s="2509"/>
      <c r="P4" s="2509"/>
      <c r="Q4" s="2510"/>
      <c r="R4" s="2208" t="s">
        <v>684</v>
      </c>
    </row>
    <row r="5" spans="1:18" s="589" customFormat="1" ht="22.5" customHeight="1">
      <c r="A5" s="2565"/>
      <c r="B5" s="2383"/>
      <c r="C5" s="2666"/>
      <c r="D5" s="2561"/>
      <c r="E5" s="2568"/>
      <c r="F5" s="2533">
        <v>0.33333333333333331</v>
      </c>
      <c r="G5" s="2524"/>
      <c r="H5" s="2524"/>
      <c r="I5" s="2524"/>
      <c r="J5" s="2534">
        <v>0.52083333333333337</v>
      </c>
      <c r="K5" s="2535"/>
      <c r="L5" s="2535"/>
      <c r="M5" s="2536"/>
      <c r="N5" s="2534">
        <v>0.66666666666666663</v>
      </c>
      <c r="O5" s="2535"/>
      <c r="P5" s="2535"/>
      <c r="Q5" s="2536"/>
      <c r="R5" s="2209"/>
    </row>
    <row r="6" spans="1:18" s="589" customFormat="1" ht="39.75" customHeight="1">
      <c r="A6" s="2566"/>
      <c r="B6" s="2667"/>
      <c r="C6" s="2668"/>
      <c r="D6" s="2567"/>
      <c r="E6" s="2569"/>
      <c r="F6" s="590" t="s">
        <v>685</v>
      </c>
      <c r="G6" s="2380" t="s">
        <v>686</v>
      </c>
      <c r="H6" s="2388"/>
      <c r="I6" s="2562"/>
      <c r="J6" s="590" t="s">
        <v>685</v>
      </c>
      <c r="K6" s="2380" t="s">
        <v>686</v>
      </c>
      <c r="L6" s="2388"/>
      <c r="M6" s="2562"/>
      <c r="N6" s="590" t="s">
        <v>685</v>
      </c>
      <c r="O6" s="2380" t="s">
        <v>686</v>
      </c>
      <c r="P6" s="2388"/>
      <c r="Q6" s="2562"/>
      <c r="R6" s="602" t="s">
        <v>726</v>
      </c>
    </row>
    <row r="7" spans="1:18" s="598" customFormat="1" ht="27" customHeight="1">
      <c r="A7" s="591">
        <v>1</v>
      </c>
      <c r="B7" s="2673" t="s">
        <v>904</v>
      </c>
      <c r="C7" s="2674"/>
      <c r="D7" s="929" t="s">
        <v>689</v>
      </c>
      <c r="E7" s="933" t="s">
        <v>485</v>
      </c>
      <c r="F7" s="672">
        <f>'R.GUI MAIL'!H41</f>
        <v>0</v>
      </c>
      <c r="G7" s="554" t="s">
        <v>641</v>
      </c>
      <c r="H7" s="555">
        <f>'R.GUI MAIL'!K41</f>
        <v>0</v>
      </c>
      <c r="I7" s="931" t="s">
        <v>647</v>
      </c>
      <c r="J7" s="672">
        <f>'R.GUI MAIL'!N41</f>
        <v>0</v>
      </c>
      <c r="K7" s="554" t="s">
        <v>641</v>
      </c>
      <c r="L7" s="555">
        <f>'R.GUI MAIL'!Q41</f>
        <v>0</v>
      </c>
      <c r="M7" s="931" t="s">
        <v>647</v>
      </c>
      <c r="N7" s="672">
        <f>'R.GUI MAIL'!T41</f>
        <v>0</v>
      </c>
      <c r="O7" s="554" t="s">
        <v>641</v>
      </c>
      <c r="P7" s="555">
        <f>'R.GUI MAIL'!W41</f>
        <v>0</v>
      </c>
      <c r="Q7" s="931" t="s">
        <v>647</v>
      </c>
      <c r="R7" s="602" t="s">
        <v>727</v>
      </c>
    </row>
    <row r="8" spans="1:18" s="598" customFormat="1" ht="27" customHeight="1">
      <c r="A8" s="591">
        <v>2</v>
      </c>
      <c r="B8" s="2594" t="s">
        <v>693</v>
      </c>
      <c r="C8" s="2596"/>
      <c r="D8" s="596" t="s">
        <v>694</v>
      </c>
      <c r="E8" s="932" t="s">
        <v>461</v>
      </c>
      <c r="F8" s="934">
        <f>'R.GUI MAIL'!H42</f>
        <v>0</v>
      </c>
      <c r="G8" s="554" t="s">
        <v>641</v>
      </c>
      <c r="H8" s="555">
        <f>'R.GUI MAIL'!K42</f>
        <v>0</v>
      </c>
      <c r="I8" s="235" t="s">
        <v>720</v>
      </c>
      <c r="J8" s="934">
        <f>'R.GUI MAIL'!N42</f>
        <v>0</v>
      </c>
      <c r="K8" s="554" t="s">
        <v>641</v>
      </c>
      <c r="L8" s="555">
        <f>'R.GUI MAIL'!Q42</f>
        <v>0</v>
      </c>
      <c r="M8" s="235" t="s">
        <v>720</v>
      </c>
      <c r="N8" s="934">
        <f>'R.GUI MAIL'!T42</f>
        <v>0</v>
      </c>
      <c r="O8" s="554" t="s">
        <v>641</v>
      </c>
      <c r="P8" s="555">
        <f>'R.GUI MAIL'!W42</f>
        <v>0</v>
      </c>
      <c r="Q8" s="235" t="s">
        <v>720</v>
      </c>
      <c r="R8" s="602" t="s">
        <v>729</v>
      </c>
    </row>
    <row r="9" spans="1:18" s="598" customFormat="1" ht="27" customHeight="1">
      <c r="A9" s="591">
        <v>4</v>
      </c>
      <c r="B9" s="2659" t="s">
        <v>725</v>
      </c>
      <c r="C9" s="2660">
        <f>R.HN!B27</f>
        <v>0</v>
      </c>
      <c r="D9" s="2559" t="s">
        <v>466</v>
      </c>
      <c r="E9" s="548" t="s">
        <v>773</v>
      </c>
      <c r="F9" s="672">
        <f>'R.GUI MAIL'!H43</f>
        <v>0</v>
      </c>
      <c r="G9" s="554" t="s">
        <v>641</v>
      </c>
      <c r="H9" s="555">
        <f>'R.GUI MAIL'!K43</f>
        <v>0</v>
      </c>
      <c r="I9" s="235" t="s">
        <v>718</v>
      </c>
      <c r="J9" s="672">
        <f>'R.GUI MAIL'!N43</f>
        <v>0</v>
      </c>
      <c r="K9" s="554" t="s">
        <v>641</v>
      </c>
      <c r="L9" s="601">
        <f>'R.GUI MAIL'!Q43</f>
        <v>0</v>
      </c>
      <c r="M9" s="235" t="s">
        <v>718</v>
      </c>
      <c r="N9" s="672">
        <f>'R.GUI MAIL'!T43</f>
        <v>0</v>
      </c>
      <c r="O9" s="554" t="s">
        <v>641</v>
      </c>
      <c r="P9" s="601">
        <f>'R.GUI MAIL'!W43</f>
        <v>0</v>
      </c>
      <c r="Q9" s="235" t="s">
        <v>718</v>
      </c>
      <c r="R9" s="602" t="s">
        <v>729</v>
      </c>
    </row>
    <row r="10" spans="1:18" s="598" customFormat="1" ht="28.5" customHeight="1">
      <c r="A10" s="591">
        <v>5</v>
      </c>
      <c r="B10" s="2663"/>
      <c r="C10" s="2664"/>
      <c r="D10" s="2559"/>
      <c r="E10" s="548" t="s">
        <v>769</v>
      </c>
      <c r="F10" s="672">
        <f>'R.GUI MAIL'!H44</f>
        <v>0</v>
      </c>
      <c r="G10" s="554" t="s">
        <v>641</v>
      </c>
      <c r="H10" s="555">
        <f>'R.GUI MAIL'!K44</f>
        <v>0</v>
      </c>
      <c r="I10" s="235" t="s">
        <v>718</v>
      </c>
      <c r="J10" s="672">
        <f>'R.GUI MAIL'!N44</f>
        <v>0</v>
      </c>
      <c r="K10" s="554" t="s">
        <v>641</v>
      </c>
      <c r="L10" s="601">
        <f>'R.GUI MAIL'!Q44</f>
        <v>0</v>
      </c>
      <c r="M10" s="235" t="s">
        <v>718</v>
      </c>
      <c r="N10" s="672">
        <f>'R.GUI MAIL'!T44</f>
        <v>0</v>
      </c>
      <c r="O10" s="554" t="s">
        <v>641</v>
      </c>
      <c r="P10" s="601">
        <f>'R.GUI MAIL'!W44</f>
        <v>0</v>
      </c>
      <c r="Q10" s="235" t="s">
        <v>718</v>
      </c>
      <c r="R10" s="602" t="s">
        <v>730</v>
      </c>
    </row>
    <row r="11" spans="1:18" s="598" customFormat="1" ht="28.5" customHeight="1">
      <c r="A11" s="591">
        <v>6</v>
      </c>
      <c r="B11" s="2661"/>
      <c r="C11" s="2662"/>
      <c r="D11" s="2559"/>
      <c r="E11" s="548" t="s">
        <v>651</v>
      </c>
      <c r="F11" s="673">
        <f>'R.GUI MAIL'!H45</f>
        <v>0</v>
      </c>
      <c r="G11" s="554" t="s">
        <v>641</v>
      </c>
      <c r="H11" s="555">
        <f>'R.GUI MAIL'!K45</f>
        <v>0</v>
      </c>
      <c r="I11" s="75" t="s">
        <v>718</v>
      </c>
      <c r="J11" s="673">
        <f>'R.GUI MAIL'!N45</f>
        <v>0</v>
      </c>
      <c r="K11" s="554" t="s">
        <v>641</v>
      </c>
      <c r="L11" s="601">
        <f>'R.GUI MAIL'!Q45</f>
        <v>0</v>
      </c>
      <c r="M11" s="75" t="s">
        <v>718</v>
      </c>
      <c r="N11" s="673">
        <f>'R.GUI MAIL'!T45</f>
        <v>0</v>
      </c>
      <c r="O11" s="554" t="s">
        <v>641</v>
      </c>
      <c r="P11" s="601">
        <f>'R.GUI MAIL'!W45</f>
        <v>0</v>
      </c>
      <c r="Q11" s="75" t="s">
        <v>718</v>
      </c>
      <c r="R11" s="602"/>
    </row>
    <row r="12" spans="1:18" s="598" customFormat="1" ht="28.5" hidden="1" customHeight="1">
      <c r="A12" s="591">
        <v>7</v>
      </c>
      <c r="B12" s="2659" t="s">
        <v>725</v>
      </c>
      <c r="C12" s="2660">
        <f>R.HN!B30</f>
        <v>0</v>
      </c>
      <c r="D12" s="2559" t="s">
        <v>466</v>
      </c>
      <c r="E12" s="548" t="s">
        <v>773</v>
      </c>
      <c r="F12" s="672" t="e">
        <f>'R.GUI MAIL'!#REF!</f>
        <v>#REF!</v>
      </c>
      <c r="G12" s="554" t="s">
        <v>641</v>
      </c>
      <c r="H12" s="555" t="e">
        <f>'R.GUI MAIL'!#REF!</f>
        <v>#REF!</v>
      </c>
      <c r="I12" s="235" t="s">
        <v>718</v>
      </c>
      <c r="J12" s="672" t="e">
        <f>'R.GUI MAIL'!#REF!</f>
        <v>#REF!</v>
      </c>
      <c r="K12" s="554" t="s">
        <v>641</v>
      </c>
      <c r="L12" s="601" t="e">
        <f>'R.GUI MAIL'!#REF!</f>
        <v>#REF!</v>
      </c>
      <c r="M12" s="235" t="s">
        <v>718</v>
      </c>
      <c r="N12" s="672" t="e">
        <f>'R.GUI MAIL'!#REF!</f>
        <v>#REF!</v>
      </c>
      <c r="O12" s="554" t="s">
        <v>641</v>
      </c>
      <c r="P12" s="601" t="e">
        <f>'R.GUI MAIL'!#REF!</f>
        <v>#REF!</v>
      </c>
      <c r="Q12" s="235" t="s">
        <v>718</v>
      </c>
      <c r="R12" s="602" t="s">
        <v>729</v>
      </c>
    </row>
    <row r="13" spans="1:18" s="598" customFormat="1" ht="28.5" hidden="1" customHeight="1">
      <c r="A13" s="591">
        <v>8</v>
      </c>
      <c r="B13" s="2663"/>
      <c r="C13" s="2664"/>
      <c r="D13" s="2559"/>
      <c r="E13" s="548" t="s">
        <v>769</v>
      </c>
      <c r="F13" s="672" t="e">
        <f>'R.GUI MAIL'!#REF!</f>
        <v>#REF!</v>
      </c>
      <c r="G13" s="554" t="s">
        <v>641</v>
      </c>
      <c r="H13" s="555" t="e">
        <f>'R.GUI MAIL'!#REF!</f>
        <v>#REF!</v>
      </c>
      <c r="I13" s="235" t="s">
        <v>718</v>
      </c>
      <c r="J13" s="672" t="e">
        <f>'R.GUI MAIL'!#REF!</f>
        <v>#REF!</v>
      </c>
      <c r="K13" s="554" t="s">
        <v>641</v>
      </c>
      <c r="L13" s="601" t="e">
        <f>'R.GUI MAIL'!#REF!</f>
        <v>#REF!</v>
      </c>
      <c r="M13" s="235" t="s">
        <v>718</v>
      </c>
      <c r="N13" s="672" t="e">
        <f>'R.GUI MAIL'!#REF!</f>
        <v>#REF!</v>
      </c>
      <c r="O13" s="554" t="s">
        <v>641</v>
      </c>
      <c r="P13" s="601" t="e">
        <f>'R.GUI MAIL'!#REF!</f>
        <v>#REF!</v>
      </c>
      <c r="Q13" s="235" t="s">
        <v>718</v>
      </c>
      <c r="R13" s="602" t="s">
        <v>730</v>
      </c>
    </row>
    <row r="14" spans="1:18" s="598" customFormat="1" ht="28.5" hidden="1" customHeight="1">
      <c r="A14" s="591">
        <v>9</v>
      </c>
      <c r="B14" s="2661"/>
      <c r="C14" s="2662"/>
      <c r="D14" s="2559"/>
      <c r="E14" s="548" t="s">
        <v>651</v>
      </c>
      <c r="F14" s="673" t="e">
        <f>'R.GUI MAIL'!#REF!</f>
        <v>#REF!</v>
      </c>
      <c r="G14" s="554" t="s">
        <v>641</v>
      </c>
      <c r="H14" s="555" t="e">
        <f>'R.GUI MAIL'!#REF!</f>
        <v>#REF!</v>
      </c>
      <c r="I14" s="75" t="s">
        <v>718</v>
      </c>
      <c r="J14" s="673" t="e">
        <f>'R.GUI MAIL'!#REF!</f>
        <v>#REF!</v>
      </c>
      <c r="K14" s="554" t="s">
        <v>641</v>
      </c>
      <c r="L14" s="601" t="e">
        <f>'R.GUI MAIL'!#REF!</f>
        <v>#REF!</v>
      </c>
      <c r="M14" s="75" t="s">
        <v>718</v>
      </c>
      <c r="N14" s="673" t="e">
        <f>'R.GUI MAIL'!#REF!</f>
        <v>#REF!</v>
      </c>
      <c r="O14" s="554" t="s">
        <v>641</v>
      </c>
      <c r="P14" s="601" t="e">
        <f>'R.GUI MAIL'!#REF!</f>
        <v>#REF!</v>
      </c>
      <c r="Q14" s="75" t="s">
        <v>718</v>
      </c>
      <c r="R14" s="602"/>
    </row>
    <row r="15" spans="1:18" s="603" customFormat="1" ht="28.5" customHeight="1">
      <c r="A15" s="591">
        <v>16</v>
      </c>
      <c r="B15" s="2659" t="s">
        <v>701</v>
      </c>
      <c r="C15" s="2660"/>
      <c r="D15" s="593" t="s">
        <v>466</v>
      </c>
      <c r="E15" s="548" t="s">
        <v>476</v>
      </c>
      <c r="F15" s="672">
        <f>'R.GUI MAIL'!H46</f>
        <v>0</v>
      </c>
      <c r="G15" s="609" t="s">
        <v>641</v>
      </c>
      <c r="H15" s="601">
        <f>'R.GUI MAIL'!K46</f>
        <v>0</v>
      </c>
      <c r="I15" s="594" t="s">
        <v>718</v>
      </c>
      <c r="J15" s="672">
        <f>'R.GUI MAIL'!N46</f>
        <v>0</v>
      </c>
      <c r="K15" s="609" t="s">
        <v>641</v>
      </c>
      <c r="L15" s="601">
        <f>'R.GUI MAIL'!Q46</f>
        <v>0</v>
      </c>
      <c r="M15" s="594" t="s">
        <v>718</v>
      </c>
      <c r="N15" s="672">
        <f>'R.GUI MAIL'!T46</f>
        <v>0</v>
      </c>
      <c r="O15" s="609" t="s">
        <v>641</v>
      </c>
      <c r="P15" s="601">
        <f>'R.GUI MAIL'!W46</f>
        <v>0</v>
      </c>
      <c r="Q15" s="594" t="s">
        <v>718</v>
      </c>
      <c r="R15" s="602" t="s">
        <v>702</v>
      </c>
    </row>
    <row r="16" spans="1:18" s="603" customFormat="1" ht="28.5" customHeight="1">
      <c r="A16" s="591">
        <v>17</v>
      </c>
      <c r="B16" s="2661"/>
      <c r="C16" s="2662"/>
      <c r="D16" s="604" t="s">
        <v>723</v>
      </c>
      <c r="E16" s="1102" t="s">
        <v>1030</v>
      </c>
      <c r="F16" s="672">
        <f>'R.GUI MAIL'!H47</f>
        <v>0</v>
      </c>
      <c r="G16" s="554" t="s">
        <v>641</v>
      </c>
      <c r="H16" s="555">
        <f>'R.GUI MAIL'!K47</f>
        <v>0</v>
      </c>
      <c r="I16" s="235" t="s">
        <v>718</v>
      </c>
      <c r="J16" s="672">
        <f>'R.GUI MAIL'!N47</f>
        <v>0</v>
      </c>
      <c r="K16" s="554" t="s">
        <v>641</v>
      </c>
      <c r="L16" s="601">
        <f>'R.GUI MAIL'!Q47</f>
        <v>0</v>
      </c>
      <c r="M16" s="235" t="s">
        <v>718</v>
      </c>
      <c r="N16" s="672">
        <f>'R.GUI MAIL'!T47</f>
        <v>0</v>
      </c>
      <c r="O16" s="554" t="s">
        <v>641</v>
      </c>
      <c r="P16" s="601">
        <f>'R.GUI MAIL'!W47</f>
        <v>0</v>
      </c>
      <c r="Q16" s="235" t="s">
        <v>718</v>
      </c>
      <c r="R16" s="235"/>
    </row>
    <row r="17" spans="1:18" s="598" customFormat="1" ht="28.5" customHeight="1">
      <c r="A17" s="2560" t="s">
        <v>704</v>
      </c>
      <c r="B17" s="2560"/>
      <c r="C17" s="2560"/>
      <c r="D17" s="2560"/>
      <c r="E17" s="2560"/>
      <c r="F17" s="2560"/>
      <c r="G17" s="2560"/>
      <c r="H17" s="2560"/>
      <c r="I17" s="2560"/>
      <c r="J17" s="2560"/>
      <c r="K17" s="2560"/>
      <c r="L17" s="2560"/>
      <c r="M17" s="2560"/>
      <c r="N17" s="2560"/>
      <c r="O17" s="2560"/>
      <c r="P17" s="2560"/>
      <c r="Q17" s="2560"/>
      <c r="R17" s="2560"/>
    </row>
    <row r="18" spans="1:18" s="598" customFormat="1" ht="28.5" customHeight="1">
      <c r="A18" s="235" t="s">
        <v>724</v>
      </c>
      <c r="B18" s="2594" t="s">
        <v>706</v>
      </c>
      <c r="C18" s="2596"/>
      <c r="D18" s="605" t="s">
        <v>707</v>
      </c>
      <c r="E18" s="605" t="s">
        <v>708</v>
      </c>
      <c r="F18" s="2516" t="s">
        <v>48</v>
      </c>
      <c r="G18" s="2516"/>
      <c r="H18" s="2516" t="s">
        <v>65</v>
      </c>
      <c r="I18" s="2516"/>
      <c r="J18" s="2516" t="s">
        <v>48</v>
      </c>
      <c r="K18" s="2516"/>
      <c r="L18" s="2516" t="s">
        <v>65</v>
      </c>
      <c r="M18" s="2516"/>
      <c r="N18" s="2516" t="s">
        <v>48</v>
      </c>
      <c r="O18" s="2516"/>
      <c r="P18" s="2516" t="s">
        <v>65</v>
      </c>
      <c r="Q18" s="2516"/>
      <c r="R18" s="612"/>
    </row>
    <row r="19" spans="1:18" s="598" customFormat="1" ht="28.5" customHeight="1">
      <c r="A19" s="235">
        <v>1</v>
      </c>
      <c r="B19" s="2594" t="s">
        <v>911</v>
      </c>
      <c r="C19" s="2596"/>
      <c r="D19" s="606" t="s">
        <v>710</v>
      </c>
      <c r="E19" s="933" t="s">
        <v>711</v>
      </c>
      <c r="F19" s="2671">
        <f>'R.FILE GOC'!H50</f>
        <v>0</v>
      </c>
      <c r="G19" s="2672"/>
      <c r="H19" s="2181">
        <f>'R.FILE GOC'!K50</f>
        <v>0</v>
      </c>
      <c r="I19" s="2182"/>
      <c r="J19" s="2671">
        <f>'R.FILE GOC'!N50</f>
        <v>0</v>
      </c>
      <c r="K19" s="2672"/>
      <c r="L19" s="2181">
        <f>'R.FILE GOC'!Q50</f>
        <v>0</v>
      </c>
      <c r="M19" s="2182"/>
      <c r="N19" s="2671">
        <f>'R.GUI MAIL'!T50</f>
        <v>0</v>
      </c>
      <c r="O19" s="2672"/>
      <c r="P19" s="2185">
        <f>'R.FILE GOC'!W50</f>
        <v>0</v>
      </c>
      <c r="Q19" s="2185"/>
      <c r="R19" s="555"/>
    </row>
    <row r="20" spans="1:18" s="598" customFormat="1" ht="28.5" customHeight="1">
      <c r="A20" s="235">
        <v>2</v>
      </c>
      <c r="B20" s="2594" t="s">
        <v>482</v>
      </c>
      <c r="C20" s="2596"/>
      <c r="D20" s="606" t="s">
        <v>710</v>
      </c>
      <c r="E20" s="548" t="s">
        <v>713</v>
      </c>
      <c r="F20" s="2181">
        <f>'R.FILE GOC'!H51</f>
        <v>0</v>
      </c>
      <c r="G20" s="2182"/>
      <c r="H20" s="2181">
        <f>'R.FILE GOC'!K51</f>
        <v>0</v>
      </c>
      <c r="I20" s="2182"/>
      <c r="J20" s="2181">
        <f>'R.FILE GOC'!N51</f>
        <v>0</v>
      </c>
      <c r="K20" s="2182"/>
      <c r="L20" s="2181">
        <f>'R.FILE GOC'!Q51</f>
        <v>0</v>
      </c>
      <c r="M20" s="2182"/>
      <c r="N20" s="2181">
        <f>'R.GUI MAIL'!T51</f>
        <v>0</v>
      </c>
      <c r="O20" s="2182"/>
      <c r="P20" s="2185">
        <f>'R.FILE GOC'!W51</f>
        <v>0</v>
      </c>
      <c r="Q20" s="2185"/>
      <c r="R20" s="555"/>
    </row>
    <row r="21" spans="1:18" s="598" customFormat="1" ht="28.5" customHeight="1">
      <c r="A21" s="235">
        <v>3</v>
      </c>
      <c r="B21" s="2594" t="s">
        <v>714</v>
      </c>
      <c r="C21" s="2596"/>
      <c r="D21" s="606" t="s">
        <v>710</v>
      </c>
      <c r="E21" s="548" t="s">
        <v>715</v>
      </c>
      <c r="F21" s="2671">
        <f>'R.FILE GOC'!H52</f>
        <v>0</v>
      </c>
      <c r="G21" s="2672"/>
      <c r="H21" s="2181">
        <f>'R.FILE GOC'!K52</f>
        <v>0</v>
      </c>
      <c r="I21" s="2182"/>
      <c r="J21" s="2671">
        <f>'R.FILE GOC'!N52</f>
        <v>0</v>
      </c>
      <c r="K21" s="2672"/>
      <c r="L21" s="2181">
        <f>'R.FILE GOC'!Q52</f>
        <v>0</v>
      </c>
      <c r="M21" s="2182"/>
      <c r="N21" s="2671">
        <f>'R.GUI MAIL'!T52</f>
        <v>0</v>
      </c>
      <c r="O21" s="2672"/>
      <c r="P21" s="2185">
        <f>'R.FILE GOC'!W52</f>
        <v>0</v>
      </c>
      <c r="Q21" s="2185"/>
      <c r="R21" s="555"/>
    </row>
    <row r="22" spans="1:18" s="598" customFormat="1" ht="28.5" customHeight="1">
      <c r="A22" s="368"/>
      <c r="B22" s="367"/>
      <c r="C22" s="367"/>
      <c r="D22" s="674"/>
      <c r="E22" s="675"/>
      <c r="F22" s="2386"/>
      <c r="G22" s="2386"/>
      <c r="H22" s="2386"/>
      <c r="I22" s="2386"/>
      <c r="J22" s="2658"/>
      <c r="K22" s="2658"/>
      <c r="L22" s="2658"/>
      <c r="M22" s="2658"/>
      <c r="N22" s="2658"/>
      <c r="O22" s="2658"/>
      <c r="P22" s="2658"/>
      <c r="Q22" s="2658"/>
      <c r="R22" s="676"/>
    </row>
    <row r="23" spans="1:18" ht="27.75" customHeight="1">
      <c r="A23" s="2546" t="s">
        <v>625</v>
      </c>
      <c r="B23" s="2546"/>
      <c r="C23" s="2546"/>
      <c r="D23" s="2546"/>
      <c r="E23" s="2546"/>
      <c r="F23" s="2546"/>
      <c r="G23" s="2546"/>
      <c r="H23" s="2546"/>
      <c r="I23" s="2546"/>
      <c r="J23" s="2546"/>
      <c r="K23" s="2546"/>
      <c r="L23" s="2546"/>
      <c r="M23" s="2546"/>
      <c r="N23" s="533"/>
      <c r="O23" s="533"/>
      <c r="P23" s="533"/>
      <c r="Q23" s="533"/>
      <c r="R23" s="533"/>
    </row>
    <row r="24" spans="1:18" ht="36.75" customHeight="1">
      <c r="A24" s="2543" t="s">
        <v>978</v>
      </c>
      <c r="B24" s="2543"/>
      <c r="C24" s="2543"/>
      <c r="D24" s="2543"/>
      <c r="E24" s="2543"/>
      <c r="F24" s="2543"/>
      <c r="G24" s="2543"/>
      <c r="H24" s="2543"/>
      <c r="I24" s="2543"/>
      <c r="J24" s="2543"/>
      <c r="K24" s="2543"/>
      <c r="L24" s="2543"/>
      <c r="M24" s="2543"/>
      <c r="N24" s="536"/>
      <c r="O24" s="536"/>
      <c r="P24" s="536"/>
      <c r="Q24" s="536"/>
      <c r="R24" s="536"/>
    </row>
    <row r="25" spans="1:18" ht="27" customHeight="1">
      <c r="A25" s="537"/>
      <c r="B25" s="538" t="s">
        <v>716</v>
      </c>
      <c r="C25" s="538"/>
      <c r="D25" s="539"/>
      <c r="E25" s="540"/>
      <c r="F25" s="539"/>
      <c r="G25" s="539"/>
      <c r="H25" s="539"/>
      <c r="I25" s="539"/>
      <c r="J25" s="2563"/>
      <c r="K25" s="2563"/>
      <c r="L25" s="2563"/>
      <c r="M25" s="587"/>
      <c r="N25" s="2563"/>
      <c r="O25" s="2563"/>
      <c r="P25" s="2563"/>
      <c r="Q25" s="587"/>
      <c r="R25" s="587"/>
    </row>
    <row r="26" spans="1:18" s="589" customFormat="1" ht="42" customHeight="1">
      <c r="A26" s="2564" t="s">
        <v>717</v>
      </c>
      <c r="B26" s="2282" t="s">
        <v>681</v>
      </c>
      <c r="C26" s="2665"/>
      <c r="D26" s="2561" t="s">
        <v>682</v>
      </c>
      <c r="E26" s="2568" t="s">
        <v>683</v>
      </c>
      <c r="F26" s="2508" t="s">
        <v>907</v>
      </c>
      <c r="G26" s="2509"/>
      <c r="H26" s="2509"/>
      <c r="I26" s="2509"/>
      <c r="J26" s="2509"/>
      <c r="K26" s="2509"/>
      <c r="L26" s="2509"/>
      <c r="M26" s="2509"/>
      <c r="N26" s="2509"/>
      <c r="O26" s="2509"/>
      <c r="P26" s="2509"/>
      <c r="Q26" s="2510"/>
      <c r="R26" s="2208" t="s">
        <v>684</v>
      </c>
    </row>
    <row r="27" spans="1:18" s="589" customFormat="1" ht="19.5" customHeight="1">
      <c r="A27" s="2565"/>
      <c r="B27" s="2383"/>
      <c r="C27" s="2666"/>
      <c r="D27" s="2561"/>
      <c r="E27" s="2568"/>
      <c r="F27" s="2533">
        <v>0.83333333333333337</v>
      </c>
      <c r="G27" s="2524"/>
      <c r="H27" s="2524"/>
      <c r="I27" s="2524"/>
      <c r="J27" s="2534">
        <v>4.1666666666666664E-2</v>
      </c>
      <c r="K27" s="2535"/>
      <c r="L27" s="2535"/>
      <c r="M27" s="2536"/>
      <c r="N27" s="2534">
        <v>0.16666666666666666</v>
      </c>
      <c r="O27" s="2535"/>
      <c r="P27" s="2535"/>
      <c r="Q27" s="2536"/>
      <c r="R27" s="2209"/>
    </row>
    <row r="28" spans="1:18" s="589" customFormat="1" ht="40.5" customHeight="1">
      <c r="A28" s="2566"/>
      <c r="B28" s="2667"/>
      <c r="C28" s="2668"/>
      <c r="D28" s="2567"/>
      <c r="E28" s="2569"/>
      <c r="F28" s="590" t="s">
        <v>685</v>
      </c>
      <c r="G28" s="2380" t="s">
        <v>686</v>
      </c>
      <c r="H28" s="2388"/>
      <c r="I28" s="2562"/>
      <c r="J28" s="590" t="s">
        <v>685</v>
      </c>
      <c r="K28" s="2380" t="s">
        <v>686</v>
      </c>
      <c r="L28" s="2388"/>
      <c r="M28" s="2562"/>
      <c r="N28" s="590" t="s">
        <v>685</v>
      </c>
      <c r="O28" s="2380" t="s">
        <v>686</v>
      </c>
      <c r="P28" s="2388"/>
      <c r="Q28" s="2562"/>
      <c r="R28" s="613" t="s">
        <v>726</v>
      </c>
    </row>
    <row r="29" spans="1:18" s="598" customFormat="1" ht="28.5" customHeight="1">
      <c r="A29" s="591">
        <v>1</v>
      </c>
      <c r="B29" s="2673" t="s">
        <v>904</v>
      </c>
      <c r="C29" s="2674"/>
      <c r="D29" s="929" t="s">
        <v>689</v>
      </c>
      <c r="E29" s="933" t="s">
        <v>485</v>
      </c>
      <c r="F29" s="672">
        <f>'R.GUI MAIL'!Z41</f>
        <v>0</v>
      </c>
      <c r="G29" s="554" t="s">
        <v>641</v>
      </c>
      <c r="H29" s="555">
        <f>'R.GUI MAIL'!AC41</f>
        <v>0</v>
      </c>
      <c r="I29" s="931" t="s">
        <v>647</v>
      </c>
      <c r="J29" s="672">
        <f>'R.GUI MAIL'!AF41</f>
        <v>0</v>
      </c>
      <c r="K29" s="554" t="s">
        <v>641</v>
      </c>
      <c r="L29" s="555">
        <f>'R.GUI MAIL'!AI41</f>
        <v>0</v>
      </c>
      <c r="M29" s="931" t="s">
        <v>647</v>
      </c>
      <c r="N29" s="672">
        <f>'R.GUI MAIL'!AL41</f>
        <v>0</v>
      </c>
      <c r="O29" s="554" t="s">
        <v>641</v>
      </c>
      <c r="P29" s="555">
        <f>'R.GUI MAIL'!AO41</f>
        <v>0</v>
      </c>
      <c r="Q29" s="931" t="s">
        <v>647</v>
      </c>
      <c r="R29" s="613" t="s">
        <v>732</v>
      </c>
    </row>
    <row r="30" spans="1:18" s="598" customFormat="1" ht="26.25" customHeight="1">
      <c r="A30" s="591">
        <v>2</v>
      </c>
      <c r="B30" s="2673" t="s">
        <v>905</v>
      </c>
      <c r="C30" s="2674" t="s">
        <v>694</v>
      </c>
      <c r="D30" s="596" t="s">
        <v>694</v>
      </c>
      <c r="E30" s="932" t="s">
        <v>461</v>
      </c>
      <c r="F30" s="553">
        <f>'R.GUI MAIL'!Z42</f>
        <v>0</v>
      </c>
      <c r="G30" s="554" t="s">
        <v>641</v>
      </c>
      <c r="H30" s="555">
        <f>'R.GUI MAIL'!AC42</f>
        <v>0</v>
      </c>
      <c r="I30" s="235" t="s">
        <v>720</v>
      </c>
      <c r="J30" s="553">
        <f>'R.GUI MAIL'!AF42</f>
        <v>0</v>
      </c>
      <c r="K30" s="554" t="s">
        <v>641</v>
      </c>
      <c r="L30" s="555">
        <f>'R.GUI MAIL'!AI42</f>
        <v>0</v>
      </c>
      <c r="M30" s="235" t="s">
        <v>720</v>
      </c>
      <c r="N30" s="553">
        <f>'R.GUI MAIL'!AL42</f>
        <v>0</v>
      </c>
      <c r="O30" s="554" t="s">
        <v>641</v>
      </c>
      <c r="P30" s="555">
        <f>'R.GUI MAIL'!AO42</f>
        <v>0</v>
      </c>
      <c r="Q30" s="235" t="s">
        <v>720</v>
      </c>
      <c r="R30" s="613" t="s">
        <v>727</v>
      </c>
    </row>
    <row r="31" spans="1:18" s="598" customFormat="1" ht="28.5" customHeight="1">
      <c r="A31" s="591">
        <v>4</v>
      </c>
      <c r="B31" s="2659" t="s">
        <v>725</v>
      </c>
      <c r="C31" s="2660">
        <f>R.HN!B27</f>
        <v>0</v>
      </c>
      <c r="D31" s="2559" t="s">
        <v>466</v>
      </c>
      <c r="E31" s="548" t="s">
        <v>773</v>
      </c>
      <c r="F31" s="672">
        <f>'R.GUI MAIL'!Z43</f>
        <v>0</v>
      </c>
      <c r="G31" s="554" t="s">
        <v>641</v>
      </c>
      <c r="H31" s="555">
        <f>'R.GUI MAIL'!AC43</f>
        <v>0</v>
      </c>
      <c r="I31" s="235" t="s">
        <v>718</v>
      </c>
      <c r="J31" s="672">
        <f>'R.GUI MAIL'!AF43</f>
        <v>0</v>
      </c>
      <c r="K31" s="554" t="s">
        <v>641</v>
      </c>
      <c r="L31" s="555">
        <f>'R.GUI MAIL'!AI43</f>
        <v>0</v>
      </c>
      <c r="M31" s="235" t="s">
        <v>718</v>
      </c>
      <c r="N31" s="672">
        <f>'R.GUI MAIL'!AL43</f>
        <v>0</v>
      </c>
      <c r="O31" s="554" t="s">
        <v>641</v>
      </c>
      <c r="P31" s="555">
        <f>'R.GUI MAIL'!AO43</f>
        <v>0</v>
      </c>
      <c r="Q31" s="235" t="s">
        <v>718</v>
      </c>
      <c r="R31" s="613" t="s">
        <v>730</v>
      </c>
    </row>
    <row r="32" spans="1:18" s="598" customFormat="1" ht="28.5" customHeight="1">
      <c r="A32" s="591">
        <v>5</v>
      </c>
      <c r="B32" s="2663"/>
      <c r="C32" s="2664"/>
      <c r="D32" s="2559"/>
      <c r="E32" s="548" t="s">
        <v>769</v>
      </c>
      <c r="F32" s="672">
        <f>'R.GUI MAIL'!Z44</f>
        <v>0</v>
      </c>
      <c r="G32" s="554" t="s">
        <v>641</v>
      </c>
      <c r="H32" s="555">
        <f>'R.GUI MAIL'!AC44</f>
        <v>0</v>
      </c>
      <c r="I32" s="235" t="s">
        <v>718</v>
      </c>
      <c r="J32" s="672">
        <f>'R.GUI MAIL'!AF44</f>
        <v>0</v>
      </c>
      <c r="K32" s="554" t="s">
        <v>641</v>
      </c>
      <c r="L32" s="555">
        <f>'R.GUI MAIL'!AI44</f>
        <v>0</v>
      </c>
      <c r="M32" s="235" t="s">
        <v>718</v>
      </c>
      <c r="N32" s="672">
        <f>'R.GUI MAIL'!AL44</f>
        <v>0</v>
      </c>
      <c r="O32" s="554" t="s">
        <v>641</v>
      </c>
      <c r="P32" s="555">
        <f>'R.GUI MAIL'!AO44</f>
        <v>0</v>
      </c>
      <c r="Q32" s="235" t="s">
        <v>718</v>
      </c>
      <c r="R32" s="614"/>
    </row>
    <row r="33" spans="1:18" s="598" customFormat="1" ht="28.5" customHeight="1">
      <c r="A33" s="591">
        <v>6</v>
      </c>
      <c r="B33" s="2661"/>
      <c r="C33" s="2662"/>
      <c r="D33" s="2559"/>
      <c r="E33" s="548" t="s">
        <v>651</v>
      </c>
      <c r="F33" s="673">
        <f>'R.GUI MAIL'!Z45</f>
        <v>0</v>
      </c>
      <c r="G33" s="554" t="s">
        <v>641</v>
      </c>
      <c r="H33" s="555">
        <f>'R.GUI MAIL'!AC45</f>
        <v>0</v>
      </c>
      <c r="I33" s="75" t="s">
        <v>718</v>
      </c>
      <c r="J33" s="673">
        <f>'R.GUI MAIL'!AF45</f>
        <v>0</v>
      </c>
      <c r="K33" s="554" t="s">
        <v>641</v>
      </c>
      <c r="L33" s="555">
        <f>'R.GUI MAIL'!AI45</f>
        <v>0</v>
      </c>
      <c r="M33" s="75" t="s">
        <v>718</v>
      </c>
      <c r="N33" s="673">
        <f>'R.GUI MAIL'!AL45</f>
        <v>0</v>
      </c>
      <c r="O33" s="554" t="s">
        <v>641</v>
      </c>
      <c r="P33" s="555">
        <f>'R.GUI MAIL'!AO45</f>
        <v>0</v>
      </c>
      <c r="Q33" s="75" t="s">
        <v>718</v>
      </c>
      <c r="R33" s="613" t="s">
        <v>729</v>
      </c>
    </row>
    <row r="34" spans="1:18" s="598" customFormat="1" ht="28.5" hidden="1" customHeight="1">
      <c r="A34" s="591">
        <v>7</v>
      </c>
      <c r="B34" s="2659" t="s">
        <v>770</v>
      </c>
      <c r="C34" s="2660">
        <f>R.HN!B30</f>
        <v>0</v>
      </c>
      <c r="D34" s="2559" t="s">
        <v>466</v>
      </c>
      <c r="E34" s="548" t="s">
        <v>773</v>
      </c>
      <c r="F34" s="672" t="e">
        <f>'R.GUI MAIL'!#REF!</f>
        <v>#REF!</v>
      </c>
      <c r="G34" s="554" t="s">
        <v>641</v>
      </c>
      <c r="H34" s="555" t="e">
        <f>'R.GUI MAIL'!#REF!</f>
        <v>#REF!</v>
      </c>
      <c r="I34" s="235" t="s">
        <v>718</v>
      </c>
      <c r="J34" s="672" t="e">
        <f>'R.GUI MAIL'!#REF!</f>
        <v>#REF!</v>
      </c>
      <c r="K34" s="554" t="s">
        <v>641</v>
      </c>
      <c r="L34" s="555" t="e">
        <f>'R.GUI MAIL'!#REF!</f>
        <v>#REF!</v>
      </c>
      <c r="M34" s="235" t="s">
        <v>718</v>
      </c>
      <c r="N34" s="672" t="e">
        <f>'R.GUI MAIL'!#REF!</f>
        <v>#REF!</v>
      </c>
      <c r="O34" s="554" t="s">
        <v>641</v>
      </c>
      <c r="P34" s="555" t="e">
        <f>'R.GUI MAIL'!#REF!</f>
        <v>#REF!</v>
      </c>
      <c r="Q34" s="235" t="s">
        <v>718</v>
      </c>
      <c r="R34" s="613" t="s">
        <v>730</v>
      </c>
    </row>
    <row r="35" spans="1:18" s="598" customFormat="1" ht="28.5" hidden="1" customHeight="1">
      <c r="A35" s="591">
        <v>8</v>
      </c>
      <c r="B35" s="2663"/>
      <c r="C35" s="2664"/>
      <c r="D35" s="2559"/>
      <c r="E35" s="548" t="s">
        <v>769</v>
      </c>
      <c r="F35" s="672" t="e">
        <f>'R.GUI MAIL'!#REF!</f>
        <v>#REF!</v>
      </c>
      <c r="G35" s="554" t="s">
        <v>641</v>
      </c>
      <c r="H35" s="555" t="e">
        <f>'R.GUI MAIL'!#REF!</f>
        <v>#REF!</v>
      </c>
      <c r="I35" s="235" t="s">
        <v>718</v>
      </c>
      <c r="J35" s="672" t="e">
        <f>'R.GUI MAIL'!#REF!</f>
        <v>#REF!</v>
      </c>
      <c r="K35" s="554" t="s">
        <v>641</v>
      </c>
      <c r="L35" s="555" t="e">
        <f>'R.GUI MAIL'!#REF!</f>
        <v>#REF!</v>
      </c>
      <c r="M35" s="235" t="s">
        <v>718</v>
      </c>
      <c r="N35" s="672" t="e">
        <f>'R.GUI MAIL'!#REF!</f>
        <v>#REF!</v>
      </c>
      <c r="O35" s="554" t="s">
        <v>641</v>
      </c>
      <c r="P35" s="555" t="e">
        <f>'R.GUI MAIL'!#REF!</f>
        <v>#REF!</v>
      </c>
      <c r="Q35" s="235" t="s">
        <v>718</v>
      </c>
      <c r="R35" s="613"/>
    </row>
    <row r="36" spans="1:18" s="598" customFormat="1" ht="28.5" hidden="1" customHeight="1">
      <c r="A36" s="591">
        <v>9</v>
      </c>
      <c r="B36" s="2661"/>
      <c r="C36" s="2662"/>
      <c r="D36" s="2559"/>
      <c r="E36" s="548" t="s">
        <v>651</v>
      </c>
      <c r="F36" s="673" t="e">
        <f>'R.GUI MAIL'!#REF!</f>
        <v>#REF!</v>
      </c>
      <c r="G36" s="554" t="s">
        <v>641</v>
      </c>
      <c r="H36" s="555" t="e">
        <f>'R.GUI MAIL'!#REF!</f>
        <v>#REF!</v>
      </c>
      <c r="I36" s="75" t="s">
        <v>718</v>
      </c>
      <c r="J36" s="673" t="e">
        <f>'R.GUI MAIL'!#REF!</f>
        <v>#REF!</v>
      </c>
      <c r="K36" s="554" t="s">
        <v>641</v>
      </c>
      <c r="L36" s="555" t="e">
        <f>'R.GUI MAIL'!#REF!</f>
        <v>#REF!</v>
      </c>
      <c r="M36" s="75" t="s">
        <v>718</v>
      </c>
      <c r="N36" s="673" t="e">
        <f>'R.GUI MAIL'!#REF!</f>
        <v>#REF!</v>
      </c>
      <c r="O36" s="554" t="s">
        <v>641</v>
      </c>
      <c r="P36" s="555" t="e">
        <f>'R.GUI MAIL'!#REF!</f>
        <v>#REF!</v>
      </c>
      <c r="Q36" s="75" t="s">
        <v>718</v>
      </c>
      <c r="R36" s="613" t="s">
        <v>729</v>
      </c>
    </row>
    <row r="37" spans="1:18" s="603" customFormat="1" ht="28.5" customHeight="1">
      <c r="A37" s="591">
        <v>16</v>
      </c>
      <c r="B37" s="2659" t="s">
        <v>701</v>
      </c>
      <c r="C37" s="2660"/>
      <c r="D37" s="593" t="s">
        <v>466</v>
      </c>
      <c r="E37" s="548" t="s">
        <v>476</v>
      </c>
      <c r="F37" s="672">
        <f>'R.GUI MAIL'!Z46</f>
        <v>0</v>
      </c>
      <c r="G37" s="609" t="s">
        <v>641</v>
      </c>
      <c r="H37" s="601">
        <f>'R.GUI MAIL'!AC46</f>
        <v>0</v>
      </c>
      <c r="I37" s="594" t="s">
        <v>718</v>
      </c>
      <c r="J37" s="672">
        <f>'R.GUI MAIL'!AF46</f>
        <v>0</v>
      </c>
      <c r="K37" s="609" t="s">
        <v>641</v>
      </c>
      <c r="L37" s="601">
        <f>'R.GUI MAIL'!AI46</f>
        <v>0</v>
      </c>
      <c r="M37" s="594" t="s">
        <v>718</v>
      </c>
      <c r="N37" s="672">
        <f>'R.GUI MAIL'!AL46</f>
        <v>0</v>
      </c>
      <c r="O37" s="609" t="s">
        <v>641</v>
      </c>
      <c r="P37" s="601">
        <f>'R.GUI MAIL'!AO46</f>
        <v>0</v>
      </c>
      <c r="Q37" s="594" t="s">
        <v>718</v>
      </c>
      <c r="R37" s="602" t="s">
        <v>702</v>
      </c>
    </row>
    <row r="38" spans="1:18" s="603" customFormat="1" ht="28.5" customHeight="1">
      <c r="A38" s="591">
        <v>17</v>
      </c>
      <c r="B38" s="2661"/>
      <c r="C38" s="2662"/>
      <c r="D38" s="604" t="s">
        <v>723</v>
      </c>
      <c r="E38" s="1102" t="s">
        <v>1030</v>
      </c>
      <c r="F38" s="672">
        <f>'R.GUI MAIL'!Z47</f>
        <v>0</v>
      </c>
      <c r="G38" s="554" t="s">
        <v>641</v>
      </c>
      <c r="H38" s="555">
        <f>'R.GUI MAIL'!AC47</f>
        <v>0</v>
      </c>
      <c r="I38" s="235" t="s">
        <v>718</v>
      </c>
      <c r="J38" s="672">
        <f>'R.GUI MAIL'!AF47</f>
        <v>0</v>
      </c>
      <c r="K38" s="554" t="s">
        <v>641</v>
      </c>
      <c r="L38" s="555">
        <f>'R.GUI MAIL'!AI47</f>
        <v>0</v>
      </c>
      <c r="M38" s="235" t="s">
        <v>718</v>
      </c>
      <c r="N38" s="672">
        <f>'R.GUI MAIL'!AL47</f>
        <v>0</v>
      </c>
      <c r="O38" s="554" t="s">
        <v>641</v>
      </c>
      <c r="P38" s="555">
        <f>'R.GUI MAIL'!AO47</f>
        <v>0</v>
      </c>
      <c r="Q38" s="235" t="s">
        <v>718</v>
      </c>
      <c r="R38" s="235"/>
    </row>
    <row r="39" spans="1:18" s="598" customFormat="1" ht="28.5" customHeight="1">
      <c r="A39" s="2560" t="s">
        <v>704</v>
      </c>
      <c r="B39" s="2560"/>
      <c r="C39" s="2560"/>
      <c r="D39" s="2560"/>
      <c r="E39" s="2560"/>
      <c r="F39" s="2560"/>
      <c r="G39" s="2560"/>
      <c r="H39" s="2560"/>
      <c r="I39" s="2560"/>
      <c r="J39" s="2560"/>
      <c r="K39" s="2560"/>
      <c r="L39" s="2560"/>
      <c r="M39" s="2560"/>
      <c r="N39" s="2560"/>
      <c r="O39" s="2560"/>
      <c r="P39" s="2560"/>
      <c r="Q39" s="2560"/>
      <c r="R39" s="2560"/>
    </row>
    <row r="40" spans="1:18" s="598" customFormat="1" ht="28.5" customHeight="1">
      <c r="A40" s="235" t="s">
        <v>724</v>
      </c>
      <c r="B40" s="2594" t="s">
        <v>706</v>
      </c>
      <c r="C40" s="2596"/>
      <c r="D40" s="605" t="s">
        <v>707</v>
      </c>
      <c r="E40" s="605" t="s">
        <v>708</v>
      </c>
      <c r="F40" s="2516" t="s">
        <v>48</v>
      </c>
      <c r="G40" s="2516"/>
      <c r="H40" s="2516" t="s">
        <v>65</v>
      </c>
      <c r="I40" s="2516"/>
      <c r="J40" s="2516" t="s">
        <v>48</v>
      </c>
      <c r="K40" s="2516"/>
      <c r="L40" s="2516" t="s">
        <v>65</v>
      </c>
      <c r="M40" s="2516"/>
      <c r="N40" s="2516" t="s">
        <v>48</v>
      </c>
      <c r="O40" s="2516"/>
      <c r="P40" s="2516" t="s">
        <v>65</v>
      </c>
      <c r="Q40" s="2516"/>
      <c r="R40" s="612"/>
    </row>
    <row r="41" spans="1:18" s="598" customFormat="1" ht="28.5" customHeight="1">
      <c r="A41" s="235">
        <v>1</v>
      </c>
      <c r="B41" s="2594" t="s">
        <v>911</v>
      </c>
      <c r="C41" s="2596"/>
      <c r="D41" s="606" t="s">
        <v>710</v>
      </c>
      <c r="E41" s="933" t="s">
        <v>711</v>
      </c>
      <c r="F41" s="2671">
        <f>'R.GUI MAIL'!Z50</f>
        <v>0</v>
      </c>
      <c r="G41" s="2672"/>
      <c r="H41" s="2181">
        <f>'R.FILE GOC'!AC50</f>
        <v>0</v>
      </c>
      <c r="I41" s="2182"/>
      <c r="J41" s="2671">
        <f>'R.GUI MAIL'!AF50</f>
        <v>0</v>
      </c>
      <c r="K41" s="2672"/>
      <c r="L41" s="2181">
        <f>'R.FILE GOC'!AI50</f>
        <v>0</v>
      </c>
      <c r="M41" s="2182"/>
      <c r="N41" s="2671">
        <f>'R.GUI MAIL'!AL50</f>
        <v>0</v>
      </c>
      <c r="O41" s="2672"/>
      <c r="P41" s="2181">
        <f>'R.FILE GOC'!AO50</f>
        <v>0</v>
      </c>
      <c r="Q41" s="2182"/>
      <c r="R41" s="300"/>
    </row>
    <row r="42" spans="1:18" s="598" customFormat="1" ht="28.5" customHeight="1">
      <c r="A42" s="235">
        <v>2</v>
      </c>
      <c r="B42" s="2594" t="s">
        <v>482</v>
      </c>
      <c r="C42" s="2596"/>
      <c r="D42" s="606" t="s">
        <v>710</v>
      </c>
      <c r="E42" s="548" t="s">
        <v>713</v>
      </c>
      <c r="F42" s="2181">
        <f>'R.GUI MAIL'!Z51</f>
        <v>0</v>
      </c>
      <c r="G42" s="2182"/>
      <c r="H42" s="2181">
        <f>'R.FILE GOC'!AC51</f>
        <v>0</v>
      </c>
      <c r="I42" s="2182"/>
      <c r="J42" s="2181">
        <f>'R.GUI MAIL'!AF51</f>
        <v>0</v>
      </c>
      <c r="K42" s="2182"/>
      <c r="L42" s="2181">
        <f>'R.FILE GOC'!AI51</f>
        <v>0</v>
      </c>
      <c r="M42" s="2182"/>
      <c r="N42" s="2181">
        <f>'R.GUI MAIL'!AL51</f>
        <v>0</v>
      </c>
      <c r="O42" s="2182"/>
      <c r="P42" s="2181">
        <f>'R.FILE GOC'!AO51</f>
        <v>0</v>
      </c>
      <c r="Q42" s="2182"/>
      <c r="R42" s="75"/>
    </row>
    <row r="43" spans="1:18" s="598" customFormat="1" ht="28.5" customHeight="1">
      <c r="A43" s="235">
        <v>3</v>
      </c>
      <c r="B43" s="2594" t="s">
        <v>714</v>
      </c>
      <c r="C43" s="2596"/>
      <c r="D43" s="606" t="s">
        <v>710</v>
      </c>
      <c r="E43" s="548" t="s">
        <v>715</v>
      </c>
      <c r="F43" s="2671">
        <f>'R.GUI MAIL'!Z52</f>
        <v>0</v>
      </c>
      <c r="G43" s="2672"/>
      <c r="H43" s="2181">
        <f>'R.FILE GOC'!AC52</f>
        <v>0</v>
      </c>
      <c r="I43" s="2182"/>
      <c r="J43" s="2671">
        <f>'R.GUI MAIL'!AF52</f>
        <v>0</v>
      </c>
      <c r="K43" s="2672"/>
      <c r="L43" s="2181">
        <f>'R.FILE GOC'!AI52</f>
        <v>0</v>
      </c>
      <c r="M43" s="2182"/>
      <c r="N43" s="2671">
        <f>'R.GUI MAIL'!AL52</f>
        <v>0</v>
      </c>
      <c r="O43" s="2672"/>
      <c r="P43" s="2181">
        <f>'R.FILE GOC'!AO52</f>
        <v>0</v>
      </c>
      <c r="Q43" s="2182"/>
      <c r="R43" s="300"/>
    </row>
    <row r="44" spans="1:18" ht="28.5" customHeight="1">
      <c r="A44" s="368"/>
      <c r="B44" s="367"/>
      <c r="C44" s="367"/>
      <c r="D44" s="674"/>
      <c r="E44" s="675"/>
      <c r="F44" s="2386"/>
      <c r="G44" s="2386"/>
      <c r="H44" s="2386"/>
      <c r="I44" s="2386"/>
      <c r="J44" s="2658"/>
      <c r="K44" s="2658"/>
      <c r="L44" s="2658"/>
      <c r="M44" s="2658"/>
      <c r="N44" s="2658"/>
      <c r="O44" s="2658"/>
      <c r="P44" s="2658"/>
      <c r="Q44" s="2658"/>
      <c r="R44" s="677"/>
    </row>
  </sheetData>
  <sheetProtection selectLockedCells="1"/>
  <mergeCells count="115">
    <mergeCell ref="A1:M1"/>
    <mergeCell ref="A2:M2"/>
    <mergeCell ref="P2:Q2"/>
    <mergeCell ref="J3:L3"/>
    <mergeCell ref="P3:Q3"/>
    <mergeCell ref="A4:A6"/>
    <mergeCell ref="B4:C6"/>
    <mergeCell ref="D4:D6"/>
    <mergeCell ref="E4:E6"/>
    <mergeCell ref="F4:Q4"/>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B15:C16"/>
    <mergeCell ref="A17:R17"/>
    <mergeCell ref="B18:C18"/>
    <mergeCell ref="F18:G18"/>
    <mergeCell ref="H18:I18"/>
    <mergeCell ref="J18:K18"/>
    <mergeCell ref="L18:M18"/>
    <mergeCell ref="N18:O18"/>
    <mergeCell ref="P18:Q18"/>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B37:C38"/>
    <mergeCell ref="A39:R39"/>
    <mergeCell ref="B40:C40"/>
    <mergeCell ref="F40:G40"/>
    <mergeCell ref="H40:I40"/>
    <mergeCell ref="J40:K40"/>
    <mergeCell ref="L40:M40"/>
    <mergeCell ref="N40:O40"/>
    <mergeCell ref="P40:Q40"/>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P43:Q43"/>
    <mergeCell ref="F44:I44"/>
    <mergeCell ref="J44:M44"/>
    <mergeCell ref="N44:Q44"/>
    <mergeCell ref="B43:C43"/>
    <mergeCell ref="F43:G43"/>
    <mergeCell ref="H43:I43"/>
    <mergeCell ref="J43:K43"/>
    <mergeCell ref="L43:M43"/>
    <mergeCell ref="N43:O43"/>
  </mergeCells>
  <phoneticPr fontId="6" type="noConversion"/>
  <conditionalFormatting sqref="F7:F8 J7:J8">
    <cfRule type="expression" dxfId="316" priority="116">
      <formula>F7&lt;10</formula>
    </cfRule>
    <cfRule type="expression" dxfId="315" priority="117">
      <formula>F7&gt;15</formula>
    </cfRule>
  </conditionalFormatting>
  <conditionalFormatting sqref="F9 F12 J9 J12">
    <cfRule type="expression" dxfId="314" priority="114">
      <formula>F9&lt;40</formula>
    </cfRule>
    <cfRule type="expression" dxfId="313" priority="115">
      <formula>F9&gt;60</formula>
    </cfRule>
  </conditionalFormatting>
  <conditionalFormatting sqref="F10 F13 J10 J13">
    <cfRule type="expression" dxfId="312" priority="112">
      <formula>F10&lt;5.2</formula>
    </cfRule>
    <cfRule type="expression" dxfId="311" priority="113">
      <formula>F10&gt;7.8</formula>
    </cfRule>
  </conditionalFormatting>
  <conditionalFormatting sqref="F11 F14 J11 J14">
    <cfRule type="expression" dxfId="310" priority="111">
      <formula>F11&gt;0.4</formula>
    </cfRule>
  </conditionalFormatting>
  <conditionalFormatting sqref="F15 J15">
    <cfRule type="expression" dxfId="309" priority="109">
      <formula>F15&lt;0.8</formula>
    </cfRule>
    <cfRule type="expression" dxfId="308" priority="110">
      <formula>F15&gt;1.2</formula>
    </cfRule>
  </conditionalFormatting>
  <conditionalFormatting sqref="F16 J16">
    <cfRule type="expression" dxfId="307" priority="107">
      <formula>F16&lt;8</formula>
    </cfRule>
    <cfRule type="expression" dxfId="306" priority="108">
      <formula>F16&gt;10</formula>
    </cfRule>
  </conditionalFormatting>
  <conditionalFormatting sqref="N7:N8">
    <cfRule type="expression" dxfId="305" priority="101">
      <formula>N7&lt;10</formula>
    </cfRule>
    <cfRule type="expression" dxfId="304" priority="102">
      <formula>N7&gt;15</formula>
    </cfRule>
  </conditionalFormatting>
  <conditionalFormatting sqref="N9 N12">
    <cfRule type="expression" dxfId="303" priority="99">
      <formula>N9&lt;40</formula>
    </cfRule>
    <cfRule type="expression" dxfId="302" priority="100">
      <formula>N9&gt;60</formula>
    </cfRule>
  </conditionalFormatting>
  <conditionalFormatting sqref="N10 N13">
    <cfRule type="expression" dxfId="301" priority="97">
      <formula>N10&lt;5.2</formula>
    </cfRule>
    <cfRule type="expression" dxfId="300" priority="98">
      <formula>N10&gt;7.8</formula>
    </cfRule>
  </conditionalFormatting>
  <conditionalFormatting sqref="N11 N14">
    <cfRule type="expression" dxfId="299" priority="96">
      <formula>N11&gt;0.4</formula>
    </cfRule>
  </conditionalFormatting>
  <conditionalFormatting sqref="N15">
    <cfRule type="expression" dxfId="298" priority="94">
      <formula>N15&lt;0.8</formula>
    </cfRule>
    <cfRule type="expression" dxfId="297" priority="95">
      <formula>N15&gt;1.2</formula>
    </cfRule>
  </conditionalFormatting>
  <conditionalFormatting sqref="N16">
    <cfRule type="expression" dxfId="296" priority="92">
      <formula>N16&lt;8</formula>
    </cfRule>
    <cfRule type="expression" dxfId="295" priority="93">
      <formula>N16&gt;10</formula>
    </cfRule>
  </conditionalFormatting>
  <conditionalFormatting sqref="J29:J30">
    <cfRule type="expression" dxfId="294" priority="78">
      <formula>J29&lt;10</formula>
    </cfRule>
    <cfRule type="expression" dxfId="293" priority="79">
      <formula>J29&gt;15</formula>
    </cfRule>
  </conditionalFormatting>
  <conditionalFormatting sqref="J31 J34">
    <cfRule type="expression" dxfId="292" priority="76">
      <formula>J31&lt;40</formula>
    </cfRule>
    <cfRule type="expression" dxfId="291" priority="77">
      <formula>J31&gt;60</formula>
    </cfRule>
  </conditionalFormatting>
  <conditionalFormatting sqref="J32 J35">
    <cfRule type="expression" dxfId="290" priority="74">
      <formula>J32&lt;5.2</formula>
    </cfRule>
    <cfRule type="expression" dxfId="289" priority="75">
      <formula>J32&gt;7.8</formula>
    </cfRule>
  </conditionalFormatting>
  <conditionalFormatting sqref="J33 J36">
    <cfRule type="expression" dxfId="288" priority="73">
      <formula>J33&gt;0.4</formula>
    </cfRule>
  </conditionalFormatting>
  <conditionalFormatting sqref="J37">
    <cfRule type="expression" dxfId="287" priority="71">
      <formula>J37&lt;0.8</formula>
    </cfRule>
    <cfRule type="expression" dxfId="286" priority="72">
      <formula>J37&gt;1.2</formula>
    </cfRule>
  </conditionalFormatting>
  <conditionalFormatting sqref="J38">
    <cfRule type="expression" dxfId="285" priority="69">
      <formula>J38&lt;8</formula>
    </cfRule>
    <cfRule type="expression" dxfId="284" priority="70">
      <formula>J38&gt;10</formula>
    </cfRule>
  </conditionalFormatting>
  <conditionalFormatting sqref="N29:N30">
    <cfRule type="expression" dxfId="283" priority="67">
      <formula>N29&lt;10</formula>
    </cfRule>
    <cfRule type="expression" dxfId="282" priority="68">
      <formula>N29&gt;15</formula>
    </cfRule>
  </conditionalFormatting>
  <conditionalFormatting sqref="N31 N34">
    <cfRule type="expression" dxfId="281" priority="65">
      <formula>N31&lt;40</formula>
    </cfRule>
    <cfRule type="expression" dxfId="280" priority="66">
      <formula>N31&gt;60</formula>
    </cfRule>
  </conditionalFormatting>
  <conditionalFormatting sqref="N32 N35">
    <cfRule type="expression" dxfId="279" priority="63">
      <formula>N32&lt;5.2</formula>
    </cfRule>
    <cfRule type="expression" dxfId="278" priority="64">
      <formula>N32&gt;7.8</formula>
    </cfRule>
  </conditionalFormatting>
  <conditionalFormatting sqref="N33 N36">
    <cfRule type="expression" dxfId="277" priority="62">
      <formula>N33&gt;0.4</formula>
    </cfRule>
  </conditionalFormatting>
  <conditionalFormatting sqref="N37">
    <cfRule type="expression" dxfId="276" priority="60">
      <formula>N37&lt;0.8</formula>
    </cfRule>
    <cfRule type="expression" dxfId="275" priority="61">
      <formula>N37&gt;1.2</formula>
    </cfRule>
  </conditionalFormatting>
  <conditionalFormatting sqref="N38">
    <cfRule type="expression" dxfId="274" priority="58">
      <formula>N38&lt;8</formula>
    </cfRule>
    <cfRule type="expression" dxfId="273" priority="59">
      <formula>N38&gt;10</formula>
    </cfRule>
  </conditionalFormatting>
  <conditionalFormatting sqref="F29:F30">
    <cfRule type="expression" dxfId="272" priority="56">
      <formula>F29&lt;10</formula>
    </cfRule>
    <cfRule type="expression" dxfId="271" priority="57">
      <formula>F29&gt;15</formula>
    </cfRule>
  </conditionalFormatting>
  <conditionalFormatting sqref="F31 F34">
    <cfRule type="expression" dxfId="270" priority="54">
      <formula>F31&lt;40</formula>
    </cfRule>
    <cfRule type="expression" dxfId="269" priority="55">
      <formula>F31&gt;60</formula>
    </cfRule>
  </conditionalFormatting>
  <conditionalFormatting sqref="F32 F35">
    <cfRule type="expression" dxfId="268" priority="52">
      <formula>F32&lt;5.2</formula>
    </cfRule>
    <cfRule type="expression" dxfId="267" priority="53">
      <formula>F32&gt;7.8</formula>
    </cfRule>
  </conditionalFormatting>
  <conditionalFormatting sqref="F33 F36">
    <cfRule type="expression" dxfId="266" priority="51">
      <formula>F33&gt;0.4</formula>
    </cfRule>
  </conditionalFormatting>
  <conditionalFormatting sqref="F37">
    <cfRule type="expression" dxfId="265" priority="49">
      <formula>F37&lt;0.8</formula>
    </cfRule>
    <cfRule type="expression" dxfId="264" priority="50">
      <formula>F37&gt;1.2</formula>
    </cfRule>
  </conditionalFormatting>
  <conditionalFormatting sqref="F38">
    <cfRule type="expression" dxfId="263" priority="47">
      <formula>F38&lt;8</formula>
    </cfRule>
    <cfRule type="expression" dxfId="262" priority="48">
      <formula>F38&gt;10</formula>
    </cfRule>
  </conditionalFormatting>
  <conditionalFormatting sqref="F8">
    <cfRule type="expression" dxfId="261" priority="41">
      <formula>F8&lt;10</formula>
    </cfRule>
    <cfRule type="expression" dxfId="260" priority="42">
      <formula>F8&gt;15</formula>
    </cfRule>
  </conditionalFormatting>
  <conditionalFormatting sqref="F8">
    <cfRule type="expression" dxfId="259" priority="40">
      <formula>F8&lt;1</formula>
    </cfRule>
  </conditionalFormatting>
  <conditionalFormatting sqref="J8">
    <cfRule type="expression" dxfId="258" priority="38">
      <formula>J8&lt;10</formula>
    </cfRule>
    <cfRule type="expression" dxfId="257" priority="39">
      <formula>J8&gt;15</formula>
    </cfRule>
  </conditionalFormatting>
  <conditionalFormatting sqref="J8">
    <cfRule type="expression" dxfId="256" priority="37">
      <formula>J8&lt;1</formula>
    </cfRule>
  </conditionalFormatting>
  <conditionalFormatting sqref="N8">
    <cfRule type="expression" dxfId="255" priority="35">
      <formula>N8&lt;10</formula>
    </cfRule>
    <cfRule type="expression" dxfId="254" priority="36">
      <formula>N8&gt;15</formula>
    </cfRule>
  </conditionalFormatting>
  <conditionalFormatting sqref="N8">
    <cfRule type="expression" dxfId="253" priority="33">
      <formula>N8&lt;10</formula>
    </cfRule>
    <cfRule type="expression" dxfId="252" priority="34">
      <formula>N8&gt;15</formula>
    </cfRule>
  </conditionalFormatting>
  <conditionalFormatting sqref="N8">
    <cfRule type="expression" dxfId="251" priority="32">
      <formula>N8&lt;1</formula>
    </cfRule>
  </conditionalFormatting>
  <conditionalFormatting sqref="F30 J30">
    <cfRule type="expression" dxfId="250" priority="30">
      <formula>F30&lt;10</formula>
    </cfRule>
    <cfRule type="expression" dxfId="249" priority="31">
      <formula>F30&gt;15</formula>
    </cfRule>
  </conditionalFormatting>
  <conditionalFormatting sqref="N30">
    <cfRule type="expression" dxfId="248" priority="28">
      <formula>N30&lt;10</formula>
    </cfRule>
    <cfRule type="expression" dxfId="247" priority="29">
      <formula>N30&gt;15</formula>
    </cfRule>
  </conditionalFormatting>
  <conditionalFormatting sqref="F30">
    <cfRule type="expression" dxfId="246" priority="26">
      <formula>F30&lt;10</formula>
    </cfRule>
    <cfRule type="expression" dxfId="245" priority="27">
      <formula>F30&gt;15</formula>
    </cfRule>
  </conditionalFormatting>
  <conditionalFormatting sqref="F30">
    <cfRule type="expression" dxfId="244" priority="25">
      <formula>F30&lt;1</formula>
    </cfRule>
  </conditionalFormatting>
  <conditionalFormatting sqref="J30">
    <cfRule type="expression" dxfId="243" priority="23">
      <formula>J30&lt;10</formula>
    </cfRule>
    <cfRule type="expression" dxfId="242" priority="24">
      <formula>J30&gt;15</formula>
    </cfRule>
  </conditionalFormatting>
  <conditionalFormatting sqref="J30">
    <cfRule type="expression" dxfId="241" priority="22">
      <formula>J30&lt;1</formula>
    </cfRule>
  </conditionalFormatting>
  <conditionalFormatting sqref="N30">
    <cfRule type="expression" dxfId="240" priority="20">
      <formula>N30&lt;10</formula>
    </cfRule>
    <cfRule type="expression" dxfId="239" priority="21">
      <formula>N30&gt;15</formula>
    </cfRule>
  </conditionalFormatting>
  <conditionalFormatting sqref="N30">
    <cfRule type="expression" dxfId="238" priority="18">
      <formula>N30&lt;10</formula>
    </cfRule>
    <cfRule type="expression" dxfId="237" priority="19">
      <formula>N30&gt;15</formula>
    </cfRule>
  </conditionalFormatting>
  <conditionalFormatting sqref="N30">
    <cfRule type="expression" dxfId="236" priority="17">
      <formula>N30&lt;1</formula>
    </cfRule>
  </conditionalFormatting>
  <conditionalFormatting sqref="F41:G42">
    <cfRule type="expression" dxfId="235" priority="15">
      <formula>F41&lt;65</formula>
    </cfRule>
    <cfRule type="expression" dxfId="234" priority="16">
      <formula>F41&gt;85</formula>
    </cfRule>
  </conditionalFormatting>
  <conditionalFormatting sqref="F43:G43">
    <cfRule type="expression" dxfId="233" priority="13">
      <formula>F43&lt;80</formula>
    </cfRule>
    <cfRule type="expression" dxfId="232" priority="14">
      <formula>F43&gt;90</formula>
    </cfRule>
  </conditionalFormatting>
  <conditionalFormatting sqref="H41:Q42">
    <cfRule type="expression" dxfId="231" priority="11">
      <formula>H41&lt;65</formula>
    </cfRule>
    <cfRule type="expression" dxfId="230" priority="12">
      <formula>H41&gt;85</formula>
    </cfRule>
  </conditionalFormatting>
  <conditionalFormatting sqref="H43:Q43">
    <cfRule type="expression" dxfId="229" priority="9">
      <formula>H43&lt;80</formula>
    </cfRule>
    <cfRule type="expression" dxfId="228" priority="10">
      <formula>H43&gt;90</formula>
    </cfRule>
  </conditionalFormatting>
  <conditionalFormatting sqref="F19:G20">
    <cfRule type="expression" dxfId="227" priority="7">
      <formula>F19&lt;65</formula>
    </cfRule>
    <cfRule type="expression" dxfId="226" priority="8">
      <formula>F19&gt;85</formula>
    </cfRule>
  </conditionalFormatting>
  <conditionalFormatting sqref="F21:G21">
    <cfRule type="expression" dxfId="225" priority="5">
      <formula>F21&lt;80</formula>
    </cfRule>
    <cfRule type="expression" dxfId="224" priority="6">
      <formula>F21&gt;90</formula>
    </cfRule>
  </conditionalFormatting>
  <conditionalFormatting sqref="H19:Q20">
    <cfRule type="expression" dxfId="223" priority="3">
      <formula>H19&lt;65</formula>
    </cfRule>
    <cfRule type="expression" dxfId="222" priority="4">
      <formula>H19&gt;85</formula>
    </cfRule>
  </conditionalFormatting>
  <conditionalFormatting sqref="H21:Q21">
    <cfRule type="expression" dxfId="221" priority="1">
      <formula>H21&lt;80</formula>
    </cfRule>
    <cfRule type="expression" dxfId="220"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1">
    <tabColor rgb="FFFF0000"/>
  </sheetPr>
  <dimension ref="A1:R33"/>
  <sheetViews>
    <sheetView zoomScale="55" zoomScaleNormal="55" workbookViewId="0">
      <selection activeCell="B3" sqref="B3"/>
    </sheetView>
  </sheetViews>
  <sheetFormatPr defaultRowHeight="16.5"/>
  <cols>
    <col min="1" max="1" width="5.25" style="615" customWidth="1"/>
    <col min="2" max="2" width="31.25" style="638" customWidth="1"/>
    <col min="3" max="3" width="8.375" style="615" customWidth="1"/>
    <col min="4" max="4" width="13.125" style="615" customWidth="1"/>
    <col min="5" max="5" width="9.5" style="615" customWidth="1"/>
    <col min="6" max="6" width="3.375" style="615" customWidth="1"/>
    <col min="7" max="7" width="6.375" style="615" customWidth="1"/>
    <col min="8" max="8" width="3.625" style="615" customWidth="1"/>
    <col min="9" max="9" width="9" style="615" customWidth="1"/>
    <col min="10" max="10" width="3.625" style="615" customWidth="1"/>
    <col min="11" max="12" width="5.625" style="615" customWidth="1"/>
    <col min="13" max="14" width="5.375" style="615" customWidth="1"/>
    <col min="15" max="15" width="5.375" style="639" customWidth="1"/>
    <col min="16" max="16" width="5.375" style="615" customWidth="1"/>
    <col min="17" max="18" width="6.375" style="615" customWidth="1"/>
    <col min="19" max="16384" width="9" style="615"/>
  </cols>
  <sheetData>
    <row r="1" spans="1:18" ht="33.75" customHeight="1">
      <c r="A1" s="2612" t="s">
        <v>151</v>
      </c>
      <c r="B1" s="2612"/>
      <c r="C1" s="2612"/>
      <c r="D1" s="2612"/>
      <c r="E1" s="2612"/>
      <c r="F1" s="2612"/>
      <c r="G1" s="2612"/>
      <c r="H1" s="2612"/>
      <c r="I1" s="2612"/>
      <c r="J1" s="2612"/>
      <c r="K1" s="2612"/>
      <c r="L1" s="2612"/>
      <c r="M1" s="2612"/>
      <c r="N1" s="2612"/>
      <c r="O1" s="1379"/>
      <c r="P1" s="1379"/>
      <c r="Q1" s="1379"/>
      <c r="R1" s="1379"/>
    </row>
    <row r="2" spans="1:18" ht="45.75" customHeight="1">
      <c r="A2" s="2613" t="s">
        <v>733</v>
      </c>
      <c r="B2" s="2613"/>
      <c r="C2" s="2613"/>
      <c r="D2" s="2613"/>
      <c r="E2" s="2613"/>
      <c r="F2" s="2613"/>
      <c r="G2" s="2613"/>
      <c r="H2" s="2613"/>
      <c r="I2" s="2613"/>
      <c r="J2" s="2613"/>
      <c r="K2" s="2613"/>
      <c r="L2" s="2613"/>
      <c r="M2" s="2613"/>
      <c r="N2" s="2614"/>
      <c r="O2" s="2300" t="s">
        <v>678</v>
      </c>
      <c r="P2" s="2302"/>
      <c r="Q2" s="2300" t="s">
        <v>17</v>
      </c>
      <c r="R2" s="2302"/>
    </row>
    <row r="3" spans="1:18" ht="31.5" customHeight="1">
      <c r="A3" s="616"/>
      <c r="B3" s="1730" t="str">
        <f>'2.RL E'!E3</f>
        <v>2023/03/21</v>
      </c>
      <c r="C3" s="616"/>
      <c r="D3" s="618"/>
      <c r="E3" s="616"/>
      <c r="F3" s="616"/>
      <c r="G3" s="616"/>
      <c r="H3" s="619"/>
      <c r="I3" s="619"/>
      <c r="J3" s="619"/>
      <c r="K3" s="619"/>
      <c r="L3" s="619"/>
      <c r="M3" s="619"/>
      <c r="N3" s="619"/>
      <c r="O3" s="2609" t="str">
        <f>'1.xi den'!N3</f>
        <v>Trang</v>
      </c>
      <c r="P3" s="2610"/>
      <c r="Q3" s="2609" t="s">
        <v>734</v>
      </c>
      <c r="R3" s="2610"/>
    </row>
    <row r="4" spans="1:18" s="623" customFormat="1" ht="43.5" customHeight="1">
      <c r="A4" s="2591" t="s">
        <v>7</v>
      </c>
      <c r="B4" s="2584" t="s">
        <v>735</v>
      </c>
      <c r="C4" s="2584" t="s">
        <v>20</v>
      </c>
      <c r="D4" s="2592" t="s">
        <v>736</v>
      </c>
      <c r="E4" s="620" t="s">
        <v>737</v>
      </c>
      <c r="F4" s="621"/>
      <c r="G4" s="621"/>
      <c r="H4" s="621"/>
      <c r="I4" s="621"/>
      <c r="J4" s="621"/>
      <c r="K4" s="621"/>
      <c r="L4" s="622"/>
      <c r="M4" s="2594" t="s">
        <v>738</v>
      </c>
      <c r="N4" s="2595"/>
      <c r="O4" s="2595"/>
      <c r="P4" s="2596"/>
      <c r="Q4" s="2603" t="s">
        <v>684</v>
      </c>
      <c r="R4" s="2604"/>
    </row>
    <row r="5" spans="1:18" s="623" customFormat="1" ht="24" customHeight="1">
      <c r="A5" s="2591"/>
      <c r="B5" s="2584"/>
      <c r="C5" s="2584"/>
      <c r="D5" s="2592"/>
      <c r="E5" s="2588">
        <v>0.33333333333333331</v>
      </c>
      <c r="F5" s="2301"/>
      <c r="G5" s="2301"/>
      <c r="H5" s="2302"/>
      <c r="I5" s="2588">
        <v>0.83333333333333337</v>
      </c>
      <c r="J5" s="2301"/>
      <c r="K5" s="2301"/>
      <c r="L5" s="2302"/>
      <c r="M5" s="2588">
        <v>0.33333333333333331</v>
      </c>
      <c r="N5" s="2302"/>
      <c r="O5" s="2611">
        <v>0.83333333333333337</v>
      </c>
      <c r="P5" s="2596"/>
      <c r="Q5" s="2605"/>
      <c r="R5" s="2606"/>
    </row>
    <row r="6" spans="1:18" s="623" customFormat="1" ht="55.5" customHeight="1">
      <c r="A6" s="2591"/>
      <c r="B6" s="2591"/>
      <c r="C6" s="2591"/>
      <c r="D6" s="2593"/>
      <c r="E6" s="1372" t="s">
        <v>739</v>
      </c>
      <c r="F6" s="2600" t="s">
        <v>740</v>
      </c>
      <c r="G6" s="2601"/>
      <c r="H6" s="2602"/>
      <c r="I6" s="1372" t="s">
        <v>739</v>
      </c>
      <c r="J6" s="2600" t="s">
        <v>740</v>
      </c>
      <c r="K6" s="2601"/>
      <c r="L6" s="2602"/>
      <c r="M6" s="624" t="s">
        <v>741</v>
      </c>
      <c r="N6" s="625" t="s">
        <v>742</v>
      </c>
      <c r="O6" s="624" t="s">
        <v>741</v>
      </c>
      <c r="P6" s="625" t="s">
        <v>742</v>
      </c>
      <c r="Q6" s="2607"/>
      <c r="R6" s="2608"/>
    </row>
    <row r="7" spans="1:18" ht="39.75" customHeight="1">
      <c r="A7" s="1373">
        <v>1</v>
      </c>
      <c r="B7" s="1373" t="s">
        <v>743</v>
      </c>
      <c r="C7" s="1373" t="s">
        <v>4</v>
      </c>
      <c r="D7" s="626" t="s">
        <v>564</v>
      </c>
      <c r="E7" s="35">
        <f>'R.GUI MAIL'!H89</f>
        <v>0</v>
      </c>
      <c r="F7" s="1380" t="s">
        <v>8</v>
      </c>
      <c r="G7" s="1381">
        <f>'R.GUI MAIL'!K89</f>
        <v>0</v>
      </c>
      <c r="H7" s="1382" t="s">
        <v>9</v>
      </c>
      <c r="I7" s="35">
        <f>'R.GUI MAIL'!N89</f>
        <v>0</v>
      </c>
      <c r="J7" s="1380" t="s">
        <v>8</v>
      </c>
      <c r="K7" s="1381">
        <f>'R.GUI MAIL'!Q89</f>
        <v>0</v>
      </c>
      <c r="L7" s="1382" t="s">
        <v>9</v>
      </c>
      <c r="M7" s="627"/>
      <c r="N7" s="628"/>
      <c r="O7" s="627"/>
      <c r="P7" s="628"/>
      <c r="Q7" s="2597" t="s">
        <v>12</v>
      </c>
      <c r="R7" s="2598"/>
    </row>
    <row r="8" spans="1:18" ht="39.75" customHeight="1">
      <c r="A8" s="1373">
        <v>2</v>
      </c>
      <c r="B8" s="1373" t="s">
        <v>744</v>
      </c>
      <c r="C8" s="1373" t="s">
        <v>4</v>
      </c>
      <c r="D8" s="626" t="s">
        <v>564</v>
      </c>
      <c r="E8" s="35">
        <f>'R.GUI MAIL'!H90</f>
        <v>0</v>
      </c>
      <c r="F8" s="1380" t="s">
        <v>8</v>
      </c>
      <c r="G8" s="1381">
        <f>'R.GUI MAIL'!K90</f>
        <v>0</v>
      </c>
      <c r="H8" s="1382" t="s">
        <v>9</v>
      </c>
      <c r="I8" s="35">
        <f>'R.GUI MAIL'!N90</f>
        <v>0</v>
      </c>
      <c r="J8" s="1380" t="s">
        <v>8</v>
      </c>
      <c r="K8" s="1381">
        <f>'R.GUI MAIL'!Q90</f>
        <v>0</v>
      </c>
      <c r="L8" s="1382" t="s">
        <v>9</v>
      </c>
      <c r="M8" s="627"/>
      <c r="N8" s="628"/>
      <c r="O8" s="627"/>
      <c r="P8" s="628"/>
      <c r="Q8" s="2597" t="s">
        <v>12</v>
      </c>
      <c r="R8" s="2598"/>
    </row>
    <row r="9" spans="1:18" ht="39.75" customHeight="1">
      <c r="A9" s="1373">
        <v>3</v>
      </c>
      <c r="B9" s="1373" t="s">
        <v>745</v>
      </c>
      <c r="C9" s="1373" t="s">
        <v>58</v>
      </c>
      <c r="D9" s="626" t="s">
        <v>570</v>
      </c>
      <c r="E9" s="35">
        <f>'R.GUI MAIL'!H91</f>
        <v>0</v>
      </c>
      <c r="F9" s="1380" t="s">
        <v>8</v>
      </c>
      <c r="G9" s="1381">
        <f>'R.GUI MAIL'!K91</f>
        <v>0</v>
      </c>
      <c r="H9" s="1382" t="s">
        <v>1252</v>
      </c>
      <c r="I9" s="35">
        <f>'R.GUI MAIL'!N91</f>
        <v>0</v>
      </c>
      <c r="J9" s="1380" t="s">
        <v>8</v>
      </c>
      <c r="K9" s="1381">
        <f>'R.GUI MAIL'!Q91</f>
        <v>0</v>
      </c>
      <c r="L9" s="1382" t="s">
        <v>1242</v>
      </c>
      <c r="M9" s="627"/>
      <c r="N9" s="628"/>
      <c r="O9" s="627"/>
      <c r="P9" s="628"/>
      <c r="Q9" s="2597" t="s">
        <v>16</v>
      </c>
      <c r="R9" s="2598"/>
    </row>
    <row r="10" spans="1:18" ht="39.75" customHeight="1">
      <c r="A10" s="1373">
        <v>4</v>
      </c>
      <c r="B10" s="1374" t="s">
        <v>1243</v>
      </c>
      <c r="C10" s="1373" t="s">
        <v>4</v>
      </c>
      <c r="D10" s="626" t="s">
        <v>572</v>
      </c>
      <c r="E10" s="35">
        <f>'R.GUI MAIL'!H92</f>
        <v>0</v>
      </c>
      <c r="F10" s="1380" t="s">
        <v>8</v>
      </c>
      <c r="G10" s="1381">
        <f>'R.GUI MAIL'!K92</f>
        <v>0</v>
      </c>
      <c r="H10" s="1382" t="s">
        <v>9</v>
      </c>
      <c r="I10" s="35">
        <f>'R.GUI MAIL'!N92</f>
        <v>0</v>
      </c>
      <c r="J10" s="1380" t="s">
        <v>8</v>
      </c>
      <c r="K10" s="1381">
        <f>'R.GUI MAIL'!Q92</f>
        <v>0</v>
      </c>
      <c r="L10" s="1382" t="s">
        <v>9</v>
      </c>
      <c r="M10" s="627"/>
      <c r="N10" s="628"/>
      <c r="O10" s="627"/>
      <c r="P10" s="628"/>
      <c r="Q10" s="2597" t="s">
        <v>746</v>
      </c>
      <c r="R10" s="2598"/>
    </row>
    <row r="11" spans="1:18" ht="39.75" customHeight="1">
      <c r="A11" s="1373">
        <v>5</v>
      </c>
      <c r="B11" s="1374" t="s">
        <v>1244</v>
      </c>
      <c r="C11" s="1373" t="s">
        <v>4</v>
      </c>
      <c r="D11" s="629" t="s">
        <v>574</v>
      </c>
      <c r="E11" s="35">
        <f>'R.GUI MAIL'!H93</f>
        <v>0</v>
      </c>
      <c r="F11" s="1380" t="s">
        <v>8</v>
      </c>
      <c r="G11" s="1381">
        <f>'R.GUI MAIL'!K93</f>
        <v>0</v>
      </c>
      <c r="H11" s="1382" t="s">
        <v>9</v>
      </c>
      <c r="I11" s="35">
        <f>'R.GUI MAIL'!N93</f>
        <v>0</v>
      </c>
      <c r="J11" s="1380" t="s">
        <v>8</v>
      </c>
      <c r="K11" s="1381">
        <f>'R.GUI MAIL'!Q93</f>
        <v>0</v>
      </c>
      <c r="L11" s="1382" t="s">
        <v>9</v>
      </c>
      <c r="M11" s="627"/>
      <c r="N11" s="628"/>
      <c r="O11" s="627"/>
      <c r="P11" s="628"/>
      <c r="Q11" s="2597" t="s">
        <v>747</v>
      </c>
      <c r="R11" s="2598"/>
    </row>
    <row r="12" spans="1:18" ht="39.75" customHeight="1">
      <c r="A12" s="1373">
        <v>6</v>
      </c>
      <c r="B12" s="1374" t="s">
        <v>1245</v>
      </c>
      <c r="C12" s="1373" t="s">
        <v>4</v>
      </c>
      <c r="D12" s="626" t="s">
        <v>572</v>
      </c>
      <c r="E12" s="35">
        <f>'R.GUI MAIL'!H94</f>
        <v>0</v>
      </c>
      <c r="F12" s="1380" t="s">
        <v>8</v>
      </c>
      <c r="G12" s="1381">
        <f>'R.GUI MAIL'!K94</f>
        <v>0</v>
      </c>
      <c r="H12" s="1382" t="s">
        <v>9</v>
      </c>
      <c r="I12" s="35">
        <f>'R.GUI MAIL'!N94</f>
        <v>0</v>
      </c>
      <c r="J12" s="1380" t="s">
        <v>8</v>
      </c>
      <c r="K12" s="1381">
        <f>'R.GUI MAIL'!Q94</f>
        <v>0</v>
      </c>
      <c r="L12" s="1382" t="s">
        <v>9</v>
      </c>
      <c r="M12" s="627"/>
      <c r="N12" s="628"/>
      <c r="O12" s="627"/>
      <c r="P12" s="628"/>
      <c r="Q12" s="2597" t="s">
        <v>746</v>
      </c>
      <c r="R12" s="2598"/>
    </row>
    <row r="13" spans="1:18" ht="39.75" customHeight="1">
      <c r="A13" s="1373">
        <v>7</v>
      </c>
      <c r="B13" s="1374" t="s">
        <v>1246</v>
      </c>
      <c r="C13" s="1373" t="s">
        <v>4</v>
      </c>
      <c r="D13" s="629" t="s">
        <v>574</v>
      </c>
      <c r="E13" s="35">
        <f>'R.GUI MAIL'!H95</f>
        <v>0</v>
      </c>
      <c r="F13" s="1380" t="s">
        <v>8</v>
      </c>
      <c r="G13" s="1381">
        <f>'R.GUI MAIL'!K95</f>
        <v>0</v>
      </c>
      <c r="H13" s="1382" t="s">
        <v>9</v>
      </c>
      <c r="I13" s="35">
        <f>'R.GUI MAIL'!N95</f>
        <v>0</v>
      </c>
      <c r="J13" s="1380" t="s">
        <v>8</v>
      </c>
      <c r="K13" s="1381">
        <f>'R.GUI MAIL'!Q95</f>
        <v>0</v>
      </c>
      <c r="L13" s="1382" t="s">
        <v>9</v>
      </c>
      <c r="M13" s="627"/>
      <c r="N13" s="628"/>
      <c r="O13" s="627"/>
      <c r="P13" s="628"/>
      <c r="Q13" s="2597" t="s">
        <v>747</v>
      </c>
      <c r="R13" s="2598"/>
    </row>
    <row r="14" spans="1:18" ht="39.75" customHeight="1">
      <c r="A14" s="1373">
        <v>8</v>
      </c>
      <c r="B14" s="1374" t="s">
        <v>991</v>
      </c>
      <c r="C14" s="1373" t="s">
        <v>4</v>
      </c>
      <c r="D14" s="626" t="s">
        <v>572</v>
      </c>
      <c r="E14" s="35">
        <f>'R.GUI MAIL'!H96</f>
        <v>0</v>
      </c>
      <c r="F14" s="1380" t="s">
        <v>8</v>
      </c>
      <c r="G14" s="1381">
        <f>'R.GUI MAIL'!K96</f>
        <v>0</v>
      </c>
      <c r="H14" s="1382" t="s">
        <v>9</v>
      </c>
      <c r="I14" s="35">
        <f>'R.GUI MAIL'!N96</f>
        <v>0</v>
      </c>
      <c r="J14" s="1380" t="s">
        <v>8</v>
      </c>
      <c r="K14" s="1381">
        <f>'R.GUI MAIL'!Q96</f>
        <v>0</v>
      </c>
      <c r="L14" s="1382" t="s">
        <v>9</v>
      </c>
      <c r="M14" s="627"/>
      <c r="N14" s="628"/>
      <c r="O14" s="627"/>
      <c r="P14" s="628"/>
      <c r="Q14" s="2597" t="s">
        <v>746</v>
      </c>
      <c r="R14" s="2598"/>
    </row>
    <row r="15" spans="1:18" ht="39.75" customHeight="1">
      <c r="A15" s="1373">
        <v>9</v>
      </c>
      <c r="B15" s="1374" t="s">
        <v>992</v>
      </c>
      <c r="C15" s="1373" t="s">
        <v>4</v>
      </c>
      <c r="D15" s="629" t="s">
        <v>574</v>
      </c>
      <c r="E15" s="35">
        <f>'R.GUI MAIL'!H97</f>
        <v>0</v>
      </c>
      <c r="F15" s="1380" t="s">
        <v>8</v>
      </c>
      <c r="G15" s="1381">
        <f>'R.GUI MAIL'!K97</f>
        <v>0</v>
      </c>
      <c r="H15" s="1382" t="s">
        <v>9</v>
      </c>
      <c r="I15" s="35">
        <f>'R.GUI MAIL'!N97</f>
        <v>0</v>
      </c>
      <c r="J15" s="1380" t="s">
        <v>8</v>
      </c>
      <c r="K15" s="1381">
        <f>'R.GUI MAIL'!Q97</f>
        <v>0</v>
      </c>
      <c r="L15" s="1382" t="s">
        <v>9</v>
      </c>
      <c r="M15" s="627"/>
      <c r="N15" s="628"/>
      <c r="O15" s="627"/>
      <c r="P15" s="628"/>
      <c r="Q15" s="2597" t="s">
        <v>747</v>
      </c>
      <c r="R15" s="2598"/>
    </row>
    <row r="16" spans="1:18" ht="39.75" customHeight="1">
      <c r="A16" s="2580">
        <v>10</v>
      </c>
      <c r="B16" s="2589" t="s">
        <v>748</v>
      </c>
      <c r="C16" s="1373" t="s">
        <v>4</v>
      </c>
      <c r="D16" s="626" t="s">
        <v>581</v>
      </c>
      <c r="E16" s="35">
        <f>'R.GUI MAIL'!H98</f>
        <v>0</v>
      </c>
      <c r="F16" s="1380" t="s">
        <v>8</v>
      </c>
      <c r="G16" s="1381">
        <f>'R.GUI MAIL'!K98</f>
        <v>0</v>
      </c>
      <c r="H16" s="1382" t="s">
        <v>9</v>
      </c>
      <c r="I16" s="35">
        <f>'R.GUI MAIL'!N98</f>
        <v>0</v>
      </c>
      <c r="J16" s="1380" t="s">
        <v>8</v>
      </c>
      <c r="K16" s="1381">
        <f>'R.GUI MAIL'!Q98</f>
        <v>0</v>
      </c>
      <c r="L16" s="1382" t="s">
        <v>9</v>
      </c>
      <c r="M16" s="627"/>
      <c r="N16" s="628"/>
      <c r="O16" s="627"/>
      <c r="P16" s="628"/>
      <c r="Q16" s="2597" t="s">
        <v>749</v>
      </c>
      <c r="R16" s="2598"/>
    </row>
    <row r="17" spans="1:18" ht="33" customHeight="1">
      <c r="A17" s="2581"/>
      <c r="B17" s="2590"/>
      <c r="C17" s="1373" t="s">
        <v>5</v>
      </c>
      <c r="D17" s="626" t="s">
        <v>583</v>
      </c>
      <c r="E17" s="679">
        <f>'R.GUI MAIL'!H99</f>
        <v>0</v>
      </c>
      <c r="F17" s="1383"/>
      <c r="G17" s="1383"/>
      <c r="H17" s="1383"/>
      <c r="I17" s="679">
        <f>'R.GUI MAIL'!N99</f>
        <v>0</v>
      </c>
      <c r="J17" s="1384"/>
      <c r="K17" s="1384"/>
      <c r="L17" s="1385"/>
      <c r="M17" s="627"/>
      <c r="N17" s="628"/>
      <c r="O17" s="627"/>
      <c r="P17" s="628"/>
      <c r="Q17" s="2599"/>
      <c r="R17" s="2598"/>
    </row>
    <row r="18" spans="1:18" ht="32.25" customHeight="1">
      <c r="A18" s="1373">
        <v>11</v>
      </c>
      <c r="B18" s="630" t="s">
        <v>750</v>
      </c>
      <c r="C18" s="1375" t="s">
        <v>5</v>
      </c>
      <c r="D18" s="1374" t="s">
        <v>586</v>
      </c>
      <c r="E18" s="679">
        <f>'R.GUI MAIL'!H100</f>
        <v>0</v>
      </c>
      <c r="F18" s="1383"/>
      <c r="G18" s="1383"/>
      <c r="H18" s="1383"/>
      <c r="I18" s="679">
        <f>'R.GUI MAIL'!N100</f>
        <v>0</v>
      </c>
      <c r="J18" s="1384"/>
      <c r="K18" s="1384"/>
      <c r="L18" s="1385"/>
      <c r="M18" s="627"/>
      <c r="N18" s="628"/>
      <c r="O18" s="631"/>
      <c r="P18" s="628"/>
      <c r="Q18" s="2572"/>
      <c r="R18" s="2573"/>
    </row>
    <row r="19" spans="1:18" ht="32.25" hidden="1" customHeight="1">
      <c r="A19" s="1373">
        <v>12</v>
      </c>
      <c r="B19" s="632" t="s">
        <v>751</v>
      </c>
      <c r="C19" s="1375" t="s">
        <v>5</v>
      </c>
      <c r="D19" s="1374" t="s">
        <v>589</v>
      </c>
      <c r="E19" s="679">
        <f>'R.GUI MAIL'!H101</f>
        <v>0</v>
      </c>
      <c r="F19" s="1383"/>
      <c r="G19" s="1383"/>
      <c r="H19" s="1383"/>
      <c r="I19" s="679">
        <f>'R.GUI MAIL'!N101</f>
        <v>0</v>
      </c>
      <c r="J19" s="1387"/>
      <c r="K19" s="1387"/>
      <c r="L19" s="1388"/>
      <c r="M19" s="627"/>
      <c r="N19" s="628"/>
      <c r="O19" s="631"/>
      <c r="P19" s="628"/>
      <c r="Q19" s="2572"/>
      <c r="R19" s="2573"/>
    </row>
    <row r="20" spans="1:18" ht="32.25" customHeight="1">
      <c r="A20" s="1373">
        <v>13</v>
      </c>
      <c r="B20" s="630" t="s">
        <v>752</v>
      </c>
      <c r="C20" s="1375" t="s">
        <v>5</v>
      </c>
      <c r="D20" s="1374" t="s">
        <v>586</v>
      </c>
      <c r="E20" s="679">
        <f>'R.GUI MAIL'!H102</f>
        <v>0</v>
      </c>
      <c r="F20" s="1383"/>
      <c r="G20" s="1383"/>
      <c r="H20" s="1383"/>
      <c r="I20" s="679">
        <f>'R.GUI MAIL'!N102</f>
        <v>0</v>
      </c>
      <c r="J20" s="1387"/>
      <c r="K20" s="1387"/>
      <c r="L20" s="1388"/>
      <c r="M20" s="627"/>
      <c r="N20" s="628"/>
      <c r="O20" s="631"/>
      <c r="P20" s="628"/>
      <c r="Q20" s="2572"/>
      <c r="R20" s="2573"/>
    </row>
    <row r="21" spans="1:18" ht="31.5" customHeight="1">
      <c r="A21" s="1373"/>
      <c r="B21" s="633" t="s">
        <v>153</v>
      </c>
      <c r="C21" s="634"/>
      <c r="D21" s="634"/>
      <c r="E21" s="634"/>
      <c r="F21" s="634"/>
      <c r="G21" s="634"/>
      <c r="H21" s="634"/>
      <c r="I21" s="634"/>
      <c r="J21" s="634"/>
      <c r="K21" s="634"/>
      <c r="L21" s="634"/>
      <c r="M21" s="634"/>
      <c r="N21" s="634"/>
      <c r="O21" s="634"/>
      <c r="P21" s="634"/>
      <c r="Q21" s="634"/>
      <c r="R21" s="635"/>
    </row>
    <row r="22" spans="1:18" ht="43.5" customHeight="1">
      <c r="A22" s="2580" t="s">
        <v>7</v>
      </c>
      <c r="B22" s="2582" t="s">
        <v>23</v>
      </c>
      <c r="C22" s="2582" t="s">
        <v>24</v>
      </c>
      <c r="D22" s="2582" t="s">
        <v>25</v>
      </c>
      <c r="E22" s="2584" t="s">
        <v>48</v>
      </c>
      <c r="F22" s="2584"/>
      <c r="G22" s="2585" t="s">
        <v>65</v>
      </c>
      <c r="H22" s="2585"/>
      <c r="I22" s="2584" t="s">
        <v>48</v>
      </c>
      <c r="J22" s="2584"/>
      <c r="K22" s="2585" t="s">
        <v>65</v>
      </c>
      <c r="L22" s="2585"/>
      <c r="M22" s="2586"/>
      <c r="N22" s="2586"/>
      <c r="O22" s="2582"/>
      <c r="P22" s="2586"/>
      <c r="Q22" s="2576"/>
      <c r="R22" s="2577"/>
    </row>
    <row r="23" spans="1:18" ht="22.5" customHeight="1">
      <c r="A23" s="2581"/>
      <c r="B23" s="2583"/>
      <c r="C23" s="2583"/>
      <c r="D23" s="2583"/>
      <c r="E23" s="2588">
        <v>0.33333333333333331</v>
      </c>
      <c r="F23" s="2301"/>
      <c r="G23" s="2301"/>
      <c r="H23" s="2302"/>
      <c r="I23" s="2588">
        <v>0.83333333333333337</v>
      </c>
      <c r="J23" s="2301"/>
      <c r="K23" s="2301"/>
      <c r="L23" s="2302"/>
      <c r="M23" s="2587"/>
      <c r="N23" s="2587"/>
      <c r="O23" s="2583"/>
      <c r="P23" s="2587"/>
      <c r="Q23" s="2578"/>
      <c r="R23" s="2579"/>
    </row>
    <row r="24" spans="1:18" ht="36.75" customHeight="1">
      <c r="A24" s="1373">
        <v>1</v>
      </c>
      <c r="B24" s="1373" t="s">
        <v>743</v>
      </c>
      <c r="C24" s="636" t="s">
        <v>28</v>
      </c>
      <c r="D24" s="637" t="s">
        <v>753</v>
      </c>
      <c r="E24" s="2091">
        <f>'R.GUI MAIL'!H105</f>
        <v>0</v>
      </c>
      <c r="F24" s="2092"/>
      <c r="G24" s="2091">
        <f>'R.GUI MAIL'!K105</f>
        <v>0</v>
      </c>
      <c r="H24" s="2092"/>
      <c r="I24" s="2091">
        <f>'R.GUI MAIL'!N105</f>
        <v>0</v>
      </c>
      <c r="J24" s="2092"/>
      <c r="K24" s="2094">
        <f>'R.GUI MAIL'!Q105</f>
        <v>0</v>
      </c>
      <c r="L24" s="2094"/>
      <c r="M24" s="1364"/>
      <c r="N24" s="1364"/>
      <c r="O24" s="2570"/>
      <c r="P24" s="2571"/>
      <c r="Q24" s="2572"/>
      <c r="R24" s="2573"/>
    </row>
    <row r="25" spans="1:18" ht="36.75" customHeight="1">
      <c r="A25" s="1373">
        <v>2</v>
      </c>
      <c r="B25" s="1373" t="s">
        <v>744</v>
      </c>
      <c r="C25" s="636" t="s">
        <v>28</v>
      </c>
      <c r="D25" s="637" t="s">
        <v>753</v>
      </c>
      <c r="E25" s="2091">
        <f>'R.GUI MAIL'!H106</f>
        <v>0</v>
      </c>
      <c r="F25" s="2092"/>
      <c r="G25" s="2091">
        <f>'R.GUI MAIL'!K106</f>
        <v>0</v>
      </c>
      <c r="H25" s="2092"/>
      <c r="I25" s="2091">
        <f>'R.GUI MAIL'!N106</f>
        <v>0</v>
      </c>
      <c r="J25" s="2092"/>
      <c r="K25" s="2094">
        <f>'R.GUI MAIL'!Q106</f>
        <v>0</v>
      </c>
      <c r="L25" s="2094"/>
      <c r="M25" s="1364"/>
      <c r="N25" s="1364"/>
      <c r="O25" s="2570"/>
      <c r="P25" s="2571"/>
      <c r="Q25" s="2572"/>
      <c r="R25" s="2573"/>
    </row>
    <row r="26" spans="1:18" ht="36.75" customHeight="1">
      <c r="A26" s="1373">
        <v>3</v>
      </c>
      <c r="B26" s="1374" t="s">
        <v>1249</v>
      </c>
      <c r="C26" s="636" t="s">
        <v>28</v>
      </c>
      <c r="D26" s="637" t="s">
        <v>754</v>
      </c>
      <c r="E26" s="2091">
        <f>'R.GUI MAIL'!H107</f>
        <v>0</v>
      </c>
      <c r="F26" s="2092"/>
      <c r="G26" s="2091">
        <f>'R.GUI MAIL'!K107</f>
        <v>0</v>
      </c>
      <c r="H26" s="2092"/>
      <c r="I26" s="2091">
        <f>'R.GUI MAIL'!N107</f>
        <v>0</v>
      </c>
      <c r="J26" s="2092"/>
      <c r="K26" s="2091">
        <f>'R.GUI MAIL'!Q107</f>
        <v>0</v>
      </c>
      <c r="L26" s="2092"/>
      <c r="M26" s="1364"/>
      <c r="N26" s="1364"/>
      <c r="O26" s="2570"/>
      <c r="P26" s="2571"/>
      <c r="Q26" s="2572"/>
      <c r="R26" s="2573"/>
    </row>
    <row r="27" spans="1:18" ht="36.75" customHeight="1">
      <c r="A27" s="1373">
        <v>4</v>
      </c>
      <c r="B27" s="1374" t="s">
        <v>1250</v>
      </c>
      <c r="C27" s="636" t="s">
        <v>28</v>
      </c>
      <c r="D27" s="637" t="s">
        <v>754</v>
      </c>
      <c r="E27" s="2091">
        <f>'R.GUI MAIL'!H108</f>
        <v>0</v>
      </c>
      <c r="F27" s="2092"/>
      <c r="G27" s="2091">
        <f>'R.GUI MAIL'!K108</f>
        <v>0</v>
      </c>
      <c r="H27" s="2092"/>
      <c r="I27" s="2091">
        <f>'R.GUI MAIL'!N108</f>
        <v>0</v>
      </c>
      <c r="J27" s="2092"/>
      <c r="K27" s="2091">
        <f>'R.GUI MAIL'!Q108</f>
        <v>0</v>
      </c>
      <c r="L27" s="2092"/>
      <c r="M27" s="1364"/>
      <c r="N27" s="1364"/>
      <c r="O27" s="2570"/>
      <c r="P27" s="2571"/>
      <c r="Q27" s="2572"/>
      <c r="R27" s="2573"/>
    </row>
    <row r="28" spans="1:18" ht="36.75" customHeight="1">
      <c r="A28" s="1373">
        <v>5</v>
      </c>
      <c r="B28" s="1374" t="s">
        <v>1251</v>
      </c>
      <c r="C28" s="636" t="s">
        <v>28</v>
      </c>
      <c r="D28" s="637" t="s">
        <v>754</v>
      </c>
      <c r="E28" s="2091">
        <f>'R.GUI MAIL'!H109</f>
        <v>0</v>
      </c>
      <c r="F28" s="2092"/>
      <c r="G28" s="2091">
        <f>'R.GUI MAIL'!K109</f>
        <v>0</v>
      </c>
      <c r="H28" s="2092"/>
      <c r="I28" s="2091">
        <f>'R.GUI MAIL'!N109</f>
        <v>0</v>
      </c>
      <c r="J28" s="2092"/>
      <c r="K28" s="2091">
        <f>'R.GUI MAIL'!Q109</f>
        <v>0</v>
      </c>
      <c r="L28" s="2092"/>
      <c r="M28" s="1364"/>
      <c r="N28" s="1364"/>
      <c r="O28" s="2570"/>
      <c r="P28" s="2571"/>
      <c r="Q28" s="2572"/>
      <c r="R28" s="2573"/>
    </row>
    <row r="29" spans="1:18" ht="36.75" customHeight="1">
      <c r="A29" s="1373">
        <v>6</v>
      </c>
      <c r="B29" s="1374" t="s">
        <v>755</v>
      </c>
      <c r="C29" s="636" t="s">
        <v>28</v>
      </c>
      <c r="D29" s="637" t="s">
        <v>756</v>
      </c>
      <c r="E29" s="2091">
        <f>'R.GUI MAIL'!H110</f>
        <v>0</v>
      </c>
      <c r="F29" s="2092"/>
      <c r="G29" s="2091">
        <f>'R.GUI MAIL'!K110</f>
        <v>0</v>
      </c>
      <c r="H29" s="2092"/>
      <c r="I29" s="2091">
        <f>'R.GUI MAIL'!N110</f>
        <v>0</v>
      </c>
      <c r="J29" s="2092"/>
      <c r="K29" s="2094">
        <f>'R.GUI MAIL'!Q110</f>
        <v>0</v>
      </c>
      <c r="L29" s="2094"/>
      <c r="M29" s="1364"/>
      <c r="N29" s="1364"/>
      <c r="O29" s="2570"/>
      <c r="P29" s="2571"/>
      <c r="Q29" s="2572"/>
      <c r="R29" s="2573"/>
    </row>
    <row r="30" spans="1:18" ht="36.75" customHeight="1">
      <c r="A30" s="1373">
        <v>7</v>
      </c>
      <c r="B30" s="630" t="s">
        <v>750</v>
      </c>
      <c r="C30" s="636" t="s">
        <v>28</v>
      </c>
      <c r="D30" s="637" t="s">
        <v>757</v>
      </c>
      <c r="E30" s="2091">
        <f>'R.GUI MAIL'!H111</f>
        <v>0</v>
      </c>
      <c r="F30" s="2092"/>
      <c r="G30" s="2091">
        <f>'R.GUI MAIL'!K111</f>
        <v>0</v>
      </c>
      <c r="H30" s="2092"/>
      <c r="I30" s="2091">
        <f>'R.GUI MAIL'!N111</f>
        <v>0</v>
      </c>
      <c r="J30" s="2092"/>
      <c r="K30" s="2091">
        <f>'R.GUI MAIL'!Q111</f>
        <v>0</v>
      </c>
      <c r="L30" s="2092"/>
      <c r="M30" s="1364"/>
      <c r="N30" s="1364"/>
      <c r="O30" s="2574"/>
      <c r="P30" s="2575"/>
      <c r="Q30" s="2572"/>
      <c r="R30" s="2573"/>
    </row>
    <row r="31" spans="1:18" ht="36.75" hidden="1" customHeight="1">
      <c r="A31" s="1373">
        <v>8</v>
      </c>
      <c r="B31" s="632" t="s">
        <v>751</v>
      </c>
      <c r="C31" s="636" t="s">
        <v>28</v>
      </c>
      <c r="D31" s="637" t="s">
        <v>757</v>
      </c>
      <c r="E31" s="2615">
        <f>'R.GUI MAIL'!H112</f>
        <v>0</v>
      </c>
      <c r="F31" s="2616"/>
      <c r="G31" s="2615">
        <f>'R.GUI MAIL'!K112</f>
        <v>0</v>
      </c>
      <c r="H31" s="2616"/>
      <c r="I31" s="2615">
        <f>'R.GUI MAIL'!N112</f>
        <v>0</v>
      </c>
      <c r="J31" s="2616"/>
      <c r="K31" s="2617">
        <f>'R.GUI MAIL'!Q112</f>
        <v>0</v>
      </c>
      <c r="L31" s="2617"/>
      <c r="M31" s="1364"/>
      <c r="N31" s="1364"/>
      <c r="O31" s="2574"/>
      <c r="P31" s="2575"/>
      <c r="Q31" s="2572"/>
      <c r="R31" s="2573"/>
    </row>
    <row r="32" spans="1:18" ht="36.75" customHeight="1">
      <c r="A32" s="1373">
        <v>9</v>
      </c>
      <c r="B32" s="630" t="s">
        <v>752</v>
      </c>
      <c r="C32" s="636" t="s">
        <v>28</v>
      </c>
      <c r="D32" s="637" t="s">
        <v>758</v>
      </c>
      <c r="E32" s="2091">
        <f>'R.GUI MAIL'!H113</f>
        <v>0</v>
      </c>
      <c r="F32" s="2092"/>
      <c r="G32" s="2091">
        <f>'R.GUI MAIL'!K113</f>
        <v>0</v>
      </c>
      <c r="H32" s="2092"/>
      <c r="I32" s="2091">
        <f>'R.GUI MAIL'!N113</f>
        <v>0</v>
      </c>
      <c r="J32" s="2092"/>
      <c r="K32" s="2094">
        <f>'R.GUI MAIL'!Q113</f>
        <v>0</v>
      </c>
      <c r="L32" s="2094"/>
      <c r="M32" s="1364"/>
      <c r="N32" s="1364"/>
      <c r="O32" s="2574"/>
      <c r="P32" s="2575"/>
      <c r="Q32" s="2572"/>
      <c r="R32" s="2573"/>
    </row>
    <row r="33" spans="1:18" ht="36.75" customHeight="1">
      <c r="A33" s="1373">
        <v>11</v>
      </c>
      <c r="B33" s="1374" t="s">
        <v>759</v>
      </c>
      <c r="C33" s="636" t="s">
        <v>28</v>
      </c>
      <c r="D33" s="637" t="s">
        <v>760</v>
      </c>
      <c r="E33" s="2313" t="s">
        <v>1253</v>
      </c>
      <c r="F33" s="2314"/>
      <c r="G33" s="2091">
        <f>'R.GUI MAIL'!K114</f>
        <v>0</v>
      </c>
      <c r="H33" s="2092"/>
      <c r="I33" s="2313" t="s">
        <v>1253</v>
      </c>
      <c r="J33" s="2314"/>
      <c r="K33" s="2094">
        <f>'R.GUI MAIL'!Q114</f>
        <v>0</v>
      </c>
      <c r="L33" s="2094"/>
      <c r="M33" s="1364"/>
      <c r="N33" s="1364"/>
      <c r="O33" s="2574"/>
      <c r="P33" s="2575"/>
      <c r="Q33" s="2572"/>
      <c r="R33" s="2573"/>
    </row>
  </sheetData>
  <mergeCells count="109">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A1:N1"/>
    <mergeCell ref="A2:N2"/>
    <mergeCell ref="O2:P2"/>
    <mergeCell ref="A16:A17"/>
    <mergeCell ref="B16:B17"/>
    <mergeCell ref="A4:A6"/>
    <mergeCell ref="B4:B6"/>
    <mergeCell ref="C4:C6"/>
    <mergeCell ref="D4:D6"/>
    <mergeCell ref="M4:P4"/>
    <mergeCell ref="F6:H6"/>
    <mergeCell ref="J6:L6"/>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O24:P24"/>
    <mergeCell ref="Q24:R24"/>
    <mergeCell ref="O25:P25"/>
    <mergeCell ref="Q25:R25"/>
    <mergeCell ref="Q22:R23"/>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s>
  <phoneticPr fontId="6" type="noConversion"/>
  <conditionalFormatting sqref="E7:E8 I7:I8">
    <cfRule type="expression" dxfId="219" priority="75">
      <formula>E7&lt;20</formula>
    </cfRule>
    <cfRule type="expression" dxfId="218" priority="76">
      <formula>E7&gt;30</formula>
    </cfRule>
  </conditionalFormatting>
  <conditionalFormatting sqref="E9 I9">
    <cfRule type="expression" dxfId="217" priority="73">
      <formula>E9&lt;210</formula>
    </cfRule>
    <cfRule type="expression" dxfId="216" priority="74">
      <formula>E9&gt;290</formula>
    </cfRule>
  </conditionalFormatting>
  <conditionalFormatting sqref="E10 E12 E14 I10 I12 I14">
    <cfRule type="expression" dxfId="215" priority="71">
      <formula>E10&lt;120</formula>
    </cfRule>
    <cfRule type="expression" dxfId="214" priority="72">
      <formula>E10&gt;150</formula>
    </cfRule>
  </conditionalFormatting>
  <conditionalFormatting sqref="E11 E13 E15 I11 I13 I15">
    <cfRule type="expression" dxfId="213" priority="69">
      <formula>E11&lt;1</formula>
    </cfRule>
    <cfRule type="expression" dxfId="212" priority="70">
      <formula>E11&gt;5</formula>
    </cfRule>
  </conditionalFormatting>
  <conditionalFormatting sqref="E16 I16">
    <cfRule type="expression" dxfId="211" priority="67">
      <formula>E16&lt;8</formula>
    </cfRule>
    <cfRule type="expression" dxfId="210" priority="68">
      <formula>E16&gt;12</formula>
    </cfRule>
  </conditionalFormatting>
  <conditionalFormatting sqref="E17">
    <cfRule type="expression" dxfId="209" priority="65">
      <formula>E17&lt;6</formula>
    </cfRule>
    <cfRule type="expression" dxfId="208" priority="66">
      <formula>E17&gt;8</formula>
    </cfRule>
  </conditionalFormatting>
  <conditionalFormatting sqref="E20">
    <cfRule type="expression" dxfId="207" priority="63">
      <formula>E20&lt;5.4</formula>
    </cfRule>
    <cfRule type="expression" dxfId="206" priority="64">
      <formula>E20&gt;5.8</formula>
    </cfRule>
  </conditionalFormatting>
  <conditionalFormatting sqref="I17">
    <cfRule type="expression" dxfId="205" priority="61">
      <formula>I17&lt;6</formula>
    </cfRule>
    <cfRule type="expression" dxfId="204" priority="62">
      <formula>I17&gt;8</formula>
    </cfRule>
  </conditionalFormatting>
  <conditionalFormatting sqref="I20">
    <cfRule type="expression" dxfId="203" priority="59">
      <formula>I20&lt;5.4</formula>
    </cfRule>
    <cfRule type="expression" dxfId="202" priority="60">
      <formula>I20&gt;5.8</formula>
    </cfRule>
  </conditionalFormatting>
  <conditionalFormatting sqref="E24">
    <cfRule type="expression" dxfId="201" priority="57">
      <formula>E24&lt;45</formula>
    </cfRule>
    <cfRule type="expression" dxfId="200" priority="58">
      <formula>E24&gt;65</formula>
    </cfRule>
  </conditionalFormatting>
  <conditionalFormatting sqref="E25">
    <cfRule type="expression" dxfId="199" priority="55">
      <formula>E25&lt;45</formula>
    </cfRule>
    <cfRule type="expression" dxfId="198" priority="56">
      <formula>E25&gt;65</formula>
    </cfRule>
  </conditionalFormatting>
  <conditionalFormatting sqref="E29">
    <cfRule type="expression" dxfId="197" priority="53">
      <formula>E29&lt;30</formula>
    </cfRule>
    <cfRule type="expression" dxfId="196" priority="54">
      <formula>E29&gt;60</formula>
    </cfRule>
  </conditionalFormatting>
  <conditionalFormatting sqref="E32">
    <cfRule type="expression" dxfId="195" priority="51">
      <formula>E32&lt;55</formula>
    </cfRule>
    <cfRule type="expression" dxfId="194" priority="52">
      <formula>E32&gt;65</formula>
    </cfRule>
  </conditionalFormatting>
  <conditionalFormatting sqref="G33">
    <cfRule type="expression" dxfId="193" priority="49">
      <formula>G33&lt;100</formula>
    </cfRule>
    <cfRule type="expression" dxfId="192" priority="50">
      <formula>G33&gt;110</formula>
    </cfRule>
  </conditionalFormatting>
  <conditionalFormatting sqref="G24">
    <cfRule type="expression" dxfId="191" priority="47">
      <formula>G24&lt;45</formula>
    </cfRule>
    <cfRule type="expression" dxfId="190" priority="48">
      <formula>G24&gt;65</formula>
    </cfRule>
  </conditionalFormatting>
  <conditionalFormatting sqref="G25">
    <cfRule type="expression" dxfId="189" priority="45">
      <formula>G25&lt;45</formula>
    </cfRule>
    <cfRule type="expression" dxfId="188" priority="46">
      <formula>G25&gt;65</formula>
    </cfRule>
  </conditionalFormatting>
  <conditionalFormatting sqref="G29">
    <cfRule type="expression" dxfId="187" priority="43">
      <formula>G29&lt;30</formula>
    </cfRule>
    <cfRule type="expression" dxfId="186" priority="44">
      <formula>G29&gt;60</formula>
    </cfRule>
  </conditionalFormatting>
  <conditionalFormatting sqref="G32">
    <cfRule type="expression" dxfId="185" priority="41">
      <formula>G32&lt;55</formula>
    </cfRule>
    <cfRule type="expression" dxfId="184" priority="42">
      <formula>G32&gt;65</formula>
    </cfRule>
  </conditionalFormatting>
  <conditionalFormatting sqref="I24">
    <cfRule type="expression" dxfId="183" priority="39">
      <formula>I24&lt;45</formula>
    </cfRule>
    <cfRule type="expression" dxfId="182" priority="40">
      <formula>I24&gt;65</formula>
    </cfRule>
  </conditionalFormatting>
  <conditionalFormatting sqref="I25">
    <cfRule type="expression" dxfId="181" priority="37">
      <formula>I25&lt;45</formula>
    </cfRule>
    <cfRule type="expression" dxfId="180" priority="38">
      <formula>I25&gt;65</formula>
    </cfRule>
  </conditionalFormatting>
  <conditionalFormatting sqref="I29">
    <cfRule type="expression" dxfId="179" priority="35">
      <formula>I29&lt;30</formula>
    </cfRule>
    <cfRule type="expression" dxfId="178" priority="36">
      <formula>I29&gt;60</formula>
    </cfRule>
  </conditionalFormatting>
  <conditionalFormatting sqref="I32">
    <cfRule type="expression" dxfId="177" priority="33">
      <formula>I32&lt;55</formula>
    </cfRule>
    <cfRule type="expression" dxfId="176" priority="34">
      <formula>I32&gt;65</formula>
    </cfRule>
  </conditionalFormatting>
  <conditionalFormatting sqref="K33">
    <cfRule type="expression" dxfId="175" priority="31">
      <formula>K33&lt;100</formula>
    </cfRule>
    <cfRule type="expression" dxfId="174" priority="32">
      <formula>K33&gt;110</formula>
    </cfRule>
  </conditionalFormatting>
  <conditionalFormatting sqref="K24">
    <cfRule type="expression" dxfId="173" priority="29">
      <formula>K24&lt;45</formula>
    </cfRule>
    <cfRule type="expression" dxfId="172" priority="30">
      <formula>K24&gt;65</formula>
    </cfRule>
  </conditionalFormatting>
  <conditionalFormatting sqref="K25">
    <cfRule type="expression" dxfId="171" priority="27">
      <formula>K25&lt;45</formula>
    </cfRule>
    <cfRule type="expression" dxfId="170" priority="28">
      <formula>K25&gt;65</formula>
    </cfRule>
  </conditionalFormatting>
  <conditionalFormatting sqref="K29">
    <cfRule type="expression" dxfId="169" priority="25">
      <formula>K29&lt;30</formula>
    </cfRule>
    <cfRule type="expression" dxfId="168" priority="26">
      <formula>K29&gt;60</formula>
    </cfRule>
  </conditionalFormatting>
  <conditionalFormatting sqref="K32">
    <cfRule type="expression" dxfId="167" priority="23">
      <formula>K32&lt;55</formula>
    </cfRule>
    <cfRule type="expression" dxfId="166" priority="24">
      <formula>K32&gt;65</formula>
    </cfRule>
  </conditionalFormatting>
  <conditionalFormatting sqref="E26">
    <cfRule type="expression" dxfId="165" priority="21">
      <formula>E26&lt;18</formula>
    </cfRule>
    <cfRule type="expression" dxfId="164" priority="22">
      <formula>E26&gt;25</formula>
    </cfRule>
  </conditionalFormatting>
  <conditionalFormatting sqref="E27:E28">
    <cfRule type="expression" dxfId="163" priority="19">
      <formula>E27&lt;18</formula>
    </cfRule>
    <cfRule type="expression" dxfId="162" priority="20">
      <formula>E27&gt;25</formula>
    </cfRule>
  </conditionalFormatting>
  <conditionalFormatting sqref="G26:G28 I26:I28 K26:K28">
    <cfRule type="expression" dxfId="161" priority="17">
      <formula>G26&lt;18</formula>
    </cfRule>
    <cfRule type="expression" dxfId="160" priority="18">
      <formula>G26&gt;25</formula>
    </cfRule>
  </conditionalFormatting>
  <conditionalFormatting sqref="E18">
    <cfRule type="expression" dxfId="159" priority="15">
      <formula>E18&lt;5.4</formula>
    </cfRule>
    <cfRule type="expression" dxfId="158" priority="16">
      <formula>E18&gt;5.8</formula>
    </cfRule>
  </conditionalFormatting>
  <conditionalFormatting sqref="E19">
    <cfRule type="expression" dxfId="157" priority="13">
      <formula>E19&lt;5.4</formula>
    </cfRule>
    <cfRule type="expression" dxfId="156" priority="14">
      <formula>E19&gt;5.8</formula>
    </cfRule>
  </conditionalFormatting>
  <conditionalFormatting sqref="I18:I19">
    <cfRule type="expression" dxfId="155" priority="9">
      <formula>I18&lt;5.4</formula>
    </cfRule>
    <cfRule type="expression" dxfId="154" priority="10">
      <formula>I18&gt;5.8</formula>
    </cfRule>
  </conditionalFormatting>
  <conditionalFormatting sqref="E30">
    <cfRule type="expression" dxfId="153" priority="7">
      <formula>E30&lt;42</formula>
    </cfRule>
    <cfRule type="expression" dxfId="152" priority="8">
      <formula>E30&gt;47</formula>
    </cfRule>
  </conditionalFormatting>
  <conditionalFormatting sqref="G30">
    <cfRule type="expression" dxfId="151" priority="5">
      <formula>G30&lt;42</formula>
    </cfRule>
    <cfRule type="expression" dxfId="150" priority="6">
      <formula>G30&gt;47</formula>
    </cfRule>
  </conditionalFormatting>
  <conditionalFormatting sqref="I30">
    <cfRule type="expression" dxfId="149" priority="3">
      <formula>I30&lt;42</formula>
    </cfRule>
    <cfRule type="expression" dxfId="148" priority="4">
      <formula>I30&gt;47</formula>
    </cfRule>
  </conditionalFormatting>
  <conditionalFormatting sqref="K30">
    <cfRule type="expression" dxfId="147" priority="1">
      <formula>K30&lt;42</formula>
    </cfRule>
    <cfRule type="expression" dxfId="146" priority="2">
      <formula>K30&gt;47</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3.xml><?xml version="1.0" encoding="utf-8"?>
<worksheet xmlns="http://schemas.openxmlformats.org/spreadsheetml/2006/main" xmlns:r="http://schemas.openxmlformats.org/officeDocument/2006/relationships">
  <sheetPr codeName="Sheet32">
    <tabColor rgb="FFC00000"/>
  </sheetPr>
  <dimension ref="A1:AS114"/>
  <sheetViews>
    <sheetView topLeftCell="A78" zoomScale="55" zoomScaleNormal="55" workbookViewId="0">
      <selection activeCell="AF76" sqref="AF76"/>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9.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6.5" style="347"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47" customWidth="1"/>
    <col min="43" max="43" width="13.875" style="12" hidden="1" customWidth="1"/>
    <col min="44" max="44" width="6.5" style="12" customWidth="1"/>
    <col min="45" max="45" width="19.625" style="12" customWidth="1"/>
    <col min="46" max="16384" width="9" style="12"/>
  </cols>
  <sheetData>
    <row r="1" spans="1:45" ht="51.75" customHeight="1">
      <c r="A1" s="446" t="s">
        <v>266</v>
      </c>
      <c r="B1" s="447"/>
      <c r="C1" s="447"/>
      <c r="D1" s="447"/>
      <c r="E1" s="447"/>
      <c r="F1" s="447"/>
      <c r="G1" s="447"/>
      <c r="H1" s="447"/>
      <c r="I1" s="447"/>
      <c r="J1" s="447"/>
      <c r="K1" s="447"/>
      <c r="L1" s="447"/>
      <c r="M1" s="447"/>
      <c r="N1" s="447"/>
      <c r="O1" s="447"/>
      <c r="P1" s="447"/>
      <c r="Q1" s="447"/>
      <c r="R1" s="447"/>
      <c r="S1" s="447"/>
      <c r="T1" s="447"/>
      <c r="U1" s="447"/>
      <c r="V1" s="447"/>
      <c r="W1" s="447"/>
      <c r="X1" s="447"/>
      <c r="Y1" s="447"/>
      <c r="Z1" s="447"/>
      <c r="AA1" s="447"/>
      <c r="AB1" s="447"/>
      <c r="AC1" s="447"/>
      <c r="AD1" s="447"/>
      <c r="AF1" s="301"/>
      <c r="AH1" s="850" t="s">
        <v>189</v>
      </c>
      <c r="AI1" s="448"/>
      <c r="AJ1" s="448"/>
      <c r="AK1" s="448"/>
      <c r="AL1" s="448"/>
      <c r="AM1" s="448"/>
      <c r="AN1" s="448"/>
      <c r="AO1" s="448"/>
      <c r="AP1" s="448"/>
      <c r="AQ1" s="448"/>
    </row>
    <row r="2" spans="1:45" ht="51" customHeight="1">
      <c r="A2" s="1241" t="str">
        <f>MENU!$AC$9</f>
        <v>2023/03/21</v>
      </c>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F2" s="851"/>
      <c r="AH2" s="850" t="s">
        <v>190</v>
      </c>
      <c r="AI2" s="448"/>
      <c r="AJ2" s="448"/>
      <c r="AK2" s="448"/>
      <c r="AL2" s="448"/>
      <c r="AM2" s="448"/>
      <c r="AN2" s="448"/>
      <c r="AO2" s="448"/>
      <c r="AP2" s="448"/>
      <c r="AQ2" s="448"/>
    </row>
    <row r="3" spans="1:45" ht="41.25" customHeight="1">
      <c r="A3" s="1242" t="s">
        <v>455</v>
      </c>
      <c r="B3" s="1243"/>
      <c r="C3" s="1244"/>
      <c r="D3" s="1244"/>
      <c r="E3" s="1245"/>
      <c r="F3" s="1246" t="s">
        <v>75</v>
      </c>
      <c r="G3" s="1247"/>
      <c r="H3" s="837" t="s">
        <v>75</v>
      </c>
      <c r="I3" s="837"/>
      <c r="J3" s="837"/>
      <c r="K3" s="837"/>
      <c r="L3" s="837"/>
      <c r="M3" s="837"/>
      <c r="N3" s="837"/>
      <c r="O3" s="837"/>
      <c r="P3" s="837"/>
      <c r="Q3" s="837"/>
      <c r="R3" s="837"/>
      <c r="S3" s="837"/>
      <c r="T3" s="837"/>
      <c r="U3" s="837"/>
      <c r="V3" s="837"/>
      <c r="W3" s="837"/>
      <c r="X3" s="837"/>
      <c r="Y3" s="837"/>
      <c r="Z3" s="837"/>
      <c r="AA3" s="837"/>
      <c r="AB3" s="837"/>
      <c r="AC3" s="837"/>
      <c r="AD3" s="837"/>
      <c r="AE3" s="837"/>
      <c r="AF3" s="837"/>
      <c r="AG3" s="837"/>
      <c r="AH3" s="837"/>
      <c r="AI3" s="837"/>
      <c r="AJ3" s="837"/>
      <c r="AK3" s="837"/>
      <c r="AL3" s="837"/>
      <c r="AM3" s="837"/>
      <c r="AN3" s="837"/>
      <c r="AO3" s="837"/>
      <c r="AP3" s="837"/>
    </row>
    <row r="4" spans="1:45" s="347" customFormat="1" ht="33" customHeight="1">
      <c r="A4" s="1248"/>
      <c r="B4" s="2103" t="s">
        <v>79</v>
      </c>
      <c r="C4" s="2103"/>
      <c r="D4" s="2097" t="s">
        <v>136</v>
      </c>
      <c r="E4" s="2686" t="s">
        <v>67</v>
      </c>
      <c r="F4" s="451"/>
      <c r="G4" s="452"/>
      <c r="H4" s="2689" t="s">
        <v>456</v>
      </c>
      <c r="I4" s="2689"/>
      <c r="J4" s="2689"/>
      <c r="K4" s="2689"/>
      <c r="L4" s="2689"/>
      <c r="M4" s="453"/>
      <c r="N4" s="2688" t="s">
        <v>419</v>
      </c>
      <c r="O4" s="2688"/>
      <c r="P4" s="2688"/>
      <c r="Q4" s="2688"/>
      <c r="R4" s="2688"/>
      <c r="S4" s="453"/>
      <c r="T4" s="2689" t="s">
        <v>420</v>
      </c>
      <c r="U4" s="2689"/>
      <c r="V4" s="2689"/>
      <c r="W4" s="2689"/>
      <c r="X4" s="2689"/>
      <c r="Y4" s="453"/>
      <c r="Z4" s="2689" t="s">
        <v>421</v>
      </c>
      <c r="AA4" s="2689"/>
      <c r="AB4" s="2689"/>
      <c r="AC4" s="2689"/>
      <c r="AD4" s="2689"/>
      <c r="AE4" s="453"/>
      <c r="AF4" s="2689" t="s">
        <v>422</v>
      </c>
      <c r="AG4" s="2689"/>
      <c r="AH4" s="2689"/>
      <c r="AI4" s="2689"/>
      <c r="AJ4" s="2689"/>
      <c r="AK4" s="453"/>
      <c r="AL4" s="2689" t="s">
        <v>423</v>
      </c>
      <c r="AM4" s="2689"/>
      <c r="AN4" s="2689"/>
      <c r="AO4" s="2689"/>
      <c r="AP4" s="2689"/>
      <c r="AQ4" s="450"/>
    </row>
    <row r="5" spans="1:45" s="347" customFormat="1" ht="33" customHeight="1">
      <c r="A5" s="478" t="s">
        <v>267</v>
      </c>
      <c r="B5" s="2103"/>
      <c r="C5" s="2103"/>
      <c r="D5" s="2685"/>
      <c r="E5" s="2687"/>
      <c r="F5" s="455" t="s">
        <v>457</v>
      </c>
      <c r="G5" s="456"/>
      <c r="H5" s="1207" t="s">
        <v>774</v>
      </c>
      <c r="I5" s="331" t="s">
        <v>1</v>
      </c>
      <c r="J5" s="2692" t="s">
        <v>1</v>
      </c>
      <c r="K5" s="2692"/>
      <c r="L5" s="2692"/>
      <c r="M5" s="1249"/>
      <c r="N5" s="1207" t="s">
        <v>774</v>
      </c>
      <c r="O5" s="331" t="s">
        <v>1</v>
      </c>
      <c r="P5" s="2692" t="s">
        <v>1</v>
      </c>
      <c r="Q5" s="2692"/>
      <c r="R5" s="2693"/>
      <c r="S5" s="456"/>
      <c r="T5" s="1207" t="s">
        <v>774</v>
      </c>
      <c r="U5" s="331" t="s">
        <v>1</v>
      </c>
      <c r="V5" s="2692" t="s">
        <v>1</v>
      </c>
      <c r="W5" s="2692"/>
      <c r="X5" s="2693"/>
      <c r="Y5" s="1249"/>
      <c r="Z5" s="1207" t="s">
        <v>774</v>
      </c>
      <c r="AA5" s="331" t="s">
        <v>1</v>
      </c>
      <c r="AB5" s="2690" t="s">
        <v>1</v>
      </c>
      <c r="AC5" s="2690"/>
      <c r="AD5" s="2690"/>
      <c r="AE5" s="456"/>
      <c r="AF5" s="1207" t="s">
        <v>774</v>
      </c>
      <c r="AG5" s="331" t="s">
        <v>1</v>
      </c>
      <c r="AH5" s="2692" t="s">
        <v>1</v>
      </c>
      <c r="AI5" s="2692"/>
      <c r="AJ5" s="2693"/>
      <c r="AK5" s="1249"/>
      <c r="AL5" s="1207" t="s">
        <v>774</v>
      </c>
      <c r="AM5" s="331" t="s">
        <v>1</v>
      </c>
      <c r="AN5" s="2690" t="s">
        <v>1</v>
      </c>
      <c r="AO5" s="2690"/>
      <c r="AP5" s="2690"/>
      <c r="AQ5" s="478" t="s">
        <v>458</v>
      </c>
      <c r="AS5" s="1250" t="s">
        <v>1133</v>
      </c>
    </row>
    <row r="6" spans="1:45" ht="28.5" customHeight="1">
      <c r="A6" s="1251" t="s">
        <v>459</v>
      </c>
      <c r="B6" s="2199" t="s">
        <v>880</v>
      </c>
      <c r="C6" s="2201"/>
      <c r="D6" s="54" t="s">
        <v>3</v>
      </c>
      <c r="E6" s="55" t="s">
        <v>461</v>
      </c>
      <c r="F6" s="457">
        <v>12.5</v>
      </c>
      <c r="G6" s="458">
        <f>R.HN!C2</f>
        <v>0</v>
      </c>
      <c r="H6" s="1832">
        <f>(1*G6*36.5)/(1*10)</f>
        <v>0</v>
      </c>
      <c r="I6" s="1832">
        <f>($F$6-H6)*748/32</f>
        <v>292.1875</v>
      </c>
      <c r="J6" s="1833" t="s">
        <v>8</v>
      </c>
      <c r="K6" s="1816">
        <f>IF(H6=0,0,IF(I6&lt;0,0,I6))</f>
        <v>0</v>
      </c>
      <c r="L6" s="1833" t="s">
        <v>10</v>
      </c>
      <c r="M6" s="1835">
        <f>R.HN!D2</f>
        <v>0</v>
      </c>
      <c r="N6" s="1832">
        <f>(1*M6*36.5)/(1*10)</f>
        <v>0</v>
      </c>
      <c r="O6" s="1832">
        <f>($F$6-N6)*748/32</f>
        <v>292.1875</v>
      </c>
      <c r="P6" s="1833" t="s">
        <v>8</v>
      </c>
      <c r="Q6" s="1816">
        <f>IF(N6=0,0,IF(O6&lt;0,0,O6))</f>
        <v>0</v>
      </c>
      <c r="R6" s="1832" t="s">
        <v>10</v>
      </c>
      <c r="S6" s="1836">
        <f>R.HN!E2</f>
        <v>0</v>
      </c>
      <c r="T6" s="1832">
        <f>(1*S6*36.5)/(1*10)</f>
        <v>0</v>
      </c>
      <c r="U6" s="1832">
        <f>($F$6-T6)*748/32</f>
        <v>292.1875</v>
      </c>
      <c r="V6" s="1833" t="s">
        <v>8</v>
      </c>
      <c r="W6" s="1816">
        <f>IF(T6=0,0,IF(U6&lt;0,0,U6))</f>
        <v>0</v>
      </c>
      <c r="X6" s="1832" t="s">
        <v>10</v>
      </c>
      <c r="Y6" s="1836">
        <f>R.HN!F2</f>
        <v>0</v>
      </c>
      <c r="Z6" s="1832">
        <f>(1*Y6*36.5)/(1*10)</f>
        <v>0</v>
      </c>
      <c r="AA6" s="1832">
        <f>($F$6-Z6)*748/32</f>
        <v>292.1875</v>
      </c>
      <c r="AB6" s="1833" t="s">
        <v>8</v>
      </c>
      <c r="AC6" s="1816">
        <f>IF(Z6=0,0,IF(AA6&lt;0,0,AA6))</f>
        <v>0</v>
      </c>
      <c r="AD6" s="1832" t="s">
        <v>10</v>
      </c>
      <c r="AE6" s="1836">
        <f>R.HN!G2</f>
        <v>0</v>
      </c>
      <c r="AF6" s="1832">
        <f>(1*AE6*36.5)/(1*10)</f>
        <v>0</v>
      </c>
      <c r="AG6" s="1832">
        <f>($F$6-AF6)*748/32</f>
        <v>292.1875</v>
      </c>
      <c r="AH6" s="1833" t="s">
        <v>8</v>
      </c>
      <c r="AI6" s="1816">
        <f>IF(AF6=0,0,IF(AG6&lt;0,0,AG6))</f>
        <v>0</v>
      </c>
      <c r="AJ6" s="1832" t="s">
        <v>10</v>
      </c>
      <c r="AK6" s="1836">
        <f>R.HN!H2</f>
        <v>0</v>
      </c>
      <c r="AL6" s="1832">
        <f>(1*AK6*36.5)/(1*10)</f>
        <v>0</v>
      </c>
      <c r="AM6" s="1832">
        <f>($F$6-AL6)*748/32</f>
        <v>292.1875</v>
      </c>
      <c r="AN6" s="1833" t="s">
        <v>8</v>
      </c>
      <c r="AO6" s="1816">
        <f>IF(AL6=0,0,IF(AM6&lt;0,0,AM6))</f>
        <v>0</v>
      </c>
      <c r="AP6" s="304" t="s">
        <v>10</v>
      </c>
      <c r="AQ6" s="12" t="s">
        <v>462</v>
      </c>
      <c r="AS6" s="1252" t="s">
        <v>1082</v>
      </c>
    </row>
    <row r="7" spans="1:45" ht="28.5" hidden="1" customHeight="1">
      <c r="A7" s="1251" t="s">
        <v>463</v>
      </c>
      <c r="B7" s="2199" t="s">
        <v>881</v>
      </c>
      <c r="C7" s="2201"/>
      <c r="D7" s="54" t="s">
        <v>3</v>
      </c>
      <c r="E7" s="55" t="s">
        <v>461</v>
      </c>
      <c r="F7" s="457">
        <v>12.5</v>
      </c>
      <c r="G7" s="458">
        <f>R.HN!C3</f>
        <v>0</v>
      </c>
      <c r="H7" s="1832">
        <f>(1*G7*36.5)/(1*10)</f>
        <v>0</v>
      </c>
      <c r="I7" s="1832">
        <f>($F$6-H7)*748/32</f>
        <v>292.1875</v>
      </c>
      <c r="J7" s="1833" t="s">
        <v>8</v>
      </c>
      <c r="K7" s="1837">
        <f>IF(I7&lt;0,0,I7)</f>
        <v>292.1875</v>
      </c>
      <c r="L7" s="1833" t="s">
        <v>10</v>
      </c>
      <c r="M7" s="1835">
        <f>R.HN!D3</f>
        <v>0</v>
      </c>
      <c r="N7" s="1832">
        <f>(1*M7*36.5)/(1*10)</f>
        <v>0</v>
      </c>
      <c r="O7" s="1832">
        <f>($F$6-N7)*748/32</f>
        <v>292.1875</v>
      </c>
      <c r="P7" s="1833" t="s">
        <v>8</v>
      </c>
      <c r="Q7" s="1837">
        <f>IF(O7&lt;0,0,O7)</f>
        <v>292.1875</v>
      </c>
      <c r="R7" s="1832" t="s">
        <v>10</v>
      </c>
      <c r="S7" s="1836">
        <f>R.HN!E3</f>
        <v>0</v>
      </c>
      <c r="T7" s="1832">
        <f>(1*S7*36.5)/(1*10)</f>
        <v>0</v>
      </c>
      <c r="U7" s="1832">
        <f>($F$6-T7)*748/32</f>
        <v>292.1875</v>
      </c>
      <c r="V7" s="1833" t="s">
        <v>8</v>
      </c>
      <c r="W7" s="1837">
        <f>IF(U7&lt;0,0,U7)</f>
        <v>292.1875</v>
      </c>
      <c r="X7" s="1832" t="s">
        <v>10</v>
      </c>
      <c r="Y7" s="1836">
        <f>R.HN!F3</f>
        <v>0</v>
      </c>
      <c r="Z7" s="1832">
        <f>(1*Y7*36.5)/(1*10)</f>
        <v>0</v>
      </c>
      <c r="AA7" s="1832">
        <f>($F$6-Z7)*748/32</f>
        <v>292.1875</v>
      </c>
      <c r="AB7" s="1833" t="s">
        <v>8</v>
      </c>
      <c r="AC7" s="1837">
        <f>IF(AA7&lt;0,0,AA7)</f>
        <v>292.1875</v>
      </c>
      <c r="AD7" s="1832" t="s">
        <v>10</v>
      </c>
      <c r="AE7" s="1836">
        <f>R.HN!G3</f>
        <v>0</v>
      </c>
      <c r="AF7" s="1832">
        <f>(1*AE7*36.5)/(1*10)</f>
        <v>0</v>
      </c>
      <c r="AG7" s="1832">
        <f>($F$6-AF7)*748/32</f>
        <v>292.1875</v>
      </c>
      <c r="AH7" s="1833" t="s">
        <v>8</v>
      </c>
      <c r="AI7" s="1837">
        <f>IF(AG7&lt;0,0,AG7)</f>
        <v>292.1875</v>
      </c>
      <c r="AJ7" s="1832" t="s">
        <v>10</v>
      </c>
      <c r="AK7" s="1836">
        <f>R.HN!H3</f>
        <v>0</v>
      </c>
      <c r="AL7" s="1832">
        <f>(1*AK7*36.5)/(1*10)</f>
        <v>0</v>
      </c>
      <c r="AM7" s="1832">
        <f>($F$6-AL7)*748/32</f>
        <v>292.1875</v>
      </c>
      <c r="AN7" s="1833" t="s">
        <v>8</v>
      </c>
      <c r="AO7" s="1837">
        <f>IF(AM7&lt;0,0,AM7)</f>
        <v>292.1875</v>
      </c>
      <c r="AP7" s="304" t="s">
        <v>10</v>
      </c>
      <c r="AQ7" s="12" t="s">
        <v>462</v>
      </c>
    </row>
    <row r="8" spans="1:45" ht="33.75" customHeight="1">
      <c r="A8" s="1251" t="s">
        <v>464</v>
      </c>
      <c r="B8" s="1255" t="s">
        <v>829</v>
      </c>
      <c r="C8" s="2694">
        <f>R.HN!B4</f>
        <v>3</v>
      </c>
      <c r="D8" s="1256" t="s">
        <v>466</v>
      </c>
      <c r="E8" s="55" t="s">
        <v>1134</v>
      </c>
      <c r="F8" s="461">
        <v>50</v>
      </c>
      <c r="G8" s="458">
        <f>R.HN!C4</f>
        <v>0</v>
      </c>
      <c r="H8" s="1832">
        <f>G8*10</f>
        <v>0</v>
      </c>
      <c r="I8" s="1832">
        <f>($F$8-H8)*2*694/1000</f>
        <v>69.400000000000006</v>
      </c>
      <c r="J8" s="1833" t="s">
        <v>8</v>
      </c>
      <c r="K8" s="1816">
        <f>IF(H8=0,0,IF(I8&lt;0,0,I8))</f>
        <v>0</v>
      </c>
      <c r="L8" s="1833" t="s">
        <v>9</v>
      </c>
      <c r="M8" s="1835">
        <f>R.HN!D4</f>
        <v>0</v>
      </c>
      <c r="N8" s="1832">
        <f>M8*10</f>
        <v>0</v>
      </c>
      <c r="O8" s="1832">
        <f>($F$8-N8)*2*694/1000</f>
        <v>69.400000000000006</v>
      </c>
      <c r="P8" s="1833" t="s">
        <v>8</v>
      </c>
      <c r="Q8" s="1816">
        <f>IF(N8=0,0,IF(O8&lt;0,0,O8))</f>
        <v>0</v>
      </c>
      <c r="R8" s="1832" t="s">
        <v>9</v>
      </c>
      <c r="S8" s="1836">
        <f>R.HN!E4</f>
        <v>0</v>
      </c>
      <c r="T8" s="1832">
        <f>S8*10</f>
        <v>0</v>
      </c>
      <c r="U8" s="1832">
        <f>($F$8-T8)*2*694/1000</f>
        <v>69.400000000000006</v>
      </c>
      <c r="V8" s="1833" t="s">
        <v>8</v>
      </c>
      <c r="W8" s="1816">
        <f>IF(T8=0,0,IF(U8&lt;0,0,U8))</f>
        <v>0</v>
      </c>
      <c r="X8" s="1832" t="s">
        <v>9</v>
      </c>
      <c r="Y8" s="1836">
        <f>R.HN!F4</f>
        <v>0</v>
      </c>
      <c r="Z8" s="1832">
        <f>Y8*10</f>
        <v>0</v>
      </c>
      <c r="AA8" s="1832">
        <f>($F$8-Z8)*2*694/1000</f>
        <v>69.400000000000006</v>
      </c>
      <c r="AB8" s="1833" t="s">
        <v>8</v>
      </c>
      <c r="AC8" s="1816">
        <f>IF(Z8=0,0,IF(AA8&lt;0,0,AA8))</f>
        <v>0</v>
      </c>
      <c r="AD8" s="1832" t="s">
        <v>9</v>
      </c>
      <c r="AE8" s="1836">
        <f>R.HN!G4</f>
        <v>0</v>
      </c>
      <c r="AF8" s="1832">
        <f>AE8*10</f>
        <v>0</v>
      </c>
      <c r="AG8" s="1832">
        <f>($F$8-AF8)*2*694/1000</f>
        <v>69.400000000000006</v>
      </c>
      <c r="AH8" s="1833" t="s">
        <v>8</v>
      </c>
      <c r="AI8" s="1816">
        <f>IF(AF8=0,0,IF(AG8&lt;0,0,AG8))</f>
        <v>0</v>
      </c>
      <c r="AJ8" s="1832" t="s">
        <v>9</v>
      </c>
      <c r="AK8" s="1836">
        <f>R.HN!H4</f>
        <v>0</v>
      </c>
      <c r="AL8" s="1832">
        <f>AK8*10</f>
        <v>0</v>
      </c>
      <c r="AM8" s="1832">
        <f>($F$8-AL8)*2*694/1000</f>
        <v>69.400000000000006</v>
      </c>
      <c r="AN8" s="1833" t="s">
        <v>8</v>
      </c>
      <c r="AO8" s="1816">
        <f>IF(AL8=0,0,IF(AM8&lt;0,0,AM8))</f>
        <v>0</v>
      </c>
      <c r="AP8" s="304" t="s">
        <v>9</v>
      </c>
      <c r="AQ8" s="12" t="s">
        <v>462</v>
      </c>
      <c r="AS8" s="1252" t="s">
        <v>1084</v>
      </c>
    </row>
    <row r="9" spans="1:45" ht="33.75" customHeight="1">
      <c r="A9" s="1209" t="s">
        <v>467</v>
      </c>
      <c r="B9" s="1257" t="s">
        <v>830</v>
      </c>
      <c r="C9" s="2695"/>
      <c r="D9" s="1256" t="s">
        <v>466</v>
      </c>
      <c r="E9" s="55" t="s">
        <v>1135</v>
      </c>
      <c r="F9" s="462">
        <v>6.5</v>
      </c>
      <c r="G9" s="458">
        <f>R.HN!C5</f>
        <v>0</v>
      </c>
      <c r="H9" s="1832">
        <f>IFERROR(H8/G9,0)</f>
        <v>0</v>
      </c>
      <c r="I9" s="1832">
        <f>($F$9-H9)*694/1000</f>
        <v>4.5110000000000001</v>
      </c>
      <c r="J9" s="1833"/>
      <c r="K9" s="1816">
        <f>IF(H9=0,0,IF(I9&lt;0,0,I9))</f>
        <v>0</v>
      </c>
      <c r="L9" s="1833" t="s">
        <v>9</v>
      </c>
      <c r="M9" s="1835">
        <f>R.HN!D5</f>
        <v>0</v>
      </c>
      <c r="N9" s="1832">
        <f>IFERROR(N8/M9,0)</f>
        <v>0</v>
      </c>
      <c r="O9" s="1832">
        <f>($F$9-N9)*694/1000</f>
        <v>4.5110000000000001</v>
      </c>
      <c r="P9" s="1833"/>
      <c r="Q9" s="1816">
        <f>IF(N9=0,0,IF(O9&lt;0,0,O9))</f>
        <v>0</v>
      </c>
      <c r="R9" s="1832" t="s">
        <v>9</v>
      </c>
      <c r="S9" s="1836">
        <f>R.HN!E5</f>
        <v>0</v>
      </c>
      <c r="T9" s="1832">
        <f>IFERROR(T8/S9,0)</f>
        <v>0</v>
      </c>
      <c r="U9" s="1832">
        <f>($F$9-T9)*694/1000</f>
        <v>4.5110000000000001</v>
      </c>
      <c r="V9" s="1833"/>
      <c r="W9" s="1816">
        <f>IF(T9=0,0,IF(U9&lt;0,0,U9))</f>
        <v>0</v>
      </c>
      <c r="X9" s="1832" t="s">
        <v>9</v>
      </c>
      <c r="Y9" s="1836">
        <f>R.HN!F5</f>
        <v>0</v>
      </c>
      <c r="Z9" s="1832">
        <f>IFERROR(Z8/Y9,0)</f>
        <v>0</v>
      </c>
      <c r="AA9" s="1832">
        <f>($F$9-Z9)*694/1000</f>
        <v>4.5110000000000001</v>
      </c>
      <c r="AB9" s="1833"/>
      <c r="AC9" s="1816">
        <f>IF(Z9=0,0,IF(AA9&lt;0,0,AA9))</f>
        <v>0</v>
      </c>
      <c r="AD9" s="1832" t="s">
        <v>9</v>
      </c>
      <c r="AE9" s="1836">
        <f>R.HN!G5</f>
        <v>0</v>
      </c>
      <c r="AF9" s="1832">
        <f>IFERROR(AF8/AE9,0)</f>
        <v>0</v>
      </c>
      <c r="AG9" s="1832">
        <f>($F$9-AF9)*694/1000</f>
        <v>4.5110000000000001</v>
      </c>
      <c r="AH9" s="1833"/>
      <c r="AI9" s="1816">
        <f>IF(AF9=0,0,IF(AG9&lt;0,0,AG9))</f>
        <v>0</v>
      </c>
      <c r="AJ9" s="1832" t="s">
        <v>9</v>
      </c>
      <c r="AK9" s="1836">
        <f>R.HN!H5</f>
        <v>0</v>
      </c>
      <c r="AL9" s="1832">
        <f>IFERROR(AL8/AK9,0)</f>
        <v>0</v>
      </c>
      <c r="AM9" s="1832">
        <f>($F$9-AL9)*694/1000</f>
        <v>4.5110000000000001</v>
      </c>
      <c r="AN9" s="1833"/>
      <c r="AO9" s="1816">
        <f>IF(AL9=0,0,IF(AM9&lt;0,0,AM9))</f>
        <v>0</v>
      </c>
      <c r="AP9" s="304" t="s">
        <v>9</v>
      </c>
      <c r="AQ9" s="12" t="s">
        <v>462</v>
      </c>
      <c r="AS9" s="1252" t="s">
        <v>1085</v>
      </c>
    </row>
    <row r="10" spans="1:45" ht="33.75" customHeight="1">
      <c r="A10" s="1251" t="s">
        <v>468</v>
      </c>
      <c r="B10" s="1258" t="s">
        <v>831</v>
      </c>
      <c r="C10" s="2696"/>
      <c r="D10" s="1256" t="s">
        <v>466</v>
      </c>
      <c r="E10" s="55" t="s">
        <v>1136</v>
      </c>
      <c r="F10" s="457">
        <v>0.4</v>
      </c>
      <c r="G10" s="458">
        <f>R.HN!C6</f>
        <v>0</v>
      </c>
      <c r="H10" s="1832">
        <f>G10</f>
        <v>0</v>
      </c>
      <c r="I10" s="1832">
        <f>($F$10-H10)*5</f>
        <v>2</v>
      </c>
      <c r="J10" s="1833"/>
      <c r="K10" s="1837"/>
      <c r="L10" s="1833"/>
      <c r="M10" s="1835">
        <f>R.HN!D6</f>
        <v>0</v>
      </c>
      <c r="N10" s="1832">
        <f>M10</f>
        <v>0</v>
      </c>
      <c r="O10" s="1832">
        <f>($F$10-N10)*5</f>
        <v>2</v>
      </c>
      <c r="P10" s="1833"/>
      <c r="Q10" s="1837"/>
      <c r="R10" s="1832"/>
      <c r="S10" s="1836">
        <f>R.HN!E6</f>
        <v>0</v>
      </c>
      <c r="T10" s="1832">
        <f>S10</f>
        <v>0</v>
      </c>
      <c r="U10" s="1832">
        <f>($F$10-T10)*5</f>
        <v>2</v>
      </c>
      <c r="V10" s="1833"/>
      <c r="W10" s="1837"/>
      <c r="X10" s="1832"/>
      <c r="Y10" s="1836">
        <f>R.HN!F6</f>
        <v>0</v>
      </c>
      <c r="Z10" s="1832">
        <f>Y10</f>
        <v>0</v>
      </c>
      <c r="AA10" s="1832">
        <f>($F$10-Z10)*5</f>
        <v>2</v>
      </c>
      <c r="AB10" s="1833"/>
      <c r="AC10" s="1837"/>
      <c r="AD10" s="1832"/>
      <c r="AE10" s="1836">
        <f>R.HN!G6</f>
        <v>0</v>
      </c>
      <c r="AF10" s="1832">
        <f>AE10</f>
        <v>0</v>
      </c>
      <c r="AG10" s="1832">
        <f>($F$10-AF10)*5</f>
        <v>2</v>
      </c>
      <c r="AH10" s="1833"/>
      <c r="AI10" s="1837"/>
      <c r="AJ10" s="1832"/>
      <c r="AK10" s="1836">
        <f>R.HN!H6</f>
        <v>0</v>
      </c>
      <c r="AL10" s="1832">
        <f>AK10</f>
        <v>0</v>
      </c>
      <c r="AM10" s="1832">
        <f>($F$10-AL10)*5</f>
        <v>2</v>
      </c>
      <c r="AN10" s="1833"/>
      <c r="AO10" s="1837"/>
      <c r="AP10" s="304"/>
      <c r="AQ10" s="12" t="s">
        <v>462</v>
      </c>
      <c r="AS10" s="1252" t="s">
        <v>1086</v>
      </c>
    </row>
    <row r="11" spans="1:45" ht="33.75" customHeight="1">
      <c r="A11" s="1251" t="s">
        <v>470</v>
      </c>
      <c r="B11" s="1255" t="s">
        <v>829</v>
      </c>
      <c r="C11" s="2694">
        <f>R.HN!B7</f>
        <v>4</v>
      </c>
      <c r="D11" s="1256" t="s">
        <v>466</v>
      </c>
      <c r="E11" s="55" t="s">
        <v>1134</v>
      </c>
      <c r="F11" s="461">
        <v>50</v>
      </c>
      <c r="G11" s="458">
        <f>R.HN!C7</f>
        <v>0</v>
      </c>
      <c r="H11" s="1832">
        <f>G11*10</f>
        <v>0</v>
      </c>
      <c r="I11" s="1832">
        <f>($F$8-H11)*2*694/1000</f>
        <v>69.400000000000006</v>
      </c>
      <c r="J11" s="1833" t="s">
        <v>8</v>
      </c>
      <c r="K11" s="1816">
        <f>IF(H11=0,0,IF(I11&lt;0,0,I11))</f>
        <v>0</v>
      </c>
      <c r="L11" s="1833" t="s">
        <v>9</v>
      </c>
      <c r="M11" s="1835">
        <f>R.HN!D7</f>
        <v>0</v>
      </c>
      <c r="N11" s="1832">
        <f>M11*10</f>
        <v>0</v>
      </c>
      <c r="O11" s="1832">
        <f>($F$8-N11)*2*694/1000</f>
        <v>69.400000000000006</v>
      </c>
      <c r="P11" s="1833" t="s">
        <v>8</v>
      </c>
      <c r="Q11" s="1816">
        <f>IF(N11=0,0,IF(O11&lt;0,0,O11))</f>
        <v>0</v>
      </c>
      <c r="R11" s="1832" t="s">
        <v>9</v>
      </c>
      <c r="S11" s="1836">
        <f>R.HN!E7</f>
        <v>0</v>
      </c>
      <c r="T11" s="1832">
        <f>S11*10</f>
        <v>0</v>
      </c>
      <c r="U11" s="1832">
        <f>($F$8-T11)*2*694/1000</f>
        <v>69.400000000000006</v>
      </c>
      <c r="V11" s="1833" t="s">
        <v>8</v>
      </c>
      <c r="W11" s="1816">
        <f>IF(T11=0,0,IF(U11&lt;0,0,U11))</f>
        <v>0</v>
      </c>
      <c r="X11" s="1832" t="s">
        <v>9</v>
      </c>
      <c r="Y11" s="1836">
        <f>R.HN!F7</f>
        <v>0</v>
      </c>
      <c r="Z11" s="1832">
        <f>Y11*10</f>
        <v>0</v>
      </c>
      <c r="AA11" s="1832">
        <f>($F$8-Z11)*2*694/1000</f>
        <v>69.400000000000006</v>
      </c>
      <c r="AB11" s="1833" t="s">
        <v>8</v>
      </c>
      <c r="AC11" s="1816">
        <f>IF(Z11=0,0,IF(AA11&lt;0,0,AA11))</f>
        <v>0</v>
      </c>
      <c r="AD11" s="1832" t="s">
        <v>9</v>
      </c>
      <c r="AE11" s="1836">
        <f>R.HN!G7</f>
        <v>0</v>
      </c>
      <c r="AF11" s="1832">
        <f>AE11*10</f>
        <v>0</v>
      </c>
      <c r="AG11" s="1832">
        <f>($F$8-AF11)*2*694/1000</f>
        <v>69.400000000000006</v>
      </c>
      <c r="AH11" s="1833" t="s">
        <v>8</v>
      </c>
      <c r="AI11" s="1816">
        <f>IF(AF11=0,0,IF(AG11&lt;0,0,AG11))</f>
        <v>0</v>
      </c>
      <c r="AJ11" s="1832" t="s">
        <v>9</v>
      </c>
      <c r="AK11" s="1836">
        <f>R.HN!H7</f>
        <v>0</v>
      </c>
      <c r="AL11" s="1832">
        <f>AK11*10</f>
        <v>0</v>
      </c>
      <c r="AM11" s="1832">
        <f>($F$8-AL11)*2*694/1000</f>
        <v>69.400000000000006</v>
      </c>
      <c r="AN11" s="1833" t="s">
        <v>8</v>
      </c>
      <c r="AO11" s="1816">
        <f>IF(AL11=0,0,IF(AM11&lt;0,0,AM11))</f>
        <v>0</v>
      </c>
      <c r="AP11" s="304" t="s">
        <v>9</v>
      </c>
      <c r="AQ11" s="12" t="s">
        <v>462</v>
      </c>
      <c r="AS11" s="1252" t="s">
        <v>1084</v>
      </c>
    </row>
    <row r="12" spans="1:45" ht="31.5" customHeight="1">
      <c r="A12" s="1251" t="s">
        <v>472</v>
      </c>
      <c r="B12" s="1257" t="s">
        <v>830</v>
      </c>
      <c r="C12" s="2695"/>
      <c r="D12" s="1256" t="s">
        <v>466</v>
      </c>
      <c r="E12" s="55" t="s">
        <v>1135</v>
      </c>
      <c r="F12" s="462">
        <v>6.5</v>
      </c>
      <c r="G12" s="458">
        <f>R.HN!C8</f>
        <v>0</v>
      </c>
      <c r="H12" s="1832">
        <f>IFERROR(H11/G12,0)</f>
        <v>0</v>
      </c>
      <c r="I12" s="1832">
        <f>($F$9-H12)*694/1000</f>
        <v>4.5110000000000001</v>
      </c>
      <c r="J12" s="1833"/>
      <c r="K12" s="1816">
        <f>IF(H12=0,0,IF(I12&lt;0,0,I12))</f>
        <v>0</v>
      </c>
      <c r="L12" s="1833" t="s">
        <v>9</v>
      </c>
      <c r="M12" s="1835">
        <f>R.HN!D8</f>
        <v>0</v>
      </c>
      <c r="N12" s="1832">
        <f>IFERROR(N11/M12,0)</f>
        <v>0</v>
      </c>
      <c r="O12" s="1832">
        <f>($F$9-N12)*694/1000</f>
        <v>4.5110000000000001</v>
      </c>
      <c r="P12" s="1833"/>
      <c r="Q12" s="1816">
        <f>IF(N12=0,0,IF(O12&lt;0,0,O12))</f>
        <v>0</v>
      </c>
      <c r="R12" s="1832" t="s">
        <v>9</v>
      </c>
      <c r="S12" s="1836">
        <f>R.HN!E8</f>
        <v>0</v>
      </c>
      <c r="T12" s="1832">
        <f>IFERROR(T11/S12,0)</f>
        <v>0</v>
      </c>
      <c r="U12" s="1832">
        <f>($F$9-T12)*694/1000</f>
        <v>4.5110000000000001</v>
      </c>
      <c r="V12" s="1833"/>
      <c r="W12" s="1816">
        <f>IF(T12=0,0,IF(U12&lt;0,0,U12))</f>
        <v>0</v>
      </c>
      <c r="X12" s="1832" t="s">
        <v>9</v>
      </c>
      <c r="Y12" s="1836">
        <f>R.HN!F8</f>
        <v>0</v>
      </c>
      <c r="Z12" s="1832">
        <f>IFERROR(Z11/Y12,0)</f>
        <v>0</v>
      </c>
      <c r="AA12" s="1832">
        <f>($F$9-Z12)*694/1000</f>
        <v>4.5110000000000001</v>
      </c>
      <c r="AB12" s="1833"/>
      <c r="AC12" s="1816">
        <f>IF(Z12=0,0,IF(AA12&lt;0,0,AA12))</f>
        <v>0</v>
      </c>
      <c r="AD12" s="1832" t="s">
        <v>9</v>
      </c>
      <c r="AE12" s="1836">
        <f>R.HN!G8</f>
        <v>0</v>
      </c>
      <c r="AF12" s="1832">
        <f>IFERROR(AF11/AE12,0)</f>
        <v>0</v>
      </c>
      <c r="AG12" s="1832">
        <f>($F$9-AF12)*694/1000</f>
        <v>4.5110000000000001</v>
      </c>
      <c r="AH12" s="1833"/>
      <c r="AI12" s="1816">
        <f>IF(AF12=0,0,IF(AG12&lt;0,0,AG12))</f>
        <v>0</v>
      </c>
      <c r="AJ12" s="1832" t="s">
        <v>9</v>
      </c>
      <c r="AK12" s="1836">
        <f>R.HN!H8</f>
        <v>0</v>
      </c>
      <c r="AL12" s="1832">
        <f>IFERROR(AL11/AK12,0)</f>
        <v>0</v>
      </c>
      <c r="AM12" s="1832">
        <f>($F$9-AL12)*694/1000</f>
        <v>4.5110000000000001</v>
      </c>
      <c r="AN12" s="1833"/>
      <c r="AO12" s="1816">
        <f>IF(AL12=0,0,IF(AM12&lt;0,0,AM12))</f>
        <v>0</v>
      </c>
      <c r="AP12" s="304" t="s">
        <v>9</v>
      </c>
      <c r="AQ12" s="12" t="s">
        <v>462</v>
      </c>
      <c r="AS12" s="1252" t="s">
        <v>1085</v>
      </c>
    </row>
    <row r="13" spans="1:45" ht="31.5" customHeight="1">
      <c r="A13" s="1251" t="s">
        <v>473</v>
      </c>
      <c r="B13" s="1258" t="s">
        <v>831</v>
      </c>
      <c r="C13" s="2696"/>
      <c r="D13" s="1256" t="s">
        <v>466</v>
      </c>
      <c r="E13" s="55" t="s">
        <v>1136</v>
      </c>
      <c r="F13" s="457">
        <v>0.4</v>
      </c>
      <c r="G13" s="458">
        <f>R.HN!C9</f>
        <v>0</v>
      </c>
      <c r="H13" s="1827">
        <f>G13</f>
        <v>0</v>
      </c>
      <c r="I13" s="1827">
        <f>($F$10-H13)*5</f>
        <v>2</v>
      </c>
      <c r="J13" s="1828"/>
      <c r="K13" s="1837"/>
      <c r="L13" s="1828"/>
      <c r="M13" s="1830">
        <f>R.HN!D9</f>
        <v>0</v>
      </c>
      <c r="N13" s="1827">
        <f>M13</f>
        <v>0</v>
      </c>
      <c r="O13" s="1827">
        <f>($F$10-N13)*5</f>
        <v>2</v>
      </c>
      <c r="P13" s="1828"/>
      <c r="Q13" s="1837"/>
      <c r="R13" s="1827"/>
      <c r="S13" s="1831">
        <f>R.HN!E9</f>
        <v>0</v>
      </c>
      <c r="T13" s="1827">
        <f>S13</f>
        <v>0</v>
      </c>
      <c r="U13" s="1827">
        <f>($F$10-T13)*5</f>
        <v>2</v>
      </c>
      <c r="V13" s="1828"/>
      <c r="W13" s="1837"/>
      <c r="X13" s="1827"/>
      <c r="Y13" s="1831">
        <f>R.HN!F9</f>
        <v>0</v>
      </c>
      <c r="Z13" s="1827">
        <f>Y13</f>
        <v>0</v>
      </c>
      <c r="AA13" s="1827">
        <f>($F$10-Z13)*5</f>
        <v>2</v>
      </c>
      <c r="AB13" s="1828"/>
      <c r="AC13" s="1837"/>
      <c r="AD13" s="1827"/>
      <c r="AE13" s="1831">
        <f>R.HN!G9</f>
        <v>0</v>
      </c>
      <c r="AF13" s="1827">
        <f>AE13</f>
        <v>0</v>
      </c>
      <c r="AG13" s="1827">
        <f>($F$10-AF13)*5</f>
        <v>2</v>
      </c>
      <c r="AH13" s="1828"/>
      <c r="AI13" s="1837"/>
      <c r="AJ13" s="1827"/>
      <c r="AK13" s="1831">
        <f>R.HN!H9</f>
        <v>0</v>
      </c>
      <c r="AL13" s="1827">
        <f>AK13</f>
        <v>0</v>
      </c>
      <c r="AM13" s="1832">
        <f>($F$10-AL13)*5</f>
        <v>2</v>
      </c>
      <c r="AN13" s="1833"/>
      <c r="AO13" s="1837"/>
      <c r="AP13" s="304"/>
      <c r="AQ13" s="12" t="s">
        <v>462</v>
      </c>
      <c r="AS13" s="1252" t="s">
        <v>1086</v>
      </c>
    </row>
    <row r="14" spans="1:45" ht="31.5" customHeight="1">
      <c r="A14" s="1251" t="s">
        <v>474</v>
      </c>
      <c r="B14" s="1259" t="s">
        <v>475</v>
      </c>
      <c r="C14" s="1260"/>
      <c r="D14" s="1209" t="s">
        <v>466</v>
      </c>
      <c r="E14" s="55" t="s">
        <v>476</v>
      </c>
      <c r="F14" s="462">
        <v>1</v>
      </c>
      <c r="G14" s="458">
        <f>R.HN!C10</f>
        <v>0</v>
      </c>
      <c r="H14" s="1832">
        <f>G14</f>
        <v>0</v>
      </c>
      <c r="I14" s="1832">
        <f>($F$14-H14)*546/1000*8</f>
        <v>4.3680000000000003</v>
      </c>
      <c r="J14" s="1833" t="s">
        <v>8</v>
      </c>
      <c r="K14" s="1815">
        <f>IF(H14=0,0,IF(I14&lt;0,0,I14))</f>
        <v>0</v>
      </c>
      <c r="L14" s="1833" t="s">
        <v>9</v>
      </c>
      <c r="M14" s="1835">
        <f>R.HN!D10</f>
        <v>0</v>
      </c>
      <c r="N14" s="1832">
        <f>M14</f>
        <v>0</v>
      </c>
      <c r="O14" s="1832">
        <f>($F$14-N14)*546/1000*8</f>
        <v>4.3680000000000003</v>
      </c>
      <c r="P14" s="1833" t="s">
        <v>8</v>
      </c>
      <c r="Q14" s="1815">
        <f>IF(N14=0,0,IF(O14&lt;0,0,O14))</f>
        <v>0</v>
      </c>
      <c r="R14" s="1832" t="s">
        <v>9</v>
      </c>
      <c r="S14" s="1836">
        <f>R.HN!E10</f>
        <v>0</v>
      </c>
      <c r="T14" s="1832">
        <f>S14</f>
        <v>0</v>
      </c>
      <c r="U14" s="1832">
        <f>($F$14-T14)*546/1000*8</f>
        <v>4.3680000000000003</v>
      </c>
      <c r="V14" s="1833" t="s">
        <v>8</v>
      </c>
      <c r="W14" s="1815">
        <f>IF(T14=0,0,IF(U14&lt;0,0,U14))</f>
        <v>0</v>
      </c>
      <c r="X14" s="1832" t="s">
        <v>9</v>
      </c>
      <c r="Y14" s="1836">
        <f>R.HN!F10</f>
        <v>0</v>
      </c>
      <c r="Z14" s="1832">
        <f>Y14</f>
        <v>0</v>
      </c>
      <c r="AA14" s="1832">
        <f>($F$14-Z14)*546/1000*8</f>
        <v>4.3680000000000003</v>
      </c>
      <c r="AB14" s="1833" t="s">
        <v>8</v>
      </c>
      <c r="AC14" s="1815">
        <f>IF(Z14=0,0,IF(AA14&lt;0,0,AA14))</f>
        <v>0</v>
      </c>
      <c r="AD14" s="1832" t="s">
        <v>9</v>
      </c>
      <c r="AE14" s="1836">
        <f>R.HN!G10</f>
        <v>0</v>
      </c>
      <c r="AF14" s="1832">
        <f>AE14</f>
        <v>0</v>
      </c>
      <c r="AG14" s="1832">
        <f>($F$14-AF14)*546/1000*8</f>
        <v>4.3680000000000003</v>
      </c>
      <c r="AH14" s="1833" t="s">
        <v>8</v>
      </c>
      <c r="AI14" s="1815">
        <f>IF(AF14=0,0,IF(AG14&lt;0,0,AG14))</f>
        <v>0</v>
      </c>
      <c r="AJ14" s="1832" t="s">
        <v>9</v>
      </c>
      <c r="AK14" s="1836">
        <f>R.HN!H10</f>
        <v>0</v>
      </c>
      <c r="AL14" s="1832">
        <f>AK14</f>
        <v>0</v>
      </c>
      <c r="AM14" s="1832">
        <f>($F$14-AL14)*546/1000*8</f>
        <v>4.3680000000000003</v>
      </c>
      <c r="AN14" s="1833" t="s">
        <v>8</v>
      </c>
      <c r="AO14" s="1815">
        <f>IF(AL14=0,0,IF(AM14&lt;0,0,AM14))</f>
        <v>0</v>
      </c>
      <c r="AP14" s="304" t="s">
        <v>9</v>
      </c>
      <c r="AQ14" s="12" t="s">
        <v>462</v>
      </c>
      <c r="AS14" s="448"/>
    </row>
    <row r="15" spans="1:45" ht="31.5" customHeight="1">
      <c r="A15" s="1251" t="s">
        <v>477</v>
      </c>
      <c r="B15" s="1261" t="s">
        <v>5</v>
      </c>
      <c r="C15" s="1262"/>
      <c r="D15" s="1209" t="s">
        <v>5</v>
      </c>
      <c r="E15" s="55" t="s">
        <v>478</v>
      </c>
      <c r="F15" s="464">
        <v>9.5</v>
      </c>
      <c r="G15" s="458">
        <f>R.HN!C11</f>
        <v>0</v>
      </c>
      <c r="H15" s="1832">
        <f>G15</f>
        <v>0</v>
      </c>
      <c r="I15" s="1832"/>
      <c r="J15" s="1833"/>
      <c r="K15" s="1834"/>
      <c r="L15" s="1833"/>
      <c r="M15" s="1835">
        <f>R.HN!D11</f>
        <v>0</v>
      </c>
      <c r="N15" s="1832">
        <f>M15</f>
        <v>0</v>
      </c>
      <c r="O15" s="1832"/>
      <c r="P15" s="1833"/>
      <c r="Q15" s="1834"/>
      <c r="R15" s="1832"/>
      <c r="S15" s="1836">
        <f>R.HN!E11</f>
        <v>0</v>
      </c>
      <c r="T15" s="1832">
        <f>S15</f>
        <v>0</v>
      </c>
      <c r="U15" s="1832"/>
      <c r="V15" s="1833"/>
      <c r="W15" s="1834"/>
      <c r="X15" s="1832"/>
      <c r="Y15" s="1836">
        <f>R.HN!F11</f>
        <v>0</v>
      </c>
      <c r="Z15" s="1832">
        <f>Y15</f>
        <v>0</v>
      </c>
      <c r="AA15" s="1832"/>
      <c r="AB15" s="1833"/>
      <c r="AC15" s="1834"/>
      <c r="AD15" s="1832"/>
      <c r="AE15" s="1836">
        <f>R.HN!G11</f>
        <v>0</v>
      </c>
      <c r="AF15" s="1832">
        <f>AE15</f>
        <v>0</v>
      </c>
      <c r="AG15" s="1832"/>
      <c r="AH15" s="1833"/>
      <c r="AI15" s="1834"/>
      <c r="AJ15" s="1832"/>
      <c r="AK15" s="1836">
        <f>R.HN!H11</f>
        <v>0</v>
      </c>
      <c r="AL15" s="1832">
        <f>AK15</f>
        <v>0</v>
      </c>
      <c r="AM15" s="1832"/>
      <c r="AN15" s="1833"/>
      <c r="AO15" s="1834"/>
      <c r="AP15" s="304"/>
      <c r="AQ15" s="12" t="s">
        <v>462</v>
      </c>
      <c r="AS15" s="448"/>
    </row>
    <row r="16" spans="1:45" ht="33" customHeight="1">
      <c r="A16" s="1263" t="s">
        <v>76</v>
      </c>
      <c r="B16" s="342"/>
      <c r="C16" s="342"/>
      <c r="D16" s="342"/>
      <c r="E16" s="332"/>
      <c r="F16" s="342"/>
      <c r="G16" s="342"/>
      <c r="H16" s="342"/>
      <c r="I16" s="342"/>
      <c r="J16" s="342"/>
      <c r="K16" s="342"/>
      <c r="L16" s="342"/>
      <c r="M16" s="342"/>
      <c r="N16" s="348"/>
      <c r="O16" s="342"/>
      <c r="P16" s="342"/>
      <c r="Q16" s="342"/>
      <c r="R16" s="348"/>
      <c r="S16" s="342"/>
      <c r="T16" s="348"/>
      <c r="U16" s="342"/>
      <c r="V16" s="342"/>
      <c r="W16" s="342"/>
      <c r="X16" s="342"/>
      <c r="Y16" s="342"/>
      <c r="Z16" s="342"/>
      <c r="AA16" s="342"/>
      <c r="AB16" s="342"/>
      <c r="AC16" s="342"/>
      <c r="AD16" s="342"/>
      <c r="AE16" s="348"/>
      <c r="AF16" s="348"/>
      <c r="AG16" s="348"/>
      <c r="AH16" s="348"/>
      <c r="AI16" s="348"/>
      <c r="AJ16" s="348"/>
      <c r="AK16" s="348"/>
      <c r="AL16" s="348"/>
      <c r="AM16" s="348"/>
      <c r="AN16" s="348"/>
      <c r="AO16" s="348"/>
      <c r="AP16" s="1264"/>
    </row>
    <row r="17" spans="1:45" ht="47.25" customHeight="1">
      <c r="A17" s="1251" t="s">
        <v>267</v>
      </c>
      <c r="B17" s="2193" t="s">
        <v>64</v>
      </c>
      <c r="C17" s="2195"/>
      <c r="D17" s="310" t="s">
        <v>66</v>
      </c>
      <c r="E17" s="310" t="s">
        <v>67</v>
      </c>
      <c r="F17" s="465"/>
      <c r="G17" s="465"/>
      <c r="H17" s="343" t="s">
        <v>48</v>
      </c>
      <c r="I17" s="344"/>
      <c r="J17" s="344"/>
      <c r="K17" s="343" t="s">
        <v>65</v>
      </c>
      <c r="L17" s="345"/>
      <c r="M17" s="310"/>
      <c r="N17" s="343" t="s">
        <v>48</v>
      </c>
      <c r="O17" s="344"/>
      <c r="P17" s="344"/>
      <c r="Q17" s="343" t="s">
        <v>65</v>
      </c>
      <c r="R17" s="345"/>
      <c r="S17" s="1265"/>
      <c r="T17" s="343" t="s">
        <v>48</v>
      </c>
      <c r="U17" s="344"/>
      <c r="V17" s="344"/>
      <c r="W17" s="343" t="s">
        <v>65</v>
      </c>
      <c r="X17" s="345"/>
      <c r="Y17" s="1266"/>
      <c r="Z17" s="343" t="s">
        <v>48</v>
      </c>
      <c r="AA17" s="344"/>
      <c r="AB17" s="344"/>
      <c r="AC17" s="343" t="s">
        <v>65</v>
      </c>
      <c r="AD17" s="345"/>
      <c r="AE17" s="1266"/>
      <c r="AF17" s="343" t="s">
        <v>48</v>
      </c>
      <c r="AG17" s="344"/>
      <c r="AH17" s="344"/>
      <c r="AI17" s="343" t="s">
        <v>65</v>
      </c>
      <c r="AJ17" s="345"/>
      <c r="AK17" s="1266"/>
      <c r="AL17" s="343" t="s">
        <v>48</v>
      </c>
      <c r="AM17" s="344"/>
      <c r="AN17" s="344"/>
      <c r="AO17" s="343" t="s">
        <v>65</v>
      </c>
      <c r="AP17" s="345"/>
    </row>
    <row r="18" spans="1:45" ht="38.25" customHeight="1">
      <c r="A18" s="1251" t="s">
        <v>479</v>
      </c>
      <c r="B18" s="2193" t="s">
        <v>480</v>
      </c>
      <c r="C18" s="2195"/>
      <c r="D18" s="274" t="s">
        <v>214</v>
      </c>
      <c r="E18" s="55" t="s">
        <v>1137</v>
      </c>
      <c r="F18" s="466"/>
      <c r="G18" s="466"/>
      <c r="H18" s="2678">
        <f>'R.FILE GOC'!H18</f>
        <v>0</v>
      </c>
      <c r="I18" s="2678"/>
      <c r="J18" s="2678"/>
      <c r="K18" s="2678">
        <f>'R.FILE GOC'!K18</f>
        <v>0</v>
      </c>
      <c r="L18" s="2678"/>
      <c r="M18" s="1824"/>
      <c r="N18" s="2678">
        <f>'R.FILE GOC'!N18</f>
        <v>0</v>
      </c>
      <c r="O18" s="2678"/>
      <c r="P18" s="2678"/>
      <c r="Q18" s="2678">
        <f>'R.FILE GOC'!Q18</f>
        <v>0</v>
      </c>
      <c r="R18" s="2678"/>
      <c r="S18" s="1824"/>
      <c r="T18" s="2678">
        <f>'R.FILE GOC'!T18</f>
        <v>0</v>
      </c>
      <c r="U18" s="2678"/>
      <c r="V18" s="2678"/>
      <c r="W18" s="2678">
        <f>'R.FILE GOC'!W18</f>
        <v>0</v>
      </c>
      <c r="X18" s="2678"/>
      <c r="Y18" s="1824"/>
      <c r="Z18" s="2678">
        <f>'R.FILE GOC'!Z18</f>
        <v>0</v>
      </c>
      <c r="AA18" s="2678"/>
      <c r="AB18" s="2678"/>
      <c r="AC18" s="2678">
        <f>'R.FILE GOC'!AC18</f>
        <v>0</v>
      </c>
      <c r="AD18" s="2678"/>
      <c r="AE18" s="1824"/>
      <c r="AF18" s="2678">
        <f>'R.FILE GOC'!AF18</f>
        <v>0</v>
      </c>
      <c r="AG18" s="2678"/>
      <c r="AH18" s="2678"/>
      <c r="AI18" s="2678">
        <f>'R.FILE GOC'!AI18</f>
        <v>0</v>
      </c>
      <c r="AJ18" s="2678"/>
      <c r="AK18" s="1824"/>
      <c r="AL18" s="2678">
        <f>'R.FILE GOC'!AL18</f>
        <v>0</v>
      </c>
      <c r="AM18" s="2678"/>
      <c r="AN18" s="2678"/>
      <c r="AO18" s="2678">
        <f>'R.FILE GOC'!AO18</f>
        <v>0</v>
      </c>
      <c r="AP18" s="2678"/>
      <c r="AQ18" s="12" t="s">
        <v>462</v>
      </c>
    </row>
    <row r="19" spans="1:45" ht="38.25" customHeight="1">
      <c r="A19" s="1251" t="s">
        <v>481</v>
      </c>
      <c r="B19" s="2193" t="s">
        <v>482</v>
      </c>
      <c r="C19" s="2195"/>
      <c r="D19" s="274" t="s">
        <v>214</v>
      </c>
      <c r="E19" s="55" t="s">
        <v>1137</v>
      </c>
      <c r="F19" s="466"/>
      <c r="G19" s="466"/>
      <c r="H19" s="2678">
        <f>'R.FILE GOC'!H19</f>
        <v>0</v>
      </c>
      <c r="I19" s="2678"/>
      <c r="J19" s="2678"/>
      <c r="K19" s="2678">
        <f>'R.FILE GOC'!K19</f>
        <v>0</v>
      </c>
      <c r="L19" s="2678"/>
      <c r="M19" s="1824"/>
      <c r="N19" s="2678">
        <f>'R.FILE GOC'!N19</f>
        <v>0</v>
      </c>
      <c r="O19" s="2678"/>
      <c r="P19" s="2678"/>
      <c r="Q19" s="2678">
        <f>'R.FILE GOC'!Q19</f>
        <v>0</v>
      </c>
      <c r="R19" s="2678"/>
      <c r="S19" s="1824"/>
      <c r="T19" s="2678">
        <f>'R.FILE GOC'!T19</f>
        <v>0</v>
      </c>
      <c r="U19" s="2678"/>
      <c r="V19" s="2678"/>
      <c r="W19" s="2678">
        <f>'R.FILE GOC'!W19</f>
        <v>0</v>
      </c>
      <c r="X19" s="2678"/>
      <c r="Y19" s="1824"/>
      <c r="Z19" s="2678">
        <f>'R.FILE GOC'!Z19</f>
        <v>0</v>
      </c>
      <c r="AA19" s="2678"/>
      <c r="AB19" s="2678"/>
      <c r="AC19" s="2678">
        <f>'R.FILE GOC'!AC19</f>
        <v>0</v>
      </c>
      <c r="AD19" s="2678"/>
      <c r="AE19" s="1824"/>
      <c r="AF19" s="2678">
        <f>'R.FILE GOC'!AF19</f>
        <v>0</v>
      </c>
      <c r="AG19" s="2678"/>
      <c r="AH19" s="2678"/>
      <c r="AI19" s="2678">
        <f>'R.FILE GOC'!AI19</f>
        <v>0</v>
      </c>
      <c r="AJ19" s="2678"/>
      <c r="AK19" s="1824"/>
      <c r="AL19" s="2678">
        <f>'R.FILE GOC'!AL19</f>
        <v>0</v>
      </c>
      <c r="AM19" s="2678"/>
      <c r="AN19" s="2678"/>
      <c r="AO19" s="2678">
        <f>'R.FILE GOC'!AO19</f>
        <v>0</v>
      </c>
      <c r="AP19" s="2678"/>
      <c r="AQ19" s="12" t="s">
        <v>462</v>
      </c>
    </row>
    <row r="20" spans="1:45" ht="38.25" customHeight="1">
      <c r="A20" s="1251" t="s">
        <v>483</v>
      </c>
      <c r="B20" s="2193" t="s">
        <v>475</v>
      </c>
      <c r="C20" s="2195"/>
      <c r="D20" s="274" t="s">
        <v>214</v>
      </c>
      <c r="E20" s="55" t="s">
        <v>1138</v>
      </c>
      <c r="F20" s="466"/>
      <c r="G20" s="466"/>
      <c r="H20" s="2678">
        <f>'R.FILE GOC'!H20</f>
        <v>0</v>
      </c>
      <c r="I20" s="2678"/>
      <c r="J20" s="2678"/>
      <c r="K20" s="2678">
        <f>'R.FILE GOC'!K20</f>
        <v>0</v>
      </c>
      <c r="L20" s="2678"/>
      <c r="M20" s="1824"/>
      <c r="N20" s="2678">
        <f>'R.FILE GOC'!N20</f>
        <v>0</v>
      </c>
      <c r="O20" s="2678"/>
      <c r="P20" s="2678"/>
      <c r="Q20" s="2678">
        <f>'R.FILE GOC'!Q20</f>
        <v>0</v>
      </c>
      <c r="R20" s="2678"/>
      <c r="S20" s="1824"/>
      <c r="T20" s="2678">
        <f>'R.FILE GOC'!T20</f>
        <v>0</v>
      </c>
      <c r="U20" s="2678"/>
      <c r="V20" s="2678"/>
      <c r="W20" s="2678">
        <f>'R.FILE GOC'!W20</f>
        <v>0</v>
      </c>
      <c r="X20" s="2678"/>
      <c r="Y20" s="1824"/>
      <c r="Z20" s="2678">
        <f>'R.FILE GOC'!Z20</f>
        <v>0</v>
      </c>
      <c r="AA20" s="2678"/>
      <c r="AB20" s="2678"/>
      <c r="AC20" s="2678">
        <f>'R.FILE GOC'!AC20</f>
        <v>0</v>
      </c>
      <c r="AD20" s="2678"/>
      <c r="AE20" s="1824"/>
      <c r="AF20" s="2678">
        <f>'R.FILE GOC'!AF20</f>
        <v>0</v>
      </c>
      <c r="AG20" s="2678"/>
      <c r="AH20" s="2678"/>
      <c r="AI20" s="2678">
        <f>'R.FILE GOC'!AI20</f>
        <v>0</v>
      </c>
      <c r="AJ20" s="2678"/>
      <c r="AK20" s="1824"/>
      <c r="AL20" s="2678">
        <f>'R.FILE GOC'!AL20</f>
        <v>0</v>
      </c>
      <c r="AM20" s="2678"/>
      <c r="AN20" s="2678"/>
      <c r="AO20" s="2678">
        <f>'R.FILE GOC'!AO20</f>
        <v>0</v>
      </c>
      <c r="AP20" s="2678"/>
      <c r="AQ20" s="12" t="s">
        <v>462</v>
      </c>
    </row>
    <row r="21" spans="1:45" ht="27" customHeight="1">
      <c r="A21" s="467"/>
      <c r="B21" s="467"/>
      <c r="C21" s="467"/>
      <c r="D21" s="467"/>
      <c r="E21" s="467"/>
      <c r="F21" s="467"/>
      <c r="G21" s="467"/>
      <c r="H21" s="467"/>
      <c r="I21" s="467"/>
      <c r="J21" s="467"/>
      <c r="K21" s="467"/>
      <c r="L21" s="467"/>
      <c r="M21" s="467"/>
      <c r="N21" s="467"/>
      <c r="O21" s="467"/>
      <c r="P21" s="467"/>
      <c r="Q21" s="467"/>
      <c r="R21" s="467"/>
      <c r="S21" s="467"/>
      <c r="T21" s="467"/>
      <c r="U21" s="467"/>
      <c r="V21" s="467"/>
      <c r="W21" s="467"/>
      <c r="X21" s="467"/>
      <c r="Y21" s="467"/>
      <c r="Z21" s="467"/>
      <c r="AA21" s="467"/>
      <c r="AB21" s="467"/>
      <c r="AC21" s="467"/>
      <c r="AD21" s="467"/>
      <c r="AP21" s="12"/>
    </row>
    <row r="22" spans="1:45" ht="41.25" customHeight="1">
      <c r="A22" s="1242" t="s">
        <v>1139</v>
      </c>
      <c r="B22" s="1243"/>
      <c r="C22" s="1244"/>
      <c r="D22" s="1244"/>
      <c r="E22" s="1245"/>
      <c r="F22" s="1246" t="s">
        <v>75</v>
      </c>
      <c r="G22" s="1247"/>
      <c r="H22" s="837" t="s">
        <v>75</v>
      </c>
      <c r="I22" s="837"/>
      <c r="J22" s="837"/>
      <c r="K22" s="837"/>
      <c r="L22" s="837"/>
      <c r="M22" s="837"/>
      <c r="N22" s="837"/>
      <c r="O22" s="837"/>
      <c r="P22" s="837"/>
      <c r="Q22" s="837"/>
      <c r="R22" s="837"/>
      <c r="S22" s="837"/>
      <c r="T22" s="837"/>
      <c r="U22" s="837"/>
      <c r="V22" s="837"/>
      <c r="W22" s="837"/>
      <c r="X22" s="837"/>
      <c r="Y22" s="837"/>
      <c r="Z22" s="837"/>
      <c r="AA22" s="837"/>
      <c r="AB22" s="837"/>
      <c r="AC22" s="837"/>
      <c r="AD22" s="837"/>
      <c r="AE22" s="837"/>
      <c r="AF22" s="837"/>
      <c r="AG22" s="837"/>
      <c r="AH22" s="837"/>
      <c r="AI22" s="837"/>
      <c r="AJ22" s="837"/>
      <c r="AK22" s="837"/>
      <c r="AL22" s="837"/>
      <c r="AM22" s="837"/>
      <c r="AN22" s="837"/>
      <c r="AO22" s="837"/>
      <c r="AP22" s="837"/>
    </row>
    <row r="23" spans="1:45" ht="30" customHeight="1">
      <c r="A23" s="450"/>
      <c r="B23" s="2681" t="s">
        <v>79</v>
      </c>
      <c r="C23" s="2682"/>
      <c r="D23" s="2097" t="s">
        <v>136</v>
      </c>
      <c r="E23" s="2686" t="s">
        <v>67</v>
      </c>
      <c r="F23" s="469"/>
      <c r="G23" s="470"/>
      <c r="H23" s="2689" t="s">
        <v>456</v>
      </c>
      <c r="I23" s="2689"/>
      <c r="J23" s="2689"/>
      <c r="K23" s="2689"/>
      <c r="L23" s="2689"/>
      <c r="M23" s="453"/>
      <c r="N23" s="2688" t="s">
        <v>419</v>
      </c>
      <c r="O23" s="2688"/>
      <c r="P23" s="2688"/>
      <c r="Q23" s="2688"/>
      <c r="R23" s="2688"/>
      <c r="S23" s="453"/>
      <c r="T23" s="2689" t="s">
        <v>420</v>
      </c>
      <c r="U23" s="2689"/>
      <c r="V23" s="2689"/>
      <c r="W23" s="2689"/>
      <c r="X23" s="2689"/>
      <c r="Y23" s="453"/>
      <c r="Z23" s="2689" t="s">
        <v>421</v>
      </c>
      <c r="AA23" s="2689"/>
      <c r="AB23" s="2689"/>
      <c r="AC23" s="2689"/>
      <c r="AD23" s="2689"/>
      <c r="AE23" s="453"/>
      <c r="AF23" s="2689" t="s">
        <v>422</v>
      </c>
      <c r="AG23" s="2689"/>
      <c r="AH23" s="2689"/>
      <c r="AI23" s="2689"/>
      <c r="AJ23" s="2689"/>
      <c r="AK23" s="453"/>
      <c r="AL23" s="2689" t="s">
        <v>423</v>
      </c>
      <c r="AM23" s="2689"/>
      <c r="AN23" s="2689"/>
      <c r="AO23" s="2689"/>
      <c r="AP23" s="2689"/>
    </row>
    <row r="24" spans="1:45" ht="30" customHeight="1">
      <c r="A24" s="494" t="s">
        <v>267</v>
      </c>
      <c r="B24" s="2683"/>
      <c r="C24" s="2684"/>
      <c r="D24" s="2685"/>
      <c r="E24" s="2687"/>
      <c r="F24" s="455" t="s">
        <v>457</v>
      </c>
      <c r="G24" s="456"/>
      <c r="H24" s="1207" t="s">
        <v>774</v>
      </c>
      <c r="I24" s="331" t="s">
        <v>1</v>
      </c>
      <c r="J24" s="2692" t="s">
        <v>1</v>
      </c>
      <c r="K24" s="2692"/>
      <c r="L24" s="2692"/>
      <c r="M24" s="1249"/>
      <c r="N24" s="1207" t="s">
        <v>774</v>
      </c>
      <c r="O24" s="331" t="s">
        <v>1</v>
      </c>
      <c r="P24" s="2692" t="s">
        <v>1</v>
      </c>
      <c r="Q24" s="2692"/>
      <c r="R24" s="2693"/>
      <c r="S24" s="456"/>
      <c r="T24" s="1207" t="s">
        <v>774</v>
      </c>
      <c r="U24" s="331" t="s">
        <v>1</v>
      </c>
      <c r="V24" s="2692" t="s">
        <v>1</v>
      </c>
      <c r="W24" s="2692"/>
      <c r="X24" s="2693"/>
      <c r="Y24" s="1249"/>
      <c r="Z24" s="1207" t="s">
        <v>774</v>
      </c>
      <c r="AA24" s="331" t="s">
        <v>1</v>
      </c>
      <c r="AB24" s="2690" t="s">
        <v>1</v>
      </c>
      <c r="AC24" s="2690"/>
      <c r="AD24" s="2690"/>
      <c r="AE24" s="456"/>
      <c r="AF24" s="1207" t="s">
        <v>774</v>
      </c>
      <c r="AG24" s="331" t="s">
        <v>1</v>
      </c>
      <c r="AH24" s="2692" t="s">
        <v>1</v>
      </c>
      <c r="AI24" s="2692"/>
      <c r="AJ24" s="2693"/>
      <c r="AK24" s="1249"/>
      <c r="AL24" s="1207" t="s">
        <v>774</v>
      </c>
      <c r="AM24" s="331" t="s">
        <v>1</v>
      </c>
      <c r="AN24" s="2690" t="s">
        <v>1</v>
      </c>
      <c r="AO24" s="2690"/>
      <c r="AP24" s="2690"/>
      <c r="AS24" s="1250" t="s">
        <v>1133</v>
      </c>
    </row>
    <row r="25" spans="1:45" ht="35.25" customHeight="1">
      <c r="A25" s="1251" t="s">
        <v>1140</v>
      </c>
      <c r="B25" s="2199" t="s">
        <v>484</v>
      </c>
      <c r="C25" s="2201"/>
      <c r="D25" s="471" t="s">
        <v>466</v>
      </c>
      <c r="E25" s="55" t="s">
        <v>485</v>
      </c>
      <c r="F25" s="461">
        <v>40</v>
      </c>
      <c r="G25" s="458">
        <f>R.HN!C16</f>
        <v>0</v>
      </c>
      <c r="H25" s="1832">
        <f>G25*10</f>
        <v>0</v>
      </c>
      <c r="I25" s="1832">
        <f>($F$25-H25)*2330/1000</f>
        <v>93.2</v>
      </c>
      <c r="J25" s="1833" t="s">
        <v>8</v>
      </c>
      <c r="K25" s="1816">
        <f>IF(H25=0,0,IF(I25&lt;0,0,I25))</f>
        <v>0</v>
      </c>
      <c r="L25" s="1833" t="s">
        <v>9</v>
      </c>
      <c r="M25" s="1834">
        <f>R.HN!D16</f>
        <v>0</v>
      </c>
      <c r="N25" s="1832">
        <f>M25*10</f>
        <v>0</v>
      </c>
      <c r="O25" s="1832">
        <f>($F$25-N25)*2330/1000</f>
        <v>93.2</v>
      </c>
      <c r="P25" s="1833" t="s">
        <v>8</v>
      </c>
      <c r="Q25" s="1816">
        <f>IF(N25=0,0,IF(O25&lt;0,0,O25))</f>
        <v>0</v>
      </c>
      <c r="R25" s="1833" t="s">
        <v>9</v>
      </c>
      <c r="S25" s="1834">
        <f>R.HN!E16</f>
        <v>0</v>
      </c>
      <c r="T25" s="1832">
        <f>S25*10</f>
        <v>0</v>
      </c>
      <c r="U25" s="1832">
        <f>($F$25-T25)*2330/1000</f>
        <v>93.2</v>
      </c>
      <c r="V25" s="1833" t="s">
        <v>8</v>
      </c>
      <c r="W25" s="1816">
        <f>IF(T25=0,0,IF(U25&lt;0,0,U25))</f>
        <v>0</v>
      </c>
      <c r="X25" s="1833" t="s">
        <v>9</v>
      </c>
      <c r="Y25" s="1834">
        <f>R.HN!F16</f>
        <v>0</v>
      </c>
      <c r="Z25" s="1832">
        <f>Y25*10</f>
        <v>0</v>
      </c>
      <c r="AA25" s="1832">
        <f>($F$25-Z25)*2330/1000</f>
        <v>93.2</v>
      </c>
      <c r="AB25" s="1833" t="s">
        <v>8</v>
      </c>
      <c r="AC25" s="1816">
        <f>IF(Z25=0,0,IF(AA25&lt;0,0,AA25))</f>
        <v>0</v>
      </c>
      <c r="AD25" s="1833" t="s">
        <v>9</v>
      </c>
      <c r="AE25" s="1834">
        <f>R.HN!G16</f>
        <v>0</v>
      </c>
      <c r="AF25" s="1832">
        <f>AE25*10</f>
        <v>0</v>
      </c>
      <c r="AG25" s="1832">
        <f>($F$25-AF25)*2330/1000</f>
        <v>93.2</v>
      </c>
      <c r="AH25" s="1833" t="s">
        <v>8</v>
      </c>
      <c r="AI25" s="1816">
        <f>IF(AF25=0,0,IF(AG25&lt;0,0,AG25))</f>
        <v>0</v>
      </c>
      <c r="AJ25" s="1833" t="s">
        <v>9</v>
      </c>
      <c r="AK25" s="1834">
        <f>R.HN!H16</f>
        <v>0</v>
      </c>
      <c r="AL25" s="1832">
        <f>AK25*10</f>
        <v>0</v>
      </c>
      <c r="AM25" s="1832">
        <f>($F$25-AL25)*2330/1000</f>
        <v>93.2</v>
      </c>
      <c r="AN25" s="1833" t="s">
        <v>8</v>
      </c>
      <c r="AO25" s="1816">
        <f>IF(AL25=0,0,IF(AM25&lt;0,0,AM25))</f>
        <v>0</v>
      </c>
      <c r="AP25" s="304" t="s">
        <v>9</v>
      </c>
      <c r="AQ25" s="12" t="s">
        <v>486</v>
      </c>
      <c r="AS25" s="1252" t="s">
        <v>1083</v>
      </c>
    </row>
    <row r="26" spans="1:45" ht="30" customHeight="1">
      <c r="A26" s="1251" t="s">
        <v>1141</v>
      </c>
      <c r="B26" s="2199" t="s">
        <v>883</v>
      </c>
      <c r="C26" s="2201"/>
      <c r="D26" s="54" t="s">
        <v>3</v>
      </c>
      <c r="E26" s="55" t="s">
        <v>461</v>
      </c>
      <c r="F26" s="457">
        <v>12.5</v>
      </c>
      <c r="G26" s="458">
        <f>R.HN!C17</f>
        <v>0</v>
      </c>
      <c r="H26" s="1832">
        <f>(1*G26*36.5)/(1*10)</f>
        <v>0</v>
      </c>
      <c r="I26" s="1832">
        <f>($F$26-H26)*2605/32</f>
        <v>1017.578125</v>
      </c>
      <c r="J26" s="1833" t="s">
        <v>8</v>
      </c>
      <c r="K26" s="1816">
        <f>IF(H26=0,0,IF(I26&lt;0,0,I26))</f>
        <v>0</v>
      </c>
      <c r="L26" s="1833" t="s">
        <v>10</v>
      </c>
      <c r="M26" s="1834">
        <f>R.HN!D17</f>
        <v>0</v>
      </c>
      <c r="N26" s="1832">
        <f>(1*M26*36.5)/(1*10)</f>
        <v>0</v>
      </c>
      <c r="O26" s="1832">
        <f>($F$26-N26)*2605/32</f>
        <v>1017.578125</v>
      </c>
      <c r="P26" s="1833" t="s">
        <v>8</v>
      </c>
      <c r="Q26" s="1816">
        <f>IF(N26=0,0,IF(O26&lt;0,0,O26))</f>
        <v>0</v>
      </c>
      <c r="R26" s="1833" t="s">
        <v>10</v>
      </c>
      <c r="S26" s="1834">
        <f>R.HN!E17</f>
        <v>0</v>
      </c>
      <c r="T26" s="1832">
        <f>(1*S26*36.5)/(1*10)</f>
        <v>0</v>
      </c>
      <c r="U26" s="1832">
        <f>($F$26-T26)*2605/32</f>
        <v>1017.578125</v>
      </c>
      <c r="V26" s="1833" t="s">
        <v>8</v>
      </c>
      <c r="W26" s="1816">
        <f>IF(T26=0,0,IF(U26&lt;0,0,U26))</f>
        <v>0</v>
      </c>
      <c r="X26" s="1833" t="s">
        <v>10</v>
      </c>
      <c r="Y26" s="1834">
        <f>R.HN!F17</f>
        <v>0</v>
      </c>
      <c r="Z26" s="1832">
        <f>(1*Y26*36.5)/(1*10)</f>
        <v>0</v>
      </c>
      <c r="AA26" s="1832">
        <f>($F$26-Z26)*2605/32</f>
        <v>1017.578125</v>
      </c>
      <c r="AB26" s="1833" t="s">
        <v>8</v>
      </c>
      <c r="AC26" s="1816">
        <f>IF(Z26=0,0,IF(AA26&lt;0,0,AA26))</f>
        <v>0</v>
      </c>
      <c r="AD26" s="1833" t="s">
        <v>10</v>
      </c>
      <c r="AE26" s="1834">
        <f>R.HN!G17</f>
        <v>0</v>
      </c>
      <c r="AF26" s="1832">
        <f>(1*AE26*36.5)/(1*10)</f>
        <v>0</v>
      </c>
      <c r="AG26" s="1832">
        <f>($F$26-AF26)*2605/32</f>
        <v>1017.578125</v>
      </c>
      <c r="AH26" s="1833" t="s">
        <v>8</v>
      </c>
      <c r="AI26" s="1816">
        <f>IF(AF26=0,0,IF(AG26&lt;0,0,AG26))</f>
        <v>0</v>
      </c>
      <c r="AJ26" s="1833" t="s">
        <v>10</v>
      </c>
      <c r="AK26" s="1834">
        <f>R.HN!H17</f>
        <v>0</v>
      </c>
      <c r="AL26" s="1832">
        <f>(1*AK26*36.5)/(1*10)</f>
        <v>0</v>
      </c>
      <c r="AM26" s="1832">
        <f>($F$26-AL26)*2605/32</f>
        <v>1017.578125</v>
      </c>
      <c r="AN26" s="1833" t="s">
        <v>8</v>
      </c>
      <c r="AO26" s="1816">
        <f>IF(AL26=0,0,IF(AM26&lt;0,0,AM26))</f>
        <v>0</v>
      </c>
      <c r="AP26" s="304" t="s">
        <v>10</v>
      </c>
      <c r="AQ26" s="12" t="s">
        <v>486</v>
      </c>
      <c r="AS26" s="1252" t="s">
        <v>1082</v>
      </c>
    </row>
    <row r="27" spans="1:45" ht="30" customHeight="1">
      <c r="A27" s="1251" t="s">
        <v>1142</v>
      </c>
      <c r="B27" s="1255" t="s">
        <v>829</v>
      </c>
      <c r="C27" s="1267"/>
      <c r="D27" s="1256" t="s">
        <v>466</v>
      </c>
      <c r="E27" s="55" t="s">
        <v>1134</v>
      </c>
      <c r="F27" s="472">
        <v>50</v>
      </c>
      <c r="G27" s="458">
        <f>R.HN!C18</f>
        <v>0</v>
      </c>
      <c r="H27" s="1832">
        <f>G27*10</f>
        <v>0</v>
      </c>
      <c r="I27" s="1832">
        <f>($F$43-H27)*4935/1000</f>
        <v>246.75</v>
      </c>
      <c r="J27" s="1833" t="s">
        <v>8</v>
      </c>
      <c r="K27" s="1816">
        <f>IF(H27=0,0,IF(I27&lt;0,0,I27))</f>
        <v>0</v>
      </c>
      <c r="L27" s="1833" t="s">
        <v>9</v>
      </c>
      <c r="M27" s="1834">
        <f>R.HN!D18</f>
        <v>0</v>
      </c>
      <c r="N27" s="1832">
        <f>M27*10</f>
        <v>0</v>
      </c>
      <c r="O27" s="1832">
        <f>($F$43-N27)*4935/1000</f>
        <v>246.75</v>
      </c>
      <c r="P27" s="1833" t="s">
        <v>8</v>
      </c>
      <c r="Q27" s="1816">
        <f>IF(N27=0,0,IF(O27&lt;0,0,O27))</f>
        <v>0</v>
      </c>
      <c r="R27" s="1833" t="s">
        <v>9</v>
      </c>
      <c r="S27" s="1834">
        <f>R.HN!E18</f>
        <v>0</v>
      </c>
      <c r="T27" s="1832">
        <f>S27*10</f>
        <v>0</v>
      </c>
      <c r="U27" s="1832">
        <f>($F$43-T27)*4935/1000</f>
        <v>246.75</v>
      </c>
      <c r="V27" s="1833" t="s">
        <v>8</v>
      </c>
      <c r="W27" s="1816">
        <f>IF(T27=0,0,IF(U27&lt;0,0,U27))</f>
        <v>0</v>
      </c>
      <c r="X27" s="1833" t="s">
        <v>9</v>
      </c>
      <c r="Y27" s="1834">
        <f>R.HN!F18</f>
        <v>0</v>
      </c>
      <c r="Z27" s="1832">
        <f>Y27*10</f>
        <v>0</v>
      </c>
      <c r="AA27" s="1832">
        <f>($F$43-Z27)*4935/1000</f>
        <v>246.75</v>
      </c>
      <c r="AB27" s="1833" t="s">
        <v>8</v>
      </c>
      <c r="AC27" s="1816">
        <f>IF(Z27=0,0,IF(AA27&lt;0,0,AA27))</f>
        <v>0</v>
      </c>
      <c r="AD27" s="1833" t="s">
        <v>9</v>
      </c>
      <c r="AE27" s="1834">
        <f>R.HN!G18</f>
        <v>0</v>
      </c>
      <c r="AF27" s="1832">
        <f>AE27*10</f>
        <v>0</v>
      </c>
      <c r="AG27" s="1832">
        <f>($F$43-AF27)*4935/1000</f>
        <v>246.75</v>
      </c>
      <c r="AH27" s="1833" t="s">
        <v>8</v>
      </c>
      <c r="AI27" s="1816">
        <f>IF(AF27=0,0,IF(AG27&lt;0,0,AG27))</f>
        <v>0</v>
      </c>
      <c r="AJ27" s="1833" t="s">
        <v>9</v>
      </c>
      <c r="AK27" s="1834">
        <f>R.HN!H18</f>
        <v>0</v>
      </c>
      <c r="AL27" s="1832">
        <f>AK27*10</f>
        <v>0</v>
      </c>
      <c r="AM27" s="1832">
        <f>($F$43-AL27)*4935/1000</f>
        <v>246.75</v>
      </c>
      <c r="AN27" s="1833" t="s">
        <v>8</v>
      </c>
      <c r="AO27" s="1816">
        <f>IF(AL27=0,0,IF(AM27&lt;0,0,AM27))</f>
        <v>0</v>
      </c>
      <c r="AP27" s="304" t="s">
        <v>9</v>
      </c>
      <c r="AQ27" s="12" t="s">
        <v>486</v>
      </c>
      <c r="AS27" s="1252" t="s">
        <v>1084</v>
      </c>
    </row>
    <row r="28" spans="1:45" ht="30" customHeight="1">
      <c r="A28" s="1251" t="s">
        <v>1143</v>
      </c>
      <c r="B28" s="1257" t="s">
        <v>830</v>
      </c>
      <c r="C28" s="1268"/>
      <c r="D28" s="1256" t="s">
        <v>466</v>
      </c>
      <c r="E28" s="55" t="s">
        <v>1135</v>
      </c>
      <c r="F28" s="458">
        <v>6.5</v>
      </c>
      <c r="G28" s="458">
        <f>R.HN!C19</f>
        <v>0</v>
      </c>
      <c r="H28" s="1832">
        <f>IFERROR(H27/G28,0)</f>
        <v>0</v>
      </c>
      <c r="I28" s="1832">
        <f>($F$44-H28)*4935/1000</f>
        <v>32.077500000000001</v>
      </c>
      <c r="J28" s="1833"/>
      <c r="K28" s="1816">
        <f>IF(H28=0,0,IF(I28&lt;0,0,I28))</f>
        <v>0</v>
      </c>
      <c r="L28" s="1833" t="s">
        <v>9</v>
      </c>
      <c r="M28" s="1835">
        <f>R.HN!D19</f>
        <v>0</v>
      </c>
      <c r="N28" s="1832">
        <f>IFERROR(N27/M28,0)</f>
        <v>0</v>
      </c>
      <c r="O28" s="1832">
        <f>($F$44-N28)*4935/1000</f>
        <v>32.077500000000001</v>
      </c>
      <c r="P28" s="1833"/>
      <c r="Q28" s="1816">
        <f>IF(N28=0,0,IF(O28&lt;0,0,O28))</f>
        <v>0</v>
      </c>
      <c r="R28" s="1833" t="s">
        <v>9</v>
      </c>
      <c r="S28" s="1836">
        <f>R.HN!E19</f>
        <v>0</v>
      </c>
      <c r="T28" s="1832">
        <f>IFERROR(T27/S28,0)</f>
        <v>0</v>
      </c>
      <c r="U28" s="1832">
        <f>($F$44-T28)*4935/1000</f>
        <v>32.077500000000001</v>
      </c>
      <c r="V28" s="1833"/>
      <c r="W28" s="1816">
        <f>IF(T28=0,0,IF(U28&lt;0,0,U28))</f>
        <v>0</v>
      </c>
      <c r="X28" s="1833" t="s">
        <v>9</v>
      </c>
      <c r="Y28" s="1836">
        <f>R.HN!F19</f>
        <v>0</v>
      </c>
      <c r="Z28" s="1832">
        <f>IFERROR(Z27/Y28,0)</f>
        <v>0</v>
      </c>
      <c r="AA28" s="1832">
        <f>($F$44-Z28)*4935/1000</f>
        <v>32.077500000000001</v>
      </c>
      <c r="AB28" s="1833"/>
      <c r="AC28" s="1816">
        <f>IF(Z28=0,0,IF(AA28&lt;0,0,AA28))</f>
        <v>0</v>
      </c>
      <c r="AD28" s="1833" t="s">
        <v>9</v>
      </c>
      <c r="AE28" s="1834">
        <f>R.HN!G19</f>
        <v>0</v>
      </c>
      <c r="AF28" s="1832">
        <f>IFERROR(AF27/AE28,0)</f>
        <v>0</v>
      </c>
      <c r="AG28" s="1832">
        <f>($F$44-AF28)*4935/1000</f>
        <v>32.077500000000001</v>
      </c>
      <c r="AH28" s="1833"/>
      <c r="AI28" s="1816">
        <f>IF(AF28=0,0,IF(AG28&lt;0,0,AG28))</f>
        <v>0</v>
      </c>
      <c r="AJ28" s="1833" t="s">
        <v>9</v>
      </c>
      <c r="AK28" s="1834">
        <f>R.HN!H19</f>
        <v>0</v>
      </c>
      <c r="AL28" s="1832">
        <f>IFERROR(AL27/AK28,0)</f>
        <v>0</v>
      </c>
      <c r="AM28" s="1832">
        <f>($F$44-AL28)*4935/1000</f>
        <v>32.077500000000001</v>
      </c>
      <c r="AN28" s="1833"/>
      <c r="AO28" s="1816">
        <f>IF(AL28=0,0,IF(AM28&lt;0,0,AM28))</f>
        <v>0</v>
      </c>
      <c r="AP28" s="304" t="s">
        <v>9</v>
      </c>
      <c r="AQ28" s="12" t="s">
        <v>486</v>
      </c>
      <c r="AS28" s="1252" t="s">
        <v>1085</v>
      </c>
    </row>
    <row r="29" spans="1:45" ht="30" customHeight="1">
      <c r="A29" s="1251" t="s">
        <v>1144</v>
      </c>
      <c r="B29" s="1258" t="s">
        <v>831</v>
      </c>
      <c r="C29" s="1269"/>
      <c r="D29" s="1256" t="s">
        <v>466</v>
      </c>
      <c r="E29" s="55" t="s">
        <v>1136</v>
      </c>
      <c r="F29" s="475">
        <v>0.4</v>
      </c>
      <c r="G29" s="458">
        <f>R.HN!C20</f>
        <v>0</v>
      </c>
      <c r="H29" s="1827">
        <f>G29</f>
        <v>0</v>
      </c>
      <c r="I29" s="1827"/>
      <c r="J29" s="1828"/>
      <c r="K29" s="1829"/>
      <c r="L29" s="1828"/>
      <c r="M29" s="1829">
        <f>R.HN!D20</f>
        <v>0</v>
      </c>
      <c r="N29" s="1827">
        <f>M29</f>
        <v>0</v>
      </c>
      <c r="O29" s="1827"/>
      <c r="P29" s="1828"/>
      <c r="Q29" s="1829"/>
      <c r="R29" s="1828"/>
      <c r="S29" s="1829">
        <f>R.HN!E20</f>
        <v>0</v>
      </c>
      <c r="T29" s="1827">
        <f>S29</f>
        <v>0</v>
      </c>
      <c r="U29" s="1827"/>
      <c r="V29" s="1828"/>
      <c r="W29" s="1829"/>
      <c r="X29" s="1828"/>
      <c r="Y29" s="1829">
        <f>R.HN!F20</f>
        <v>0</v>
      </c>
      <c r="Z29" s="1827">
        <f>Y29</f>
        <v>0</v>
      </c>
      <c r="AA29" s="1827"/>
      <c r="AB29" s="1828"/>
      <c r="AC29" s="1829"/>
      <c r="AD29" s="1828"/>
      <c r="AE29" s="1829">
        <f>R.HN!G20</f>
        <v>0</v>
      </c>
      <c r="AF29" s="1827">
        <f>AE29</f>
        <v>0</v>
      </c>
      <c r="AG29" s="1827"/>
      <c r="AH29" s="1828"/>
      <c r="AI29" s="1829"/>
      <c r="AJ29" s="1828"/>
      <c r="AK29" s="1829">
        <f>R.HN!H20</f>
        <v>0</v>
      </c>
      <c r="AL29" s="1827">
        <f>AK29</f>
        <v>0</v>
      </c>
      <c r="AM29" s="338"/>
      <c r="AN29" s="335"/>
      <c r="AO29" s="1829"/>
      <c r="AP29" s="304"/>
      <c r="AQ29" s="12" t="s">
        <v>486</v>
      </c>
      <c r="AS29" s="1252" t="s">
        <v>1086</v>
      </c>
    </row>
    <row r="30" spans="1:45" ht="30" customHeight="1">
      <c r="A30" s="1251" t="s">
        <v>1145</v>
      </c>
      <c r="B30" s="1259" t="s">
        <v>475</v>
      </c>
      <c r="C30" s="1260"/>
      <c r="D30" s="1209" t="s">
        <v>466</v>
      </c>
      <c r="E30" s="55" t="s">
        <v>476</v>
      </c>
      <c r="F30" s="462">
        <v>1</v>
      </c>
      <c r="G30" s="458">
        <f>R.HN!C21</f>
        <v>0</v>
      </c>
      <c r="H30" s="1832">
        <f>G30</f>
        <v>0</v>
      </c>
      <c r="I30" s="1832">
        <f>($F$30-H30)*1234/1000</f>
        <v>1.234</v>
      </c>
      <c r="J30" s="1833" t="s">
        <v>8</v>
      </c>
      <c r="K30" s="1815">
        <f>IF(H30=0,0,IF(I30&lt;0,0,I30))</f>
        <v>0</v>
      </c>
      <c r="L30" s="1833" t="s">
        <v>9</v>
      </c>
      <c r="M30" s="1834">
        <f>R.HN!D21</f>
        <v>0</v>
      </c>
      <c r="N30" s="1832">
        <f>M30</f>
        <v>0</v>
      </c>
      <c r="O30" s="1832">
        <f>($F$30-N30)*1234/1000</f>
        <v>1.234</v>
      </c>
      <c r="P30" s="1833" t="s">
        <v>8</v>
      </c>
      <c r="Q30" s="1815">
        <f>IF(N30=0,0,IF(O30&lt;0,0,O30))</f>
        <v>0</v>
      </c>
      <c r="R30" s="1833" t="s">
        <v>9</v>
      </c>
      <c r="S30" s="1834">
        <f>R.HN!E21</f>
        <v>0</v>
      </c>
      <c r="T30" s="1832">
        <f>S30</f>
        <v>0</v>
      </c>
      <c r="U30" s="1832">
        <f>($F$30-T30)*1234/1000</f>
        <v>1.234</v>
      </c>
      <c r="V30" s="1833" t="s">
        <v>8</v>
      </c>
      <c r="W30" s="1815">
        <f>IF(T30=0,0,IF(U30&lt;0,0,U30))</f>
        <v>0</v>
      </c>
      <c r="X30" s="1833" t="s">
        <v>9</v>
      </c>
      <c r="Y30" s="1834">
        <f>R.HN!F21</f>
        <v>0</v>
      </c>
      <c r="Z30" s="1832">
        <f>Y30</f>
        <v>0</v>
      </c>
      <c r="AA30" s="1832">
        <f>($F$30-Z30)*1234/1000</f>
        <v>1.234</v>
      </c>
      <c r="AB30" s="1833" t="s">
        <v>8</v>
      </c>
      <c r="AC30" s="1815">
        <f>IF(Z30=0,0,IF(AA30&lt;0,0,AA30))</f>
        <v>0</v>
      </c>
      <c r="AD30" s="1833" t="s">
        <v>9</v>
      </c>
      <c r="AE30" s="1834">
        <f>R.HN!G21</f>
        <v>0</v>
      </c>
      <c r="AF30" s="1832">
        <f>AE30</f>
        <v>0</v>
      </c>
      <c r="AG30" s="1832">
        <f>($F$30-AF30)*1234/1000</f>
        <v>1.234</v>
      </c>
      <c r="AH30" s="1833" t="s">
        <v>8</v>
      </c>
      <c r="AI30" s="1815">
        <f>IF(AF30=0,0,IF(AG30&lt;0,0,AG30))</f>
        <v>0</v>
      </c>
      <c r="AJ30" s="1833" t="s">
        <v>9</v>
      </c>
      <c r="AK30" s="1834">
        <f>R.HN!H21</f>
        <v>0</v>
      </c>
      <c r="AL30" s="1832">
        <f>AK30</f>
        <v>0</v>
      </c>
      <c r="AM30" s="1832">
        <f>($F$30-AL30)*1234/1000</f>
        <v>1.234</v>
      </c>
      <c r="AN30" s="1833" t="s">
        <v>8</v>
      </c>
      <c r="AO30" s="1815">
        <f>IF(AL30=0,0,IF(AM30&lt;0,0,AM30))</f>
        <v>0</v>
      </c>
      <c r="AP30" s="1832" t="s">
        <v>9</v>
      </c>
      <c r="AQ30" s="12" t="s">
        <v>486</v>
      </c>
    </row>
    <row r="31" spans="1:45" ht="30" customHeight="1">
      <c r="A31" s="1251" t="s">
        <v>1146</v>
      </c>
      <c r="B31" s="1261" t="s">
        <v>5</v>
      </c>
      <c r="C31" s="1262"/>
      <c r="D31" s="1209" t="s">
        <v>5</v>
      </c>
      <c r="E31" s="55" t="s">
        <v>478</v>
      </c>
      <c r="F31" s="464">
        <v>9.5</v>
      </c>
      <c r="G31" s="458">
        <f>R.HN!C22</f>
        <v>0</v>
      </c>
      <c r="H31" s="1832">
        <f>G31</f>
        <v>0</v>
      </c>
      <c r="I31" s="1832"/>
      <c r="J31" s="1833"/>
      <c r="K31" s="1834"/>
      <c r="L31" s="1833"/>
      <c r="M31" s="1834">
        <f>R.HN!D22</f>
        <v>0</v>
      </c>
      <c r="N31" s="1832">
        <f>M31</f>
        <v>0</v>
      </c>
      <c r="O31" s="1832"/>
      <c r="P31" s="1833"/>
      <c r="Q31" s="1834"/>
      <c r="R31" s="1833"/>
      <c r="S31" s="1834">
        <f>R.HN!E22</f>
        <v>0</v>
      </c>
      <c r="T31" s="1832">
        <f>S31</f>
        <v>0</v>
      </c>
      <c r="U31" s="1832"/>
      <c r="V31" s="1833"/>
      <c r="W31" s="1834"/>
      <c r="X31" s="1833"/>
      <c r="Y31" s="1834">
        <f>R.HN!F22</f>
        <v>0</v>
      </c>
      <c r="Z31" s="1832">
        <f>Y31</f>
        <v>0</v>
      </c>
      <c r="AA31" s="1832"/>
      <c r="AB31" s="1833"/>
      <c r="AC31" s="1834"/>
      <c r="AD31" s="1833"/>
      <c r="AE31" s="1834">
        <f>R.HN!G22</f>
        <v>0</v>
      </c>
      <c r="AF31" s="1832">
        <f>AE31</f>
        <v>0</v>
      </c>
      <c r="AG31" s="1832"/>
      <c r="AH31" s="1833"/>
      <c r="AI31" s="1834"/>
      <c r="AJ31" s="1833"/>
      <c r="AK31" s="1834">
        <f>R.HN!H22</f>
        <v>0</v>
      </c>
      <c r="AL31" s="1832">
        <f>AK31</f>
        <v>0</v>
      </c>
      <c r="AM31" s="1832"/>
      <c r="AN31" s="1833"/>
      <c r="AO31" s="1834"/>
      <c r="AP31" s="1832"/>
      <c r="AQ31" s="12" t="s">
        <v>486</v>
      </c>
    </row>
    <row r="32" spans="1:45" ht="33" customHeight="1">
      <c r="A32" s="1263" t="s">
        <v>76</v>
      </c>
      <c r="B32" s="342"/>
      <c r="C32" s="342"/>
      <c r="D32" s="342"/>
      <c r="E32" s="332"/>
      <c r="F32" s="342"/>
      <c r="G32" s="342"/>
      <c r="H32" s="342"/>
      <c r="I32" s="342"/>
      <c r="J32" s="342"/>
      <c r="K32" s="342"/>
      <c r="L32" s="342"/>
      <c r="M32" s="342"/>
      <c r="N32" s="348"/>
      <c r="O32" s="342"/>
      <c r="P32" s="342"/>
      <c r="Q32" s="342"/>
      <c r="R32" s="348"/>
      <c r="S32" s="342"/>
      <c r="T32" s="348"/>
      <c r="U32" s="342"/>
      <c r="V32" s="342"/>
      <c r="W32" s="342"/>
      <c r="X32" s="342"/>
      <c r="Y32" s="342"/>
      <c r="Z32" s="342"/>
      <c r="AA32" s="342"/>
      <c r="AB32" s="342"/>
      <c r="AC32" s="342"/>
      <c r="AD32" s="342"/>
      <c r="AE32" s="348"/>
      <c r="AF32" s="348"/>
      <c r="AG32" s="348"/>
      <c r="AH32" s="348"/>
      <c r="AI32" s="348"/>
      <c r="AJ32" s="348"/>
      <c r="AK32" s="348"/>
      <c r="AL32" s="348"/>
      <c r="AM32" s="348"/>
      <c r="AN32" s="348"/>
      <c r="AO32" s="348"/>
      <c r="AP32" s="1264"/>
    </row>
    <row r="33" spans="1:45" ht="33.75" customHeight="1">
      <c r="A33" s="54" t="s">
        <v>267</v>
      </c>
      <c r="B33" s="2193" t="s">
        <v>64</v>
      </c>
      <c r="C33" s="2195"/>
      <c r="D33" s="310" t="s">
        <v>66</v>
      </c>
      <c r="E33" s="310" t="s">
        <v>67</v>
      </c>
      <c r="F33" s="465"/>
      <c r="G33" s="465"/>
      <c r="H33" s="343" t="s">
        <v>48</v>
      </c>
      <c r="I33" s="344"/>
      <c r="J33" s="344"/>
      <c r="K33" s="343" t="s">
        <v>65</v>
      </c>
      <c r="L33" s="345"/>
      <c r="M33" s="310"/>
      <c r="N33" s="343" t="s">
        <v>48</v>
      </c>
      <c r="O33" s="344"/>
      <c r="P33" s="344"/>
      <c r="Q33" s="343" t="s">
        <v>65</v>
      </c>
      <c r="R33" s="345"/>
      <c r="S33" s="1265"/>
      <c r="T33" s="343" t="s">
        <v>48</v>
      </c>
      <c r="U33" s="344"/>
      <c r="V33" s="344"/>
      <c r="W33" s="343" t="s">
        <v>65</v>
      </c>
      <c r="X33" s="345"/>
      <c r="Y33" s="1266"/>
      <c r="Z33" s="343" t="s">
        <v>48</v>
      </c>
      <c r="AA33" s="344"/>
      <c r="AB33" s="344"/>
      <c r="AC33" s="343" t="s">
        <v>65</v>
      </c>
      <c r="AD33" s="345"/>
      <c r="AE33" s="1266"/>
      <c r="AF33" s="343" t="s">
        <v>48</v>
      </c>
      <c r="AG33" s="344"/>
      <c r="AH33" s="344"/>
      <c r="AI33" s="343" t="s">
        <v>65</v>
      </c>
      <c r="AJ33" s="345"/>
      <c r="AK33" s="1266"/>
      <c r="AL33" s="343" t="s">
        <v>48</v>
      </c>
      <c r="AM33" s="344"/>
      <c r="AN33" s="344"/>
      <c r="AO33" s="343" t="s">
        <v>65</v>
      </c>
      <c r="AP33" s="345"/>
    </row>
    <row r="34" spans="1:45" ht="30" customHeight="1">
      <c r="A34" s="1251" t="s">
        <v>1147</v>
      </c>
      <c r="B34" s="2193" t="s">
        <v>489</v>
      </c>
      <c r="C34" s="2195"/>
      <c r="D34" s="274" t="s">
        <v>214</v>
      </c>
      <c r="E34" s="55" t="s">
        <v>1148</v>
      </c>
      <c r="F34" s="466"/>
      <c r="G34" s="466"/>
      <c r="H34" s="2676">
        <f>'R.FILE GOC'!H34</f>
        <v>0</v>
      </c>
      <c r="I34" s="2677"/>
      <c r="J34" s="2677"/>
      <c r="K34" s="2676">
        <f>'R.FILE GOC'!K34</f>
        <v>0</v>
      </c>
      <c r="L34" s="2677"/>
      <c r="M34" s="1825"/>
      <c r="N34" s="2676">
        <f>'R.FILE GOC'!N34</f>
        <v>0</v>
      </c>
      <c r="O34" s="2677"/>
      <c r="P34" s="2677"/>
      <c r="Q34" s="2676">
        <f>'R.FILE GOC'!Q34</f>
        <v>0</v>
      </c>
      <c r="R34" s="2677"/>
      <c r="S34" s="1825"/>
      <c r="T34" s="2676">
        <f>'R.FILE GOC'!T34</f>
        <v>0</v>
      </c>
      <c r="U34" s="2677"/>
      <c r="V34" s="2677"/>
      <c r="W34" s="2676">
        <f>'R.FILE GOC'!W34</f>
        <v>0</v>
      </c>
      <c r="X34" s="2677"/>
      <c r="Y34" s="1825"/>
      <c r="Z34" s="2676">
        <f>'R.FILE GOC'!Z34</f>
        <v>0</v>
      </c>
      <c r="AA34" s="2677"/>
      <c r="AB34" s="2677"/>
      <c r="AC34" s="2676">
        <f>'R.FILE GOC'!AC34</f>
        <v>0</v>
      </c>
      <c r="AD34" s="2677"/>
      <c r="AE34" s="1825"/>
      <c r="AF34" s="2676">
        <f>'R.FILE GOC'!AF34</f>
        <v>0</v>
      </c>
      <c r="AG34" s="2677"/>
      <c r="AH34" s="2677"/>
      <c r="AI34" s="2676">
        <f>'R.FILE GOC'!AI34</f>
        <v>0</v>
      </c>
      <c r="AJ34" s="2677"/>
      <c r="AK34" s="1825"/>
      <c r="AL34" s="2676">
        <f>'R.FILE GOC'!AL34</f>
        <v>0</v>
      </c>
      <c r="AM34" s="2677"/>
      <c r="AN34" s="2677"/>
      <c r="AO34" s="2678">
        <f>'R.FILE GOC'!AO34</f>
        <v>0</v>
      </c>
      <c r="AP34" s="2678"/>
      <c r="AQ34" s="12" t="s">
        <v>486</v>
      </c>
    </row>
    <row r="35" spans="1:45" ht="30" customHeight="1">
      <c r="A35" s="1251" t="s">
        <v>1149</v>
      </c>
      <c r="B35" s="2193" t="s">
        <v>775</v>
      </c>
      <c r="C35" s="2195"/>
      <c r="D35" s="274" t="s">
        <v>214</v>
      </c>
      <c r="E35" s="55" t="s">
        <v>1137</v>
      </c>
      <c r="F35" s="466"/>
      <c r="G35" s="466"/>
      <c r="H35" s="2676">
        <f>'R.FILE GOC'!H35</f>
        <v>0</v>
      </c>
      <c r="I35" s="2677"/>
      <c r="J35" s="2677"/>
      <c r="K35" s="2676">
        <f>'R.FILE GOC'!K35</f>
        <v>0</v>
      </c>
      <c r="L35" s="2677"/>
      <c r="M35" s="1825"/>
      <c r="N35" s="2676">
        <f>'R.FILE GOC'!N35</f>
        <v>0</v>
      </c>
      <c r="O35" s="2677"/>
      <c r="P35" s="2677"/>
      <c r="Q35" s="2676">
        <f>'R.FILE GOC'!Q35</f>
        <v>0</v>
      </c>
      <c r="R35" s="2677"/>
      <c r="S35" s="1825"/>
      <c r="T35" s="2676">
        <f>'R.FILE GOC'!T35</f>
        <v>0</v>
      </c>
      <c r="U35" s="2677"/>
      <c r="V35" s="2677"/>
      <c r="W35" s="2676">
        <f>'R.FILE GOC'!W35</f>
        <v>0</v>
      </c>
      <c r="X35" s="2677"/>
      <c r="Y35" s="1825"/>
      <c r="Z35" s="2676">
        <f>'R.FILE GOC'!Z35</f>
        <v>0</v>
      </c>
      <c r="AA35" s="2677"/>
      <c r="AB35" s="2677"/>
      <c r="AC35" s="2676">
        <f>'R.FILE GOC'!AC35</f>
        <v>0</v>
      </c>
      <c r="AD35" s="2677"/>
      <c r="AE35" s="1825"/>
      <c r="AF35" s="2676">
        <f>'R.FILE GOC'!AF35</f>
        <v>0</v>
      </c>
      <c r="AG35" s="2677"/>
      <c r="AH35" s="2677"/>
      <c r="AI35" s="2676">
        <f>'R.FILE GOC'!AI35</f>
        <v>0</v>
      </c>
      <c r="AJ35" s="2677"/>
      <c r="AK35" s="1825"/>
      <c r="AL35" s="2676">
        <f>'R.FILE GOC'!AL35</f>
        <v>0</v>
      </c>
      <c r="AM35" s="2677"/>
      <c r="AN35" s="2677"/>
      <c r="AO35" s="2678">
        <f>'R.FILE GOC'!AO35</f>
        <v>0</v>
      </c>
      <c r="AP35" s="2678"/>
      <c r="AQ35" s="12" t="s">
        <v>486</v>
      </c>
    </row>
    <row r="36" spans="1:45" ht="30" customHeight="1">
      <c r="A36" s="1251" t="s">
        <v>1150</v>
      </c>
      <c r="B36" s="2193" t="s">
        <v>776</v>
      </c>
      <c r="C36" s="2195"/>
      <c r="D36" s="274" t="s">
        <v>214</v>
      </c>
      <c r="E36" s="55" t="s">
        <v>1138</v>
      </c>
      <c r="F36" s="476"/>
      <c r="G36" s="476"/>
      <c r="H36" s="2676">
        <f>'R.FILE GOC'!H36</f>
        <v>0</v>
      </c>
      <c r="I36" s="2677"/>
      <c r="J36" s="2677"/>
      <c r="K36" s="2676">
        <f>'R.FILE GOC'!K36</f>
        <v>0</v>
      </c>
      <c r="L36" s="2677"/>
      <c r="M36" s="1825"/>
      <c r="N36" s="2676">
        <f>'R.FILE GOC'!N36</f>
        <v>0</v>
      </c>
      <c r="O36" s="2677"/>
      <c r="P36" s="2677"/>
      <c r="Q36" s="2676">
        <f>'R.FILE GOC'!Q36</f>
        <v>0</v>
      </c>
      <c r="R36" s="2677"/>
      <c r="S36" s="1825"/>
      <c r="T36" s="2676">
        <f>'R.FILE GOC'!T36</f>
        <v>0</v>
      </c>
      <c r="U36" s="2677"/>
      <c r="V36" s="2677"/>
      <c r="W36" s="2676">
        <f>'R.FILE GOC'!W36</f>
        <v>0</v>
      </c>
      <c r="X36" s="2677"/>
      <c r="Y36" s="1825"/>
      <c r="Z36" s="2676">
        <f>'R.FILE GOC'!Z36</f>
        <v>0</v>
      </c>
      <c r="AA36" s="2677"/>
      <c r="AB36" s="2677"/>
      <c r="AC36" s="2676">
        <f>'R.FILE GOC'!AC36</f>
        <v>0</v>
      </c>
      <c r="AD36" s="2677"/>
      <c r="AE36" s="1825"/>
      <c r="AF36" s="2676">
        <f>'R.FILE GOC'!AF36</f>
        <v>0</v>
      </c>
      <c r="AG36" s="2677"/>
      <c r="AH36" s="2677"/>
      <c r="AI36" s="2676">
        <f>'R.FILE GOC'!AI36</f>
        <v>0</v>
      </c>
      <c r="AJ36" s="2677"/>
      <c r="AK36" s="1825"/>
      <c r="AL36" s="2676">
        <f>'R.FILE GOC'!AL36</f>
        <v>0</v>
      </c>
      <c r="AM36" s="2677"/>
      <c r="AN36" s="2677"/>
      <c r="AO36" s="2678">
        <f>'R.FILE GOC'!AO36</f>
        <v>0</v>
      </c>
      <c r="AP36" s="2678"/>
      <c r="AQ36" s="12" t="s">
        <v>486</v>
      </c>
    </row>
    <row r="37" spans="1:45" ht="25.5" customHeight="1">
      <c r="A37" s="477"/>
      <c r="B37" s="477"/>
      <c r="C37" s="477"/>
      <c r="D37" s="477"/>
      <c r="E37" s="477"/>
      <c r="F37" s="477"/>
      <c r="G37" s="477"/>
      <c r="H37" s="477"/>
      <c r="I37" s="477"/>
      <c r="J37" s="477"/>
      <c r="K37" s="477"/>
      <c r="L37" s="477"/>
      <c r="M37" s="477"/>
      <c r="N37" s="477"/>
      <c r="O37" s="477"/>
      <c r="P37" s="477"/>
      <c r="Q37" s="477"/>
      <c r="R37" s="477"/>
      <c r="S37" s="477"/>
      <c r="T37" s="477"/>
      <c r="U37" s="477"/>
      <c r="V37" s="477"/>
      <c r="W37" s="477"/>
      <c r="X37" s="477"/>
      <c r="Y37" s="477"/>
      <c r="Z37" s="477"/>
      <c r="AA37" s="477"/>
      <c r="AB37" s="477"/>
      <c r="AC37" s="477"/>
      <c r="AD37" s="477"/>
      <c r="AP37" s="12"/>
    </row>
    <row r="38" spans="1:45" ht="41.25" customHeight="1">
      <c r="A38" s="1242" t="s">
        <v>1151</v>
      </c>
      <c r="B38" s="1243"/>
      <c r="C38" s="1244"/>
      <c r="D38" s="1244"/>
      <c r="E38" s="1245"/>
      <c r="F38" s="1246" t="s">
        <v>75</v>
      </c>
      <c r="G38" s="1247"/>
      <c r="H38" s="837" t="s">
        <v>75</v>
      </c>
      <c r="I38" s="837"/>
      <c r="J38" s="837"/>
      <c r="K38" s="837"/>
      <c r="L38" s="837"/>
      <c r="M38" s="837"/>
      <c r="N38" s="837"/>
      <c r="O38" s="837"/>
      <c r="P38" s="837"/>
      <c r="Q38" s="837"/>
      <c r="R38" s="837"/>
      <c r="S38" s="837"/>
      <c r="T38" s="837"/>
      <c r="U38" s="837"/>
      <c r="V38" s="837"/>
      <c r="W38" s="837"/>
      <c r="X38" s="837"/>
      <c r="Y38" s="837"/>
      <c r="Z38" s="837"/>
      <c r="AA38" s="837"/>
      <c r="AB38" s="837"/>
      <c r="AC38" s="837"/>
      <c r="AD38" s="837"/>
      <c r="AE38" s="837"/>
      <c r="AF38" s="837"/>
      <c r="AG38" s="837"/>
      <c r="AH38" s="837"/>
      <c r="AI38" s="837"/>
      <c r="AJ38" s="837"/>
      <c r="AK38" s="837"/>
      <c r="AL38" s="837"/>
      <c r="AM38" s="837"/>
      <c r="AN38" s="837"/>
      <c r="AO38" s="837"/>
      <c r="AP38" s="837"/>
    </row>
    <row r="39" spans="1:45" ht="31.5" customHeight="1">
      <c r="A39" s="450"/>
      <c r="B39" s="2681" t="s">
        <v>79</v>
      </c>
      <c r="C39" s="2682"/>
      <c r="D39" s="2097" t="s">
        <v>136</v>
      </c>
      <c r="E39" s="2686" t="s">
        <v>67</v>
      </c>
      <c r="F39" s="469"/>
      <c r="G39" s="470"/>
      <c r="H39" s="2689" t="s">
        <v>456</v>
      </c>
      <c r="I39" s="2689"/>
      <c r="J39" s="2689"/>
      <c r="K39" s="2689"/>
      <c r="L39" s="2689"/>
      <c r="M39" s="453"/>
      <c r="N39" s="2688" t="s">
        <v>419</v>
      </c>
      <c r="O39" s="2688"/>
      <c r="P39" s="2688"/>
      <c r="Q39" s="2688"/>
      <c r="R39" s="2688"/>
      <c r="S39" s="453"/>
      <c r="T39" s="2689" t="s">
        <v>420</v>
      </c>
      <c r="U39" s="2689"/>
      <c r="V39" s="2689"/>
      <c r="W39" s="2689"/>
      <c r="X39" s="2689"/>
      <c r="Y39" s="453"/>
      <c r="Z39" s="2689" t="s">
        <v>421</v>
      </c>
      <c r="AA39" s="2689"/>
      <c r="AB39" s="2689"/>
      <c r="AC39" s="2689"/>
      <c r="AD39" s="2689"/>
      <c r="AE39" s="453"/>
      <c r="AF39" s="2689" t="s">
        <v>422</v>
      </c>
      <c r="AG39" s="2689"/>
      <c r="AH39" s="2689"/>
      <c r="AI39" s="2689"/>
      <c r="AJ39" s="2689"/>
      <c r="AK39" s="453"/>
      <c r="AL39" s="2689" t="s">
        <v>423</v>
      </c>
      <c r="AM39" s="2689"/>
      <c r="AN39" s="2689"/>
      <c r="AO39" s="2689"/>
      <c r="AP39" s="2689"/>
    </row>
    <row r="40" spans="1:45" ht="31.5" customHeight="1">
      <c r="A40" s="494" t="s">
        <v>267</v>
      </c>
      <c r="B40" s="2683"/>
      <c r="C40" s="2684"/>
      <c r="D40" s="2685"/>
      <c r="E40" s="2687"/>
      <c r="F40" s="455" t="s">
        <v>457</v>
      </c>
      <c r="G40" s="456"/>
      <c r="H40" s="1207" t="s">
        <v>774</v>
      </c>
      <c r="I40" s="331" t="s">
        <v>1</v>
      </c>
      <c r="J40" s="2692" t="s">
        <v>1</v>
      </c>
      <c r="K40" s="2692"/>
      <c r="L40" s="2693"/>
      <c r="M40" s="1249"/>
      <c r="N40" s="1207" t="s">
        <v>774</v>
      </c>
      <c r="O40" s="331" t="s">
        <v>1</v>
      </c>
      <c r="P40" s="2692" t="s">
        <v>1</v>
      </c>
      <c r="Q40" s="2692"/>
      <c r="R40" s="2693"/>
      <c r="S40" s="456"/>
      <c r="T40" s="1207" t="s">
        <v>774</v>
      </c>
      <c r="U40" s="331" t="s">
        <v>1</v>
      </c>
      <c r="V40" s="2692" t="s">
        <v>1</v>
      </c>
      <c r="W40" s="2692"/>
      <c r="X40" s="2693"/>
      <c r="Y40" s="1249"/>
      <c r="Z40" s="1207" t="s">
        <v>774</v>
      </c>
      <c r="AA40" s="331" t="s">
        <v>1</v>
      </c>
      <c r="AB40" s="2690" t="s">
        <v>1</v>
      </c>
      <c r="AC40" s="2690"/>
      <c r="AD40" s="2690"/>
      <c r="AE40" s="456"/>
      <c r="AF40" s="1207" t="s">
        <v>774</v>
      </c>
      <c r="AG40" s="331" t="s">
        <v>1</v>
      </c>
      <c r="AH40" s="2692" t="s">
        <v>1</v>
      </c>
      <c r="AI40" s="2692"/>
      <c r="AJ40" s="2693"/>
      <c r="AK40" s="1249"/>
      <c r="AL40" s="1207" t="s">
        <v>774</v>
      </c>
      <c r="AM40" s="331" t="s">
        <v>1</v>
      </c>
      <c r="AN40" s="2690" t="s">
        <v>1</v>
      </c>
      <c r="AO40" s="2690"/>
      <c r="AP40" s="2690"/>
      <c r="AS40" s="1250" t="s">
        <v>1152</v>
      </c>
    </row>
    <row r="41" spans="1:45" ht="31.5" customHeight="1">
      <c r="A41" s="1251" t="s">
        <v>1153</v>
      </c>
      <c r="B41" s="2199" t="s">
        <v>484</v>
      </c>
      <c r="C41" s="2201"/>
      <c r="D41" s="471" t="s">
        <v>466</v>
      </c>
      <c r="E41" s="55" t="s">
        <v>485</v>
      </c>
      <c r="F41" s="461">
        <v>40</v>
      </c>
      <c r="G41" s="458">
        <f>R.HN!C25</f>
        <v>0</v>
      </c>
      <c r="H41" s="1832">
        <f>G41*10</f>
        <v>0</v>
      </c>
      <c r="I41" s="1832">
        <f>($F$25-H41)*2330/1000</f>
        <v>93.2</v>
      </c>
      <c r="J41" s="1833" t="s">
        <v>8</v>
      </c>
      <c r="K41" s="1816">
        <f>IF(H41=0,0,IF(I41&lt;0,0,I41))</f>
        <v>0</v>
      </c>
      <c r="L41" s="1833" t="s">
        <v>9</v>
      </c>
      <c r="M41" s="1834">
        <f>R.HN!D25</f>
        <v>0</v>
      </c>
      <c r="N41" s="1832">
        <f>M41*10</f>
        <v>0</v>
      </c>
      <c r="O41" s="1832">
        <f>($F$25-N41)*2330/1000</f>
        <v>93.2</v>
      </c>
      <c r="P41" s="1833" t="s">
        <v>8</v>
      </c>
      <c r="Q41" s="1816">
        <f>IF(N41=0,0,IF(O41&lt;0,0,O41))</f>
        <v>0</v>
      </c>
      <c r="R41" s="1833" t="s">
        <v>9</v>
      </c>
      <c r="S41" s="1834">
        <f>R.HN!E25</f>
        <v>0</v>
      </c>
      <c r="T41" s="1832">
        <f>S41*10</f>
        <v>0</v>
      </c>
      <c r="U41" s="1832">
        <f>($F$25-T41)*2330/1000</f>
        <v>93.2</v>
      </c>
      <c r="V41" s="1833" t="s">
        <v>8</v>
      </c>
      <c r="W41" s="1816">
        <f>IF(T41=0,0,IF(U41&lt;0,0,U41))</f>
        <v>0</v>
      </c>
      <c r="X41" s="1833" t="s">
        <v>9</v>
      </c>
      <c r="Y41" s="1834">
        <f>R.HN!F25</f>
        <v>0</v>
      </c>
      <c r="Z41" s="1832">
        <f>Y41*10</f>
        <v>0</v>
      </c>
      <c r="AA41" s="1832">
        <f>($F$25-Z41)*2330/1000</f>
        <v>93.2</v>
      </c>
      <c r="AB41" s="1833" t="s">
        <v>8</v>
      </c>
      <c r="AC41" s="1816">
        <f>IF(Z41=0,0,IF(AA41&lt;0,0,AA41))</f>
        <v>0</v>
      </c>
      <c r="AD41" s="1833" t="s">
        <v>9</v>
      </c>
      <c r="AE41" s="1834">
        <f>R.HN!G25</f>
        <v>0</v>
      </c>
      <c r="AF41" s="1832">
        <f>AE41*10</f>
        <v>0</v>
      </c>
      <c r="AG41" s="1832">
        <f>($F$25-AF41)*2330/1000</f>
        <v>93.2</v>
      </c>
      <c r="AH41" s="1833" t="s">
        <v>8</v>
      </c>
      <c r="AI41" s="1816">
        <f>IF(AF41=0,0,IF(AG41&lt;0,0,AG41))</f>
        <v>0</v>
      </c>
      <c r="AJ41" s="1833" t="s">
        <v>9</v>
      </c>
      <c r="AK41" s="1834">
        <f>R.HN!H25</f>
        <v>0</v>
      </c>
      <c r="AL41" s="1832">
        <f>AK41*10</f>
        <v>0</v>
      </c>
      <c r="AM41" s="1832">
        <f>($F$25-AL41)*2330/1000</f>
        <v>93.2</v>
      </c>
      <c r="AN41" s="1833" t="s">
        <v>8</v>
      </c>
      <c r="AO41" s="1816">
        <f>IF(AL41=0,0,IF(AM41&lt;0,0,AM41))</f>
        <v>0</v>
      </c>
      <c r="AP41" s="1832" t="s">
        <v>9</v>
      </c>
      <c r="AQ41" s="12" t="s">
        <v>493</v>
      </c>
      <c r="AS41" s="1252" t="s">
        <v>1083</v>
      </c>
    </row>
    <row r="42" spans="1:45" ht="31.5" customHeight="1">
      <c r="A42" s="1251" t="s">
        <v>1154</v>
      </c>
      <c r="B42" s="2199" t="s">
        <v>882</v>
      </c>
      <c r="C42" s="2201"/>
      <c r="D42" s="54" t="s">
        <v>3</v>
      </c>
      <c r="E42" s="55" t="s">
        <v>461</v>
      </c>
      <c r="F42" s="457">
        <v>12.5</v>
      </c>
      <c r="G42" s="458">
        <f>R.HN!C26</f>
        <v>0</v>
      </c>
      <c r="H42" s="1832">
        <f>(1*G42*36.5)/(1*10)</f>
        <v>0</v>
      </c>
      <c r="I42" s="1832">
        <f>($F$26-H42)*2605/32</f>
        <v>1017.578125</v>
      </c>
      <c r="J42" s="1833" t="s">
        <v>8</v>
      </c>
      <c r="K42" s="1816">
        <f>IF(H42=0,0,IF(I42&lt;0,0,I42))</f>
        <v>0</v>
      </c>
      <c r="L42" s="1833" t="s">
        <v>10</v>
      </c>
      <c r="M42" s="1835">
        <f>R.HN!D26</f>
        <v>0</v>
      </c>
      <c r="N42" s="1832">
        <f>(1*M42*36.5)/(1*10)</f>
        <v>0</v>
      </c>
      <c r="O42" s="1832">
        <f>($F$26-N42)*2605/32</f>
        <v>1017.578125</v>
      </c>
      <c r="P42" s="1833" t="s">
        <v>8</v>
      </c>
      <c r="Q42" s="1816">
        <f>IF(N42=0,0,IF(O42&lt;0,0,O42))</f>
        <v>0</v>
      </c>
      <c r="R42" s="1833" t="s">
        <v>10</v>
      </c>
      <c r="S42" s="1836">
        <f>R.HN!E26</f>
        <v>0</v>
      </c>
      <c r="T42" s="1832">
        <f>(1*S42*36.5)/(1*10)</f>
        <v>0</v>
      </c>
      <c r="U42" s="1832">
        <f>($F$26-T42)*2605/32</f>
        <v>1017.578125</v>
      </c>
      <c r="V42" s="1833" t="s">
        <v>8</v>
      </c>
      <c r="W42" s="1816">
        <f>IF(T42=0,0,IF(U42&lt;0,0,U42))</f>
        <v>0</v>
      </c>
      <c r="X42" s="1833" t="s">
        <v>10</v>
      </c>
      <c r="Y42" s="1836">
        <f>R.HN!F26</f>
        <v>0</v>
      </c>
      <c r="Z42" s="1832">
        <f>(1*Y42*36.5)/(1*10)</f>
        <v>0</v>
      </c>
      <c r="AA42" s="1832">
        <f>($F$26-Z42)*2605/32</f>
        <v>1017.578125</v>
      </c>
      <c r="AB42" s="1833" t="s">
        <v>8</v>
      </c>
      <c r="AC42" s="1816">
        <f>IF(Z42=0,0,IF(AA42&lt;0,0,AA42))</f>
        <v>0</v>
      </c>
      <c r="AD42" s="1833" t="s">
        <v>10</v>
      </c>
      <c r="AE42" s="1836">
        <f>R.HN!G26</f>
        <v>0</v>
      </c>
      <c r="AF42" s="1832">
        <f>(1*AE42*36.5)/(1*10)</f>
        <v>0</v>
      </c>
      <c r="AG42" s="1832">
        <f>($F$26-AF42)*2605/32</f>
        <v>1017.578125</v>
      </c>
      <c r="AH42" s="1833" t="s">
        <v>8</v>
      </c>
      <c r="AI42" s="1816">
        <f>IF(AF42=0,0,IF(AG42&lt;0,0,AG42))</f>
        <v>0</v>
      </c>
      <c r="AJ42" s="1833" t="s">
        <v>10</v>
      </c>
      <c r="AK42" s="1836">
        <f>R.HN!H26</f>
        <v>0</v>
      </c>
      <c r="AL42" s="1832">
        <f>(1*AK42*36.5)/(1*10)</f>
        <v>0</v>
      </c>
      <c r="AM42" s="1832">
        <f>($F$26-AL42)*2605/32</f>
        <v>1017.578125</v>
      </c>
      <c r="AN42" s="1833" t="s">
        <v>8</v>
      </c>
      <c r="AO42" s="1816">
        <f>IF(AL42=0,0,IF(AM42&lt;0,0,AM42))</f>
        <v>0</v>
      </c>
      <c r="AP42" s="1832" t="s">
        <v>10</v>
      </c>
      <c r="AQ42" s="12" t="s">
        <v>493</v>
      </c>
      <c r="AS42" s="1252" t="s">
        <v>1082</v>
      </c>
    </row>
    <row r="43" spans="1:45" ht="31.5" customHeight="1">
      <c r="A43" s="1251" t="s">
        <v>1155</v>
      </c>
      <c r="B43" s="1255" t="s">
        <v>829</v>
      </c>
      <c r="C43" s="2694"/>
      <c r="D43" s="1256" t="s">
        <v>466</v>
      </c>
      <c r="E43" s="55" t="s">
        <v>1134</v>
      </c>
      <c r="F43" s="472">
        <v>50</v>
      </c>
      <c r="G43" s="458">
        <f>R.HN!C27</f>
        <v>0</v>
      </c>
      <c r="H43" s="1832">
        <f>G43*10</f>
        <v>0</v>
      </c>
      <c r="I43" s="1832">
        <f>($F$43-H43)*4935/1000</f>
        <v>246.75</v>
      </c>
      <c r="J43" s="1833" t="s">
        <v>8</v>
      </c>
      <c r="K43" s="1816">
        <f>IF(H43=0,0,IF(I43&lt;0,0,I43))</f>
        <v>0</v>
      </c>
      <c r="L43" s="1833" t="s">
        <v>9</v>
      </c>
      <c r="M43" s="1834">
        <f>R.HN!D27</f>
        <v>0</v>
      </c>
      <c r="N43" s="1832">
        <f>M43*10</f>
        <v>0</v>
      </c>
      <c r="O43" s="1832">
        <f>($F$43-N43)*4935/1000</f>
        <v>246.75</v>
      </c>
      <c r="P43" s="1833" t="s">
        <v>8</v>
      </c>
      <c r="Q43" s="1816">
        <f>IF(N43=0,0,IF(O43&lt;0,0,O43))</f>
        <v>0</v>
      </c>
      <c r="R43" s="1833" t="s">
        <v>9</v>
      </c>
      <c r="S43" s="1834">
        <f>R.HN!E27</f>
        <v>0</v>
      </c>
      <c r="T43" s="1832">
        <f>S43*10</f>
        <v>0</v>
      </c>
      <c r="U43" s="1832">
        <f>($F$43-T43)*4935/1000</f>
        <v>246.75</v>
      </c>
      <c r="V43" s="1833" t="s">
        <v>8</v>
      </c>
      <c r="W43" s="1816">
        <f>IF(T43=0,0,IF(U43&lt;0,0,U43))</f>
        <v>0</v>
      </c>
      <c r="X43" s="1833" t="s">
        <v>9</v>
      </c>
      <c r="Y43" s="1834">
        <f>R.HN!F27</f>
        <v>0</v>
      </c>
      <c r="Z43" s="1832">
        <f>Y43*10</f>
        <v>0</v>
      </c>
      <c r="AA43" s="1832">
        <f>($F$43-Z43)*4935/1000</f>
        <v>246.75</v>
      </c>
      <c r="AB43" s="1833" t="s">
        <v>8</v>
      </c>
      <c r="AC43" s="1816">
        <f>IF(Z43=0,0,IF(AA43&lt;0,0,AA43))</f>
        <v>0</v>
      </c>
      <c r="AD43" s="1833" t="s">
        <v>9</v>
      </c>
      <c r="AE43" s="1834">
        <f>R.HN!G27</f>
        <v>0</v>
      </c>
      <c r="AF43" s="1832">
        <f>AE43*10</f>
        <v>0</v>
      </c>
      <c r="AG43" s="1832">
        <f>($F$43-AF43)*4935/1000</f>
        <v>246.75</v>
      </c>
      <c r="AH43" s="1833" t="s">
        <v>8</v>
      </c>
      <c r="AI43" s="1816">
        <f>IF(AF43=0,0,IF(AG43&lt;0,0,AG43))</f>
        <v>0</v>
      </c>
      <c r="AJ43" s="1833" t="s">
        <v>9</v>
      </c>
      <c r="AK43" s="1834">
        <f>R.HN!H27</f>
        <v>0</v>
      </c>
      <c r="AL43" s="1832">
        <f>AK43*10</f>
        <v>0</v>
      </c>
      <c r="AM43" s="1832">
        <f>($F$43-AL43)*4935/1000</f>
        <v>246.75</v>
      </c>
      <c r="AN43" s="1833" t="s">
        <v>8</v>
      </c>
      <c r="AO43" s="1816">
        <f>IF(AL43=0,0,IF(AM43&lt;0,0,AM43))</f>
        <v>0</v>
      </c>
      <c r="AP43" s="1832" t="s">
        <v>9</v>
      </c>
      <c r="AQ43" s="12" t="s">
        <v>493</v>
      </c>
      <c r="AS43" s="1252" t="s">
        <v>1084</v>
      </c>
    </row>
    <row r="44" spans="1:45" ht="31.5" customHeight="1">
      <c r="A44" s="1251" t="s">
        <v>1156</v>
      </c>
      <c r="B44" s="1257" t="s">
        <v>830</v>
      </c>
      <c r="C44" s="2695"/>
      <c r="D44" s="1256" t="s">
        <v>466</v>
      </c>
      <c r="E44" s="55" t="s">
        <v>1135</v>
      </c>
      <c r="F44" s="458">
        <v>6.5</v>
      </c>
      <c r="G44" s="458">
        <f>R.HN!C28</f>
        <v>0</v>
      </c>
      <c r="H44" s="1832">
        <f>IFERROR(H43/G44,0)</f>
        <v>0</v>
      </c>
      <c r="I44" s="1832">
        <f>($F$44-H44)*4935/1000</f>
        <v>32.077500000000001</v>
      </c>
      <c r="J44" s="1833"/>
      <c r="K44" s="1816">
        <f>IF(H44=0,0,IF(I44&lt;0,0,I44))</f>
        <v>0</v>
      </c>
      <c r="L44" s="1833" t="s">
        <v>9</v>
      </c>
      <c r="M44" s="1836">
        <f>R.HN!D28</f>
        <v>0</v>
      </c>
      <c r="N44" s="1832">
        <f>IFERROR(N43/M44,0)</f>
        <v>0</v>
      </c>
      <c r="O44" s="1832">
        <f>($F$44-N44)*4935/1000</f>
        <v>32.077500000000001</v>
      </c>
      <c r="P44" s="1833"/>
      <c r="Q44" s="1816">
        <f>IF(N44=0,0,IF(O44&lt;0,0,O44))</f>
        <v>0</v>
      </c>
      <c r="R44" s="1833" t="s">
        <v>9</v>
      </c>
      <c r="S44" s="1836">
        <f>R.HN!E28</f>
        <v>0</v>
      </c>
      <c r="T44" s="1832">
        <f>IFERROR(T43/S44,0)</f>
        <v>0</v>
      </c>
      <c r="U44" s="1832">
        <f>($F$44-T44)*4935/1000</f>
        <v>32.077500000000001</v>
      </c>
      <c r="V44" s="1833"/>
      <c r="W44" s="1816">
        <f>IF(T44=0,0,IF(U44&lt;0,0,U44))</f>
        <v>0</v>
      </c>
      <c r="X44" s="1833" t="s">
        <v>9</v>
      </c>
      <c r="Y44" s="1836">
        <f>R.HN!F28</f>
        <v>0</v>
      </c>
      <c r="Z44" s="1832">
        <f>IFERROR(Z43/Y44,0)</f>
        <v>0</v>
      </c>
      <c r="AA44" s="1832">
        <f>($F$44-Z44)*4935/1000</f>
        <v>32.077500000000001</v>
      </c>
      <c r="AB44" s="1833"/>
      <c r="AC44" s="1816">
        <f>IF(Z44=0,0,IF(AA44&lt;0,0,AA44))</f>
        <v>0</v>
      </c>
      <c r="AD44" s="1833" t="s">
        <v>9</v>
      </c>
      <c r="AE44" s="1834">
        <f>R.HN!G28</f>
        <v>0</v>
      </c>
      <c r="AF44" s="1832">
        <f>IFERROR(AF43/AE44,0)</f>
        <v>0</v>
      </c>
      <c r="AG44" s="1832">
        <f>($F$44-AF44)*4935/1000</f>
        <v>32.077500000000001</v>
      </c>
      <c r="AH44" s="1833"/>
      <c r="AI44" s="1816">
        <f>IF(AF44=0,0,IF(AG44&lt;0,0,AG44))</f>
        <v>0</v>
      </c>
      <c r="AJ44" s="1833" t="s">
        <v>9</v>
      </c>
      <c r="AK44" s="1834">
        <f>R.HN!H28</f>
        <v>0</v>
      </c>
      <c r="AL44" s="1832">
        <f>IFERROR(AL43/AK44,0)</f>
        <v>0</v>
      </c>
      <c r="AM44" s="1832">
        <f>($F$44-AL44)*4935/1000</f>
        <v>32.077500000000001</v>
      </c>
      <c r="AN44" s="1833"/>
      <c r="AO44" s="1816">
        <f>IF(AL44=0,0,IF(AM44&lt;0,0,AM44))</f>
        <v>0</v>
      </c>
      <c r="AP44" s="1832" t="s">
        <v>9</v>
      </c>
      <c r="AQ44" s="12" t="s">
        <v>493</v>
      </c>
      <c r="AS44" s="1252" t="s">
        <v>1085</v>
      </c>
    </row>
    <row r="45" spans="1:45" ht="42.75" customHeight="1">
      <c r="A45" s="1251" t="s">
        <v>1157</v>
      </c>
      <c r="B45" s="1258" t="s">
        <v>831</v>
      </c>
      <c r="C45" s="2696"/>
      <c r="D45" s="1256" t="s">
        <v>466</v>
      </c>
      <c r="E45" s="55" t="s">
        <v>1136</v>
      </c>
      <c r="F45" s="475">
        <v>0.4</v>
      </c>
      <c r="G45" s="458">
        <f>R.HN!C29</f>
        <v>0</v>
      </c>
      <c r="H45" s="1827">
        <f>G45</f>
        <v>0</v>
      </c>
      <c r="I45" s="1827"/>
      <c r="J45" s="1828"/>
      <c r="K45" s="1829"/>
      <c r="L45" s="1828"/>
      <c r="M45" s="1829">
        <f>R.HN!D29</f>
        <v>0</v>
      </c>
      <c r="N45" s="1827">
        <f>M45</f>
        <v>0</v>
      </c>
      <c r="O45" s="1827"/>
      <c r="P45" s="1828"/>
      <c r="Q45" s="1829"/>
      <c r="R45" s="1828"/>
      <c r="S45" s="1829">
        <f>R.HN!E29</f>
        <v>0</v>
      </c>
      <c r="T45" s="1827">
        <f>S45</f>
        <v>0</v>
      </c>
      <c r="U45" s="1827"/>
      <c r="V45" s="1828"/>
      <c r="W45" s="1829"/>
      <c r="X45" s="1828"/>
      <c r="Y45" s="1829">
        <f>R.HN!F29</f>
        <v>0</v>
      </c>
      <c r="Z45" s="1827">
        <f>Y45</f>
        <v>0</v>
      </c>
      <c r="AA45" s="1827"/>
      <c r="AB45" s="1828"/>
      <c r="AC45" s="1829"/>
      <c r="AD45" s="1828"/>
      <c r="AE45" s="1829">
        <f>R.HN!G29</f>
        <v>0</v>
      </c>
      <c r="AF45" s="1827">
        <f>AE45</f>
        <v>0</v>
      </c>
      <c r="AG45" s="1827"/>
      <c r="AH45" s="1828"/>
      <c r="AI45" s="1829"/>
      <c r="AJ45" s="1828"/>
      <c r="AK45" s="1829">
        <f>R.HN!H29</f>
        <v>0</v>
      </c>
      <c r="AL45" s="1827">
        <f>AK45</f>
        <v>0</v>
      </c>
      <c r="AM45" s="1827"/>
      <c r="AN45" s="1828"/>
      <c r="AO45" s="1829"/>
      <c r="AP45" s="304"/>
      <c r="AQ45" s="12" t="s">
        <v>493</v>
      </c>
      <c r="AS45" s="1252" t="s">
        <v>1086</v>
      </c>
    </row>
    <row r="46" spans="1:45" ht="31.5" customHeight="1">
      <c r="A46" s="1251" t="s">
        <v>1158</v>
      </c>
      <c r="B46" s="1259" t="s">
        <v>475</v>
      </c>
      <c r="C46" s="1260"/>
      <c r="D46" s="1209" t="s">
        <v>466</v>
      </c>
      <c r="E46" s="55" t="s">
        <v>476</v>
      </c>
      <c r="F46" s="462">
        <v>1</v>
      </c>
      <c r="G46" s="458">
        <f>R.HN!C33</f>
        <v>0</v>
      </c>
      <c r="H46" s="1832">
        <f>G46</f>
        <v>0</v>
      </c>
      <c r="I46" s="1832">
        <f>($F$30-H46)*1234/1000</f>
        <v>1.234</v>
      </c>
      <c r="J46" s="1833" t="s">
        <v>8</v>
      </c>
      <c r="K46" s="1815">
        <f>IF(H46=0,0,IF(I46&lt;0,0,I46))</f>
        <v>0</v>
      </c>
      <c r="L46" s="1833" t="s">
        <v>9</v>
      </c>
      <c r="M46" s="1834">
        <f>R.HN!D33</f>
        <v>0</v>
      </c>
      <c r="N46" s="1832">
        <f>M46</f>
        <v>0</v>
      </c>
      <c r="O46" s="1832">
        <f>($F$30-N46)*1234/1000</f>
        <v>1.234</v>
      </c>
      <c r="P46" s="1833" t="s">
        <v>8</v>
      </c>
      <c r="Q46" s="1815">
        <f>IF(N46=0,0,IF(O46&lt;0,0,O46))</f>
        <v>0</v>
      </c>
      <c r="R46" s="1833" t="s">
        <v>9</v>
      </c>
      <c r="S46" s="1834">
        <f>R.HN!E33</f>
        <v>0</v>
      </c>
      <c r="T46" s="1832">
        <f>S46</f>
        <v>0</v>
      </c>
      <c r="U46" s="1832">
        <f>($F$30-T46)*1234/1000</f>
        <v>1.234</v>
      </c>
      <c r="V46" s="1833" t="s">
        <v>8</v>
      </c>
      <c r="W46" s="1815">
        <f>IF(T46=0,0,IF(U46&lt;0,0,U46))</f>
        <v>0</v>
      </c>
      <c r="X46" s="1833" t="s">
        <v>9</v>
      </c>
      <c r="Y46" s="1834">
        <f>R.HN!F33</f>
        <v>0</v>
      </c>
      <c r="Z46" s="1832">
        <f>Y46</f>
        <v>0</v>
      </c>
      <c r="AA46" s="1832">
        <f>($F$30-Z46)*1234/1000</f>
        <v>1.234</v>
      </c>
      <c r="AB46" s="1833" t="s">
        <v>8</v>
      </c>
      <c r="AC46" s="1815">
        <f>IF(Z46=0,0,IF(AA46&lt;0,0,AA46))</f>
        <v>0</v>
      </c>
      <c r="AD46" s="1833" t="s">
        <v>9</v>
      </c>
      <c r="AE46" s="1834">
        <f>R.HN!G33</f>
        <v>0</v>
      </c>
      <c r="AF46" s="1832">
        <f>AE46</f>
        <v>0</v>
      </c>
      <c r="AG46" s="1832">
        <f>($F$30-AF46)*1234/1000</f>
        <v>1.234</v>
      </c>
      <c r="AH46" s="1833" t="s">
        <v>8</v>
      </c>
      <c r="AI46" s="1815">
        <f>IF(AF46=0,0,IF(AG46&lt;0,0,AG46))</f>
        <v>0</v>
      </c>
      <c r="AJ46" s="1833" t="s">
        <v>9</v>
      </c>
      <c r="AK46" s="1834">
        <f>R.HN!H33</f>
        <v>0</v>
      </c>
      <c r="AL46" s="1832">
        <f>AK46</f>
        <v>0</v>
      </c>
      <c r="AM46" s="1832">
        <f>($F$30-AL46)*1234/1000</f>
        <v>1.234</v>
      </c>
      <c r="AN46" s="1833" t="s">
        <v>8</v>
      </c>
      <c r="AO46" s="1815">
        <f>IF(AL46=0,0,IF(AM46&lt;0,0,AM46))</f>
        <v>0</v>
      </c>
      <c r="AP46" s="1832" t="s">
        <v>9</v>
      </c>
      <c r="AQ46" s="12" t="s">
        <v>493</v>
      </c>
    </row>
    <row r="47" spans="1:45" ht="31.5" customHeight="1">
      <c r="A47" s="1251" t="s">
        <v>1159</v>
      </c>
      <c r="B47" s="1261" t="s">
        <v>5</v>
      </c>
      <c r="C47" s="1262"/>
      <c r="D47" s="1209" t="s">
        <v>5</v>
      </c>
      <c r="E47" s="55" t="s">
        <v>478</v>
      </c>
      <c r="F47" s="464">
        <v>9.5</v>
      </c>
      <c r="G47" s="458">
        <f>R.HN!C34</f>
        <v>0</v>
      </c>
      <c r="H47" s="1832">
        <f>G47</f>
        <v>0</v>
      </c>
      <c r="I47" s="1832"/>
      <c r="J47" s="1833"/>
      <c r="K47" s="1834"/>
      <c r="L47" s="1833"/>
      <c r="M47" s="1834">
        <f>R.HN!D34</f>
        <v>0</v>
      </c>
      <c r="N47" s="1832">
        <f>M47</f>
        <v>0</v>
      </c>
      <c r="O47" s="1832"/>
      <c r="P47" s="1833"/>
      <c r="Q47" s="1834"/>
      <c r="R47" s="1833"/>
      <c r="S47" s="1834">
        <f>R.HN!E34</f>
        <v>0</v>
      </c>
      <c r="T47" s="1832">
        <f>S47</f>
        <v>0</v>
      </c>
      <c r="U47" s="1832"/>
      <c r="V47" s="1833"/>
      <c r="W47" s="1834"/>
      <c r="X47" s="1833"/>
      <c r="Y47" s="1834">
        <f>R.HN!F34</f>
        <v>0</v>
      </c>
      <c r="Z47" s="1832">
        <f>Y47</f>
        <v>0</v>
      </c>
      <c r="AA47" s="1832"/>
      <c r="AB47" s="1833"/>
      <c r="AC47" s="1834"/>
      <c r="AD47" s="1833"/>
      <c r="AE47" s="1834">
        <f>R.HN!G34</f>
        <v>0</v>
      </c>
      <c r="AF47" s="1832">
        <f>AE47</f>
        <v>0</v>
      </c>
      <c r="AG47" s="1832"/>
      <c r="AH47" s="1833"/>
      <c r="AI47" s="1834"/>
      <c r="AJ47" s="1833"/>
      <c r="AK47" s="1834">
        <f>R.HN!H34</f>
        <v>0</v>
      </c>
      <c r="AL47" s="1832">
        <f>AK47</f>
        <v>0</v>
      </c>
      <c r="AM47" s="1832"/>
      <c r="AN47" s="1833"/>
      <c r="AO47" s="1834"/>
      <c r="AP47" s="1832"/>
      <c r="AQ47" s="12" t="s">
        <v>493</v>
      </c>
    </row>
    <row r="48" spans="1:45" ht="33" customHeight="1">
      <c r="A48" s="1263" t="s">
        <v>76</v>
      </c>
      <c r="B48" s="342"/>
      <c r="C48" s="342"/>
      <c r="D48" s="342"/>
      <c r="E48" s="332"/>
      <c r="F48" s="342"/>
      <c r="G48" s="342"/>
      <c r="H48" s="342"/>
      <c r="I48" s="342"/>
      <c r="J48" s="342"/>
      <c r="K48" s="342"/>
      <c r="L48" s="342"/>
      <c r="M48" s="342"/>
      <c r="N48" s="348"/>
      <c r="O48" s="342"/>
      <c r="P48" s="342"/>
      <c r="Q48" s="342"/>
      <c r="R48" s="348"/>
      <c r="S48" s="342"/>
      <c r="T48" s="348"/>
      <c r="U48" s="342"/>
      <c r="V48" s="342"/>
      <c r="W48" s="342"/>
      <c r="X48" s="342"/>
      <c r="Y48" s="342"/>
      <c r="Z48" s="342"/>
      <c r="AA48" s="342"/>
      <c r="AB48" s="342"/>
      <c r="AC48" s="342"/>
      <c r="AD48" s="342"/>
      <c r="AE48" s="348"/>
      <c r="AF48" s="348"/>
      <c r="AG48" s="348"/>
      <c r="AH48" s="348"/>
      <c r="AI48" s="348"/>
      <c r="AJ48" s="348"/>
      <c r="AK48" s="348"/>
      <c r="AL48" s="348"/>
      <c r="AM48" s="348"/>
      <c r="AN48" s="348"/>
      <c r="AO48" s="348"/>
      <c r="AP48" s="1264"/>
    </row>
    <row r="49" spans="1:43" ht="52.5" customHeight="1">
      <c r="A49" s="1251" t="s">
        <v>267</v>
      </c>
      <c r="B49" s="2193" t="s">
        <v>64</v>
      </c>
      <c r="C49" s="2195"/>
      <c r="D49" s="310" t="s">
        <v>66</v>
      </c>
      <c r="E49" s="310" t="s">
        <v>67</v>
      </c>
      <c r="F49" s="465"/>
      <c r="G49" s="465"/>
      <c r="H49" s="343" t="s">
        <v>48</v>
      </c>
      <c r="I49" s="344"/>
      <c r="J49" s="344"/>
      <c r="K49" s="343" t="s">
        <v>65</v>
      </c>
      <c r="L49" s="345"/>
      <c r="M49" s="310"/>
      <c r="N49" s="343" t="s">
        <v>48</v>
      </c>
      <c r="O49" s="344"/>
      <c r="P49" s="344"/>
      <c r="Q49" s="343" t="s">
        <v>65</v>
      </c>
      <c r="R49" s="345"/>
      <c r="S49" s="1265"/>
      <c r="T49" s="343" t="s">
        <v>48</v>
      </c>
      <c r="U49" s="344"/>
      <c r="V49" s="344"/>
      <c r="W49" s="343" t="s">
        <v>65</v>
      </c>
      <c r="X49" s="345"/>
      <c r="Y49" s="1266"/>
      <c r="Z49" s="343" t="s">
        <v>48</v>
      </c>
      <c r="AA49" s="344"/>
      <c r="AB49" s="344"/>
      <c r="AC49" s="343" t="s">
        <v>65</v>
      </c>
      <c r="AD49" s="345"/>
      <c r="AE49" s="1266"/>
      <c r="AF49" s="343" t="s">
        <v>48</v>
      </c>
      <c r="AG49" s="344"/>
      <c r="AH49" s="344"/>
      <c r="AI49" s="343" t="s">
        <v>65</v>
      </c>
      <c r="AJ49" s="345"/>
      <c r="AK49" s="1266"/>
      <c r="AL49" s="343" t="s">
        <v>48</v>
      </c>
      <c r="AM49" s="344"/>
      <c r="AN49" s="344"/>
      <c r="AO49" s="343" t="s">
        <v>65</v>
      </c>
      <c r="AP49" s="345"/>
    </row>
    <row r="50" spans="1:43" ht="30" customHeight="1">
      <c r="A50" s="1251" t="s">
        <v>1160</v>
      </c>
      <c r="B50" s="2193" t="s">
        <v>489</v>
      </c>
      <c r="C50" s="2195"/>
      <c r="D50" s="274" t="s">
        <v>214</v>
      </c>
      <c r="E50" s="55" t="s">
        <v>1148</v>
      </c>
      <c r="F50" s="466"/>
      <c r="G50" s="466"/>
      <c r="H50" s="2678">
        <f>'R.FILE GOC'!H50</f>
        <v>0</v>
      </c>
      <c r="I50" s="2678"/>
      <c r="J50" s="2678"/>
      <c r="K50" s="2678">
        <f>'R.FILE GOC'!K50</f>
        <v>0</v>
      </c>
      <c r="L50" s="2678"/>
      <c r="M50" s="1824"/>
      <c r="N50" s="2678">
        <f>'R.FILE GOC'!N50</f>
        <v>0</v>
      </c>
      <c r="O50" s="2678"/>
      <c r="P50" s="2678"/>
      <c r="Q50" s="2678">
        <f>'R.FILE GOC'!Q50</f>
        <v>0</v>
      </c>
      <c r="R50" s="2678"/>
      <c r="S50" s="1824"/>
      <c r="T50" s="2678">
        <f>'R.FILE GOC'!T50</f>
        <v>0</v>
      </c>
      <c r="U50" s="2678"/>
      <c r="V50" s="2678"/>
      <c r="W50" s="2678">
        <f>'R.FILE GOC'!W50</f>
        <v>0</v>
      </c>
      <c r="X50" s="2678"/>
      <c r="Y50" s="1824"/>
      <c r="Z50" s="2678">
        <f>'R.FILE GOC'!Z50</f>
        <v>0</v>
      </c>
      <c r="AA50" s="2678"/>
      <c r="AB50" s="2678"/>
      <c r="AC50" s="2678">
        <f>'R.FILE GOC'!AC50</f>
        <v>0</v>
      </c>
      <c r="AD50" s="2678"/>
      <c r="AE50" s="1824"/>
      <c r="AF50" s="2678">
        <f>'R.FILE GOC'!AF50</f>
        <v>0</v>
      </c>
      <c r="AG50" s="2678"/>
      <c r="AH50" s="2678"/>
      <c r="AI50" s="2678">
        <f>'R.FILE GOC'!AI50</f>
        <v>0</v>
      </c>
      <c r="AJ50" s="2678"/>
      <c r="AK50" s="1824"/>
      <c r="AL50" s="2678">
        <f>'R.FILE GOC'!AL50</f>
        <v>0</v>
      </c>
      <c r="AM50" s="2678"/>
      <c r="AN50" s="2678"/>
      <c r="AO50" s="2678">
        <f>'R.FILE GOC'!AO50</f>
        <v>0</v>
      </c>
      <c r="AP50" s="2678"/>
      <c r="AQ50" s="12" t="s">
        <v>493</v>
      </c>
    </row>
    <row r="51" spans="1:43" ht="30" customHeight="1">
      <c r="A51" s="1251" t="s">
        <v>1161</v>
      </c>
      <c r="B51" s="2193" t="s">
        <v>482</v>
      </c>
      <c r="C51" s="2195"/>
      <c r="D51" s="274" t="s">
        <v>214</v>
      </c>
      <c r="E51" s="55" t="s">
        <v>1137</v>
      </c>
      <c r="F51" s="466"/>
      <c r="G51" s="466"/>
      <c r="H51" s="2678">
        <f>'R.FILE GOC'!H51</f>
        <v>0</v>
      </c>
      <c r="I51" s="2678"/>
      <c r="J51" s="2678"/>
      <c r="K51" s="2678">
        <f>'R.FILE GOC'!K51</f>
        <v>0</v>
      </c>
      <c r="L51" s="2678"/>
      <c r="M51" s="1824"/>
      <c r="N51" s="2678">
        <f>'R.FILE GOC'!N51</f>
        <v>0</v>
      </c>
      <c r="O51" s="2678"/>
      <c r="P51" s="2678"/>
      <c r="Q51" s="2678">
        <f>'R.FILE GOC'!Q51</f>
        <v>0</v>
      </c>
      <c r="R51" s="2678"/>
      <c r="S51" s="1824"/>
      <c r="T51" s="2678">
        <f>'R.FILE GOC'!T51</f>
        <v>0</v>
      </c>
      <c r="U51" s="2678"/>
      <c r="V51" s="2678"/>
      <c r="W51" s="2678">
        <f>'R.FILE GOC'!W51</f>
        <v>0</v>
      </c>
      <c r="X51" s="2678"/>
      <c r="Y51" s="1824"/>
      <c r="Z51" s="2678">
        <f>'R.FILE GOC'!Z51</f>
        <v>0</v>
      </c>
      <c r="AA51" s="2678"/>
      <c r="AB51" s="2678"/>
      <c r="AC51" s="2678">
        <f>'R.FILE GOC'!AC51</f>
        <v>0</v>
      </c>
      <c r="AD51" s="2678"/>
      <c r="AE51" s="1824"/>
      <c r="AF51" s="2678">
        <f>'R.FILE GOC'!AF51</f>
        <v>0</v>
      </c>
      <c r="AG51" s="2678"/>
      <c r="AH51" s="2678"/>
      <c r="AI51" s="2678">
        <f>'R.FILE GOC'!AI51</f>
        <v>0</v>
      </c>
      <c r="AJ51" s="2678"/>
      <c r="AK51" s="1824"/>
      <c r="AL51" s="2678">
        <f>'R.FILE GOC'!AL51</f>
        <v>0</v>
      </c>
      <c r="AM51" s="2678"/>
      <c r="AN51" s="2678"/>
      <c r="AO51" s="2678">
        <f>'R.FILE GOC'!AO51</f>
        <v>0</v>
      </c>
      <c r="AP51" s="2678"/>
      <c r="AQ51" s="12" t="s">
        <v>493</v>
      </c>
    </row>
    <row r="52" spans="1:43" ht="30" customHeight="1">
      <c r="A52" s="1251" t="s">
        <v>1162</v>
      </c>
      <c r="B52" s="2193" t="s">
        <v>776</v>
      </c>
      <c r="C52" s="2195"/>
      <c r="D52" s="274" t="s">
        <v>214</v>
      </c>
      <c r="E52" s="55" t="s">
        <v>1138</v>
      </c>
      <c r="F52" s="14"/>
      <c r="G52" s="14"/>
      <c r="H52" s="2678">
        <f>'R.FILE GOC'!H52</f>
        <v>0</v>
      </c>
      <c r="I52" s="2678"/>
      <c r="J52" s="2678"/>
      <c r="K52" s="2678">
        <f>'R.FILE GOC'!K52</f>
        <v>0</v>
      </c>
      <c r="L52" s="2678"/>
      <c r="M52" s="1824"/>
      <c r="N52" s="2678">
        <f>'R.FILE GOC'!N52</f>
        <v>0</v>
      </c>
      <c r="O52" s="2678"/>
      <c r="P52" s="2678"/>
      <c r="Q52" s="2678">
        <f>'R.FILE GOC'!Q52</f>
        <v>0</v>
      </c>
      <c r="R52" s="2678"/>
      <c r="S52" s="1824"/>
      <c r="T52" s="2678">
        <f>'R.FILE GOC'!T52</f>
        <v>0</v>
      </c>
      <c r="U52" s="2678"/>
      <c r="V52" s="2678"/>
      <c r="W52" s="2678">
        <f>'R.FILE GOC'!W52</f>
        <v>0</v>
      </c>
      <c r="X52" s="2678"/>
      <c r="Y52" s="1824"/>
      <c r="Z52" s="2678">
        <f>'R.FILE GOC'!Z52</f>
        <v>0</v>
      </c>
      <c r="AA52" s="2678"/>
      <c r="AB52" s="2678"/>
      <c r="AC52" s="2678">
        <f>'R.FILE GOC'!AC52</f>
        <v>0</v>
      </c>
      <c r="AD52" s="2678"/>
      <c r="AE52" s="1824"/>
      <c r="AF52" s="2678">
        <f>'R.FILE GOC'!AF52</f>
        <v>0</v>
      </c>
      <c r="AG52" s="2678"/>
      <c r="AH52" s="2678"/>
      <c r="AI52" s="2678">
        <f>'R.FILE GOC'!AI52</f>
        <v>0</v>
      </c>
      <c r="AJ52" s="2678"/>
      <c r="AK52" s="1824"/>
      <c r="AL52" s="2678">
        <f>'R.FILE GOC'!AL52</f>
        <v>0</v>
      </c>
      <c r="AM52" s="2678"/>
      <c r="AN52" s="2678"/>
      <c r="AO52" s="2678">
        <f>'R.FILE GOC'!AO52</f>
        <v>0</v>
      </c>
      <c r="AP52" s="2678"/>
      <c r="AQ52" s="12" t="s">
        <v>493</v>
      </c>
    </row>
    <row r="53" spans="1:43" ht="24" customHeight="1">
      <c r="A53" s="347"/>
      <c r="B53" s="347"/>
      <c r="C53" s="347"/>
      <c r="D53" s="347"/>
      <c r="E53" s="347"/>
      <c r="F53" s="347"/>
      <c r="G53" s="347"/>
      <c r="H53" s="347"/>
      <c r="I53" s="347"/>
      <c r="J53" s="347"/>
      <c r="K53" s="347"/>
      <c r="L53" s="347"/>
      <c r="M53" s="347"/>
      <c r="N53" s="347"/>
      <c r="O53" s="347"/>
      <c r="P53" s="347"/>
      <c r="Q53" s="347"/>
      <c r="R53" s="347"/>
      <c r="S53" s="347"/>
      <c r="T53" s="347"/>
      <c r="U53" s="347"/>
      <c r="V53" s="347"/>
      <c r="W53" s="347"/>
      <c r="X53" s="347"/>
      <c r="Y53" s="347"/>
      <c r="Z53" s="347"/>
      <c r="AA53" s="347"/>
      <c r="AB53" s="347"/>
      <c r="AC53" s="347"/>
      <c r="AP53" s="12"/>
    </row>
    <row r="54" spans="1:43" ht="30" customHeight="1">
      <c r="A54" s="1242" t="s">
        <v>1163</v>
      </c>
      <c r="B54" s="926"/>
      <c r="C54" s="481"/>
      <c r="D54" s="1583"/>
      <c r="E54" s="482"/>
      <c r="F54" s="483" t="s">
        <v>75</v>
      </c>
      <c r="G54" s="1270"/>
      <c r="H54" s="838" t="s">
        <v>75</v>
      </c>
      <c r="I54" s="839"/>
      <c r="J54" s="839"/>
      <c r="K54" s="839"/>
      <c r="L54" s="839"/>
      <c r="M54" s="839"/>
      <c r="N54" s="839"/>
      <c r="O54" s="839"/>
      <c r="P54" s="839"/>
      <c r="Q54" s="839"/>
      <c r="R54" s="1271"/>
      <c r="S54" s="1270"/>
      <c r="AD54" s="12"/>
      <c r="AP54" s="12"/>
    </row>
    <row r="55" spans="1:43" ht="30" customHeight="1">
      <c r="A55" s="450"/>
      <c r="B55" s="2681" t="s">
        <v>79</v>
      </c>
      <c r="C55" s="2682"/>
      <c r="D55" s="2097" t="s">
        <v>136</v>
      </c>
      <c r="E55" s="2686" t="s">
        <v>67</v>
      </c>
      <c r="F55" s="451"/>
      <c r="G55" s="452"/>
      <c r="H55" s="2691" t="s">
        <v>507</v>
      </c>
      <c r="I55" s="2691"/>
      <c r="J55" s="2691"/>
      <c r="K55" s="2691"/>
      <c r="L55" s="2691"/>
      <c r="M55" s="470"/>
      <c r="N55" s="2688" t="s">
        <v>437</v>
      </c>
      <c r="O55" s="2688"/>
      <c r="P55" s="2688"/>
      <c r="Q55" s="2688"/>
      <c r="R55" s="2688"/>
      <c r="S55" s="470"/>
      <c r="T55" s="841"/>
      <c r="U55" s="841"/>
      <c r="V55" s="841"/>
      <c r="W55" s="841"/>
      <c r="X55" s="841"/>
      <c r="Y55" s="1272"/>
      <c r="Z55" s="841"/>
      <c r="AA55" s="841"/>
      <c r="AB55" s="841"/>
      <c r="AC55" s="841"/>
      <c r="AD55" s="841"/>
      <c r="AE55" s="1272"/>
      <c r="AF55" s="841"/>
      <c r="AG55" s="841"/>
      <c r="AH55" s="841"/>
      <c r="AI55" s="841"/>
      <c r="AJ55" s="841"/>
      <c r="AK55" s="1272"/>
      <c r="AL55" s="841"/>
      <c r="AM55" s="841"/>
      <c r="AN55" s="841"/>
      <c r="AO55" s="841"/>
      <c r="AP55" s="841"/>
    </row>
    <row r="56" spans="1:43" ht="30" customHeight="1">
      <c r="A56" s="494" t="s">
        <v>267</v>
      </c>
      <c r="B56" s="2683"/>
      <c r="C56" s="2684"/>
      <c r="D56" s="2685"/>
      <c r="E56" s="2687"/>
      <c r="F56" s="455" t="s">
        <v>457</v>
      </c>
      <c r="G56" s="456"/>
      <c r="H56" s="1207" t="s">
        <v>774</v>
      </c>
      <c r="I56" s="331" t="s">
        <v>1</v>
      </c>
      <c r="J56" s="2692" t="s">
        <v>1</v>
      </c>
      <c r="K56" s="2692"/>
      <c r="L56" s="2692"/>
      <c r="M56" s="1249"/>
      <c r="N56" s="1207" t="s">
        <v>774</v>
      </c>
      <c r="O56" s="331" t="s">
        <v>1</v>
      </c>
      <c r="P56" s="2692" t="s">
        <v>1</v>
      </c>
      <c r="Q56" s="2692"/>
      <c r="R56" s="2693"/>
      <c r="S56" s="495"/>
      <c r="T56" s="842"/>
      <c r="U56" s="842"/>
      <c r="V56" s="842"/>
      <c r="W56" s="1250" t="s">
        <v>1164</v>
      </c>
      <c r="X56" s="842"/>
      <c r="Y56" s="478"/>
      <c r="Z56" s="842"/>
      <c r="AA56" s="842"/>
      <c r="AB56" s="842"/>
      <c r="AC56" s="842"/>
      <c r="AD56" s="842"/>
      <c r="AE56" s="1273"/>
      <c r="AF56" s="842"/>
      <c r="AG56" s="842"/>
      <c r="AH56" s="842"/>
      <c r="AI56" s="842"/>
      <c r="AJ56" s="842"/>
      <c r="AK56" s="478"/>
      <c r="AL56" s="842"/>
      <c r="AM56" s="842"/>
      <c r="AN56" s="842"/>
      <c r="AO56" s="842"/>
      <c r="AP56" s="842"/>
    </row>
    <row r="57" spans="1:43" ht="48.75" customHeight="1">
      <c r="A57" s="1251" t="s">
        <v>508</v>
      </c>
      <c r="B57" s="2199" t="s">
        <v>509</v>
      </c>
      <c r="C57" s="2201"/>
      <c r="D57" s="1209" t="s">
        <v>4</v>
      </c>
      <c r="E57" s="55" t="s">
        <v>510</v>
      </c>
      <c r="F57" s="462">
        <v>15</v>
      </c>
      <c r="G57" s="458">
        <f>R.HN!C39</f>
        <v>0</v>
      </c>
      <c r="H57" s="1832">
        <f t="shared" ref="H57" si="0">G57</f>
        <v>0</v>
      </c>
      <c r="I57" s="1832">
        <f>($F$57-H57)*2160*3.34/1000</f>
        <v>108.21599999999999</v>
      </c>
      <c r="J57" s="1833" t="s">
        <v>8</v>
      </c>
      <c r="K57" s="1816">
        <f>IF(H57=0,0,IF(I57&lt;0,0,I57))</f>
        <v>0</v>
      </c>
      <c r="L57" s="1832" t="s">
        <v>9</v>
      </c>
      <c r="M57" s="1836">
        <f>R.HN!D39</f>
        <v>0</v>
      </c>
      <c r="N57" s="1832">
        <f t="shared" ref="N57" si="1">M57</f>
        <v>0</v>
      </c>
      <c r="O57" s="1832">
        <f>($F$57-N57)*2160*3.34/1000</f>
        <v>108.21599999999999</v>
      </c>
      <c r="P57" s="1833" t="s">
        <v>8</v>
      </c>
      <c r="Q57" s="1816">
        <f>IF(N57=0,0,IF(O57&lt;0,0,O57))</f>
        <v>0</v>
      </c>
      <c r="R57" s="304" t="s">
        <v>9</v>
      </c>
      <c r="S57" s="498">
        <f>R.HN!E39</f>
        <v>0</v>
      </c>
      <c r="T57" s="842"/>
      <c r="U57" s="843"/>
      <c r="V57" s="844"/>
      <c r="W57" s="845"/>
      <c r="X57" s="846"/>
      <c r="Y57" s="1274"/>
      <c r="Z57" s="843"/>
      <c r="AA57" s="843"/>
      <c r="AB57" s="844"/>
      <c r="AC57" s="845"/>
      <c r="AD57" s="846"/>
      <c r="AE57" s="1274"/>
      <c r="AF57" s="843"/>
      <c r="AG57" s="843"/>
      <c r="AH57" s="844"/>
      <c r="AI57" s="845"/>
      <c r="AJ57" s="846"/>
      <c r="AK57" s="1274"/>
      <c r="AL57" s="843"/>
      <c r="AM57" s="843"/>
      <c r="AN57" s="844"/>
      <c r="AO57" s="845"/>
      <c r="AP57" s="846"/>
      <c r="AQ57" s="12" t="s">
        <v>511</v>
      </c>
    </row>
    <row r="58" spans="1:43" ht="48.75" customHeight="1">
      <c r="A58" s="1251" t="s">
        <v>512</v>
      </c>
      <c r="B58" s="2199" t="s">
        <v>513</v>
      </c>
      <c r="C58" s="2201"/>
      <c r="D58" s="1209" t="s">
        <v>4</v>
      </c>
      <c r="E58" s="13" t="s">
        <v>255</v>
      </c>
      <c r="F58" s="1209">
        <v>50</v>
      </c>
      <c r="G58" s="458">
        <f>R.HN!C40</f>
        <v>0</v>
      </c>
      <c r="H58" s="1838">
        <f>G58*6.49</f>
        <v>0</v>
      </c>
      <c r="I58" s="1838">
        <f>($F$58-H58)*2160*3.34/1000</f>
        <v>360.72</v>
      </c>
      <c r="J58" s="1833" t="s">
        <v>8</v>
      </c>
      <c r="K58" s="1816">
        <f>IF(H58=0,0,IF(I58&lt;0,0,I58))</f>
        <v>0</v>
      </c>
      <c r="L58" s="1832" t="s">
        <v>9</v>
      </c>
      <c r="M58" s="1839">
        <f>R.HN!D40</f>
        <v>0</v>
      </c>
      <c r="N58" s="1838">
        <f>M58*6.49</f>
        <v>0</v>
      </c>
      <c r="O58" s="1832">
        <f>($F$58-N58)*2160*3.34/1000</f>
        <v>360.72</v>
      </c>
      <c r="P58" s="1833" t="s">
        <v>8</v>
      </c>
      <c r="Q58" s="1816">
        <f>IF(N58=0,0,IF(O58&lt;0,0,O58))</f>
        <v>0</v>
      </c>
      <c r="R58" s="304" t="s">
        <v>9</v>
      </c>
      <c r="S58" s="498">
        <f>R.HN!E40</f>
        <v>0</v>
      </c>
      <c r="T58" s="1313" t="s">
        <v>1165</v>
      </c>
      <c r="U58" s="843"/>
      <c r="V58" s="1313"/>
      <c r="W58" s="2675" t="s">
        <v>1080</v>
      </c>
      <c r="X58" s="846"/>
      <c r="Y58" s="1274"/>
      <c r="Z58" s="843"/>
      <c r="AA58" s="843"/>
      <c r="AB58" s="844"/>
      <c r="AC58" s="845"/>
      <c r="AD58" s="846"/>
      <c r="AE58" s="1274"/>
      <c r="AF58" s="843"/>
      <c r="AG58" s="843"/>
      <c r="AH58" s="844"/>
      <c r="AI58" s="845"/>
      <c r="AJ58" s="846"/>
      <c r="AK58" s="1274"/>
      <c r="AL58" s="843"/>
      <c r="AM58" s="843"/>
      <c r="AN58" s="844"/>
      <c r="AO58" s="845"/>
      <c r="AP58" s="846"/>
      <c r="AQ58" s="12" t="s">
        <v>511</v>
      </c>
    </row>
    <row r="59" spans="1:43" ht="48.75" customHeight="1">
      <c r="A59" s="1251" t="s">
        <v>514</v>
      </c>
      <c r="B59" s="2199" t="s">
        <v>515</v>
      </c>
      <c r="C59" s="2201"/>
      <c r="D59" s="1209" t="s">
        <v>4</v>
      </c>
      <c r="E59" s="13" t="s">
        <v>255</v>
      </c>
      <c r="F59" s="1209">
        <v>50</v>
      </c>
      <c r="G59" s="458">
        <f>R.HN!C41</f>
        <v>0</v>
      </c>
      <c r="H59" s="1838">
        <f>G59*6.49</f>
        <v>0</v>
      </c>
      <c r="I59" s="1838">
        <f>($F$59-H59)*2700*3.33/1000</f>
        <v>449.55</v>
      </c>
      <c r="J59" s="1833" t="s">
        <v>8</v>
      </c>
      <c r="K59" s="1816">
        <f>IF(H59=0,0,IF(I59&lt;0,0,I59))</f>
        <v>0</v>
      </c>
      <c r="L59" s="1832" t="s">
        <v>9</v>
      </c>
      <c r="M59" s="1839">
        <f>R.HN!D41</f>
        <v>0</v>
      </c>
      <c r="N59" s="1838">
        <f>M59*6.49</f>
        <v>0</v>
      </c>
      <c r="O59" s="1832">
        <f>($F$59-N59)*2700*3.33/1000</f>
        <v>449.55</v>
      </c>
      <c r="P59" s="1833" t="s">
        <v>8</v>
      </c>
      <c r="Q59" s="1816">
        <f>IF(N59=0,0,IF(O59&lt;0,0,O59))</f>
        <v>0</v>
      </c>
      <c r="R59" s="304" t="s">
        <v>9</v>
      </c>
      <c r="S59" s="498">
        <f>R.HN!E41</f>
        <v>0</v>
      </c>
      <c r="T59" s="1313" t="s">
        <v>1165</v>
      </c>
      <c r="U59" s="843"/>
      <c r="V59" s="1313"/>
      <c r="W59" s="2675"/>
      <c r="X59" s="846"/>
      <c r="Y59" s="1274"/>
      <c r="Z59" s="843"/>
      <c r="AA59" s="843"/>
      <c r="AB59" s="844"/>
      <c r="AC59" s="845"/>
      <c r="AD59" s="846"/>
      <c r="AE59" s="1274"/>
      <c r="AF59" s="843"/>
      <c r="AG59" s="843"/>
      <c r="AH59" s="844"/>
      <c r="AI59" s="845"/>
      <c r="AJ59" s="846"/>
      <c r="AK59" s="1274"/>
      <c r="AL59" s="843"/>
      <c r="AM59" s="843"/>
      <c r="AN59" s="844"/>
      <c r="AO59" s="845"/>
      <c r="AP59" s="846"/>
      <c r="AQ59" s="12" t="s">
        <v>511</v>
      </c>
    </row>
    <row r="60" spans="1:43" ht="48.75" hidden="1" customHeight="1">
      <c r="A60" s="1251" t="s">
        <v>516</v>
      </c>
      <c r="B60" s="2199" t="s">
        <v>517</v>
      </c>
      <c r="C60" s="2201"/>
      <c r="D60" s="1209" t="s">
        <v>466</v>
      </c>
      <c r="E60" s="55" t="s">
        <v>1166</v>
      </c>
      <c r="F60" s="462">
        <v>10</v>
      </c>
      <c r="G60" s="458">
        <f>R.HN!C42</f>
        <v>0</v>
      </c>
      <c r="H60" s="1832">
        <f t="shared" ref="H60:H62" si="2">G60</f>
        <v>0</v>
      </c>
      <c r="I60" s="1832">
        <f>($F$60-H60)*2160*5.77/1000</f>
        <v>124.63199999999999</v>
      </c>
      <c r="J60" s="1833" t="s">
        <v>8</v>
      </c>
      <c r="K60" s="1834">
        <f t="shared" ref="K60" si="3">IF(I60&lt;0,0,I60)</f>
        <v>124.63199999999999</v>
      </c>
      <c r="L60" s="1833" t="s">
        <v>10</v>
      </c>
      <c r="M60" s="1835">
        <f>R.HN!D42</f>
        <v>0</v>
      </c>
      <c r="N60" s="1832">
        <f t="shared" ref="N60:N62" si="4">M60</f>
        <v>0</v>
      </c>
      <c r="O60" s="1832">
        <f>($F$60-N60)*2160*5.77/1000</f>
        <v>124.63199999999999</v>
      </c>
      <c r="P60" s="1833" t="s">
        <v>8</v>
      </c>
      <c r="Q60" s="1834">
        <f t="shared" ref="Q60" si="5">IF(O60&lt;0,0,O60)</f>
        <v>124.63199999999999</v>
      </c>
      <c r="R60" s="304" t="s">
        <v>10</v>
      </c>
      <c r="S60" s="498">
        <f>R.HN!E42</f>
        <v>0</v>
      </c>
      <c r="T60" s="842"/>
      <c r="U60" s="843"/>
      <c r="V60" s="844"/>
      <c r="W60" s="845"/>
      <c r="X60" s="846"/>
      <c r="Y60" s="1274"/>
      <c r="Z60" s="843"/>
      <c r="AA60" s="843"/>
      <c r="AB60" s="844"/>
      <c r="AC60" s="845"/>
      <c r="AD60" s="846"/>
      <c r="AE60" s="1274"/>
      <c r="AF60" s="843"/>
      <c r="AG60" s="843"/>
      <c r="AH60" s="844"/>
      <c r="AI60" s="845"/>
      <c r="AJ60" s="846"/>
      <c r="AK60" s="1274"/>
      <c r="AL60" s="843"/>
      <c r="AM60" s="843"/>
      <c r="AN60" s="844"/>
      <c r="AO60" s="845"/>
      <c r="AP60" s="846"/>
      <c r="AQ60" s="12" t="s">
        <v>511</v>
      </c>
    </row>
    <row r="61" spans="1:43" ht="48.75" customHeight="1">
      <c r="A61" s="1251" t="s">
        <v>518</v>
      </c>
      <c r="B61" s="2199" t="s">
        <v>519</v>
      </c>
      <c r="C61" s="2201"/>
      <c r="D61" s="1209" t="s">
        <v>466</v>
      </c>
      <c r="E61" s="55" t="s">
        <v>520</v>
      </c>
      <c r="F61" s="457">
        <v>1.5</v>
      </c>
      <c r="G61" s="458">
        <f>R.HN!C43</f>
        <v>0</v>
      </c>
      <c r="H61" s="1827">
        <f t="shared" si="2"/>
        <v>0</v>
      </c>
      <c r="I61" s="1832">
        <f>(H61-$F$61)*2430*3.3/1000</f>
        <v>-12.028499999999999</v>
      </c>
      <c r="J61" s="1833" t="s">
        <v>8</v>
      </c>
      <c r="K61" s="1815">
        <f>IF(H61=0,0,IF(I61&lt;0,0,I61))</f>
        <v>0</v>
      </c>
      <c r="L61" s="1833" t="s">
        <v>9</v>
      </c>
      <c r="M61" s="1835">
        <f>R.HN!D43</f>
        <v>0</v>
      </c>
      <c r="N61" s="1827">
        <f t="shared" si="4"/>
        <v>0</v>
      </c>
      <c r="O61" s="1832">
        <f>(N61-$F$61)*2430*3.3/1000</f>
        <v>-12.028499999999999</v>
      </c>
      <c r="P61" s="1833" t="s">
        <v>8</v>
      </c>
      <c r="Q61" s="1815">
        <f>IF(N61=0,0,IF(O61&lt;0,0,O61))</f>
        <v>0</v>
      </c>
      <c r="R61" s="304" t="s">
        <v>9</v>
      </c>
      <c r="S61" s="498">
        <f>R.HN!E43</f>
        <v>0</v>
      </c>
      <c r="T61" s="842"/>
      <c r="U61" s="843"/>
      <c r="V61" s="844"/>
      <c r="W61" s="847"/>
      <c r="X61" s="846"/>
      <c r="Y61" s="1274"/>
      <c r="Z61" s="843"/>
      <c r="AA61" s="843"/>
      <c r="AB61" s="844"/>
      <c r="AC61" s="847"/>
      <c r="AD61" s="846"/>
      <c r="AE61" s="1274"/>
      <c r="AF61" s="843"/>
      <c r="AG61" s="843"/>
      <c r="AH61" s="844"/>
      <c r="AI61" s="847"/>
      <c r="AJ61" s="846"/>
      <c r="AK61" s="1274"/>
      <c r="AL61" s="843"/>
      <c r="AM61" s="843"/>
      <c r="AN61" s="844"/>
      <c r="AO61" s="847"/>
      <c r="AP61" s="846"/>
      <c r="AQ61" s="12" t="s">
        <v>511</v>
      </c>
    </row>
    <row r="62" spans="1:43" ht="48.75" customHeight="1">
      <c r="A62" s="1251" t="s">
        <v>521</v>
      </c>
      <c r="B62" s="2199" t="s">
        <v>522</v>
      </c>
      <c r="C62" s="2201"/>
      <c r="D62" s="1209" t="s">
        <v>466</v>
      </c>
      <c r="E62" s="55" t="s">
        <v>523</v>
      </c>
      <c r="F62" s="462">
        <v>22.5</v>
      </c>
      <c r="G62" s="458">
        <f>R.HN!C44</f>
        <v>0</v>
      </c>
      <c r="H62" s="1832">
        <f t="shared" si="2"/>
        <v>0</v>
      </c>
      <c r="I62" s="1832">
        <f>($F$62-H62)*2430*4/1000</f>
        <v>218.7</v>
      </c>
      <c r="J62" s="1833" t="s">
        <v>8</v>
      </c>
      <c r="K62" s="1816">
        <f>IF(H62=0,0,IF(I62&lt;0,0,I62))</f>
        <v>0</v>
      </c>
      <c r="L62" s="1833" t="s">
        <v>9</v>
      </c>
      <c r="M62" s="1835">
        <f>R.HN!D44</f>
        <v>0</v>
      </c>
      <c r="N62" s="1832">
        <f t="shared" si="4"/>
        <v>0</v>
      </c>
      <c r="O62" s="1832">
        <f>($F$62-N62)*2430*4/1000</f>
        <v>218.7</v>
      </c>
      <c r="P62" s="1833" t="s">
        <v>8</v>
      </c>
      <c r="Q62" s="1816">
        <f>IF(N62=0,0,IF(O62&lt;0,0,O62))</f>
        <v>0</v>
      </c>
      <c r="R62" s="304" t="s">
        <v>9</v>
      </c>
      <c r="S62" s="498">
        <f>R.HN!E44</f>
        <v>0</v>
      </c>
      <c r="T62" s="842"/>
      <c r="U62" s="843"/>
      <c r="V62" s="844"/>
      <c r="W62" s="845"/>
      <c r="X62" s="846"/>
      <c r="Y62" s="1274"/>
      <c r="Z62" s="843"/>
      <c r="AA62" s="843"/>
      <c r="AB62" s="844"/>
      <c r="AC62" s="845"/>
      <c r="AD62" s="846"/>
      <c r="AE62" s="1274"/>
      <c r="AF62" s="843"/>
      <c r="AG62" s="843"/>
      <c r="AH62" s="844"/>
      <c r="AI62" s="845"/>
      <c r="AJ62" s="846"/>
      <c r="AK62" s="1274"/>
      <c r="AL62" s="843"/>
      <c r="AM62" s="843"/>
      <c r="AN62" s="844"/>
      <c r="AO62" s="845"/>
      <c r="AP62" s="846"/>
      <c r="AQ62" s="12" t="s">
        <v>511</v>
      </c>
    </row>
    <row r="63" spans="1:43" ht="48.75" customHeight="1">
      <c r="A63" s="1251" t="s">
        <v>524</v>
      </c>
      <c r="B63" s="2199" t="s">
        <v>525</v>
      </c>
      <c r="C63" s="2201"/>
      <c r="D63" s="1209" t="s">
        <v>466</v>
      </c>
      <c r="E63" s="661" t="s">
        <v>526</v>
      </c>
      <c r="F63" s="457">
        <v>7.5</v>
      </c>
      <c r="G63" s="458">
        <f>R.HN!C45</f>
        <v>0</v>
      </c>
      <c r="H63" s="1832">
        <f>R.HN!C45</f>
        <v>0</v>
      </c>
      <c r="I63" s="1832">
        <f>($F$63-H63)*2430*0.43/1000</f>
        <v>7.8367500000000003</v>
      </c>
      <c r="J63" s="1833" t="s">
        <v>8</v>
      </c>
      <c r="K63" s="1815">
        <f>IF(H63=0,0,IF(I63&lt;0,0,I63))</f>
        <v>0</v>
      </c>
      <c r="L63" s="1833" t="s">
        <v>9</v>
      </c>
      <c r="M63" s="1835">
        <f>R.HN!D45</f>
        <v>0</v>
      </c>
      <c r="N63" s="1832">
        <f>R.HN!D45</f>
        <v>0</v>
      </c>
      <c r="O63" s="1832">
        <f>($F$63-N63)*2430*0.43/1000</f>
        <v>7.8367500000000003</v>
      </c>
      <c r="P63" s="1833" t="s">
        <v>8</v>
      </c>
      <c r="Q63" s="1815">
        <f>IF(N63=0,0,IF(O63&lt;0,0,O63))</f>
        <v>0</v>
      </c>
      <c r="R63" s="304" t="s">
        <v>9</v>
      </c>
      <c r="S63" s="498">
        <f>R.HN!E45</f>
        <v>0</v>
      </c>
      <c r="T63" s="842"/>
      <c r="U63" s="843"/>
      <c r="V63" s="844"/>
      <c r="W63" s="847"/>
      <c r="X63" s="846"/>
      <c r="Y63" s="1274"/>
      <c r="Z63" s="843"/>
      <c r="AA63" s="843"/>
      <c r="AB63" s="844"/>
      <c r="AC63" s="847"/>
      <c r="AD63" s="846"/>
      <c r="AE63" s="1274"/>
      <c r="AF63" s="843"/>
      <c r="AG63" s="843"/>
      <c r="AH63" s="844"/>
      <c r="AI63" s="847"/>
      <c r="AJ63" s="846"/>
      <c r="AK63" s="1274"/>
      <c r="AL63" s="843"/>
      <c r="AM63" s="843"/>
      <c r="AN63" s="844"/>
      <c r="AO63" s="847"/>
      <c r="AP63" s="846"/>
      <c r="AQ63" s="12" t="s">
        <v>511</v>
      </c>
    </row>
    <row r="64" spans="1:43" ht="48.75" customHeight="1">
      <c r="A64" s="1251" t="s">
        <v>527</v>
      </c>
      <c r="B64" s="2199" t="s">
        <v>528</v>
      </c>
      <c r="C64" s="2201"/>
      <c r="D64" s="1209" t="s">
        <v>5</v>
      </c>
      <c r="E64" s="55" t="s">
        <v>529</v>
      </c>
      <c r="F64" s="1275"/>
      <c r="G64" s="458" t="e">
        <f>R.HN!#REF!</f>
        <v>#REF!</v>
      </c>
      <c r="H64" s="1832">
        <f>R.HN!C46</f>
        <v>0</v>
      </c>
      <c r="I64" s="1832"/>
      <c r="J64" s="1833"/>
      <c r="K64" s="1834"/>
      <c r="L64" s="1833"/>
      <c r="M64" s="1835" t="e">
        <f>R.HN!#REF!</f>
        <v>#REF!</v>
      </c>
      <c r="N64" s="1832">
        <f>R.HN!D46</f>
        <v>0</v>
      </c>
      <c r="O64" s="1832"/>
      <c r="P64" s="1833"/>
      <c r="Q64" s="1834"/>
      <c r="R64" s="304"/>
      <c r="S64" s="498"/>
      <c r="T64" s="842"/>
      <c r="U64" s="843"/>
      <c r="V64" s="844"/>
      <c r="W64" s="847"/>
      <c r="X64" s="846"/>
      <c r="Y64" s="1274"/>
      <c r="Z64" s="843"/>
      <c r="AA64" s="843"/>
      <c r="AB64" s="844"/>
      <c r="AC64" s="847"/>
      <c r="AD64" s="846"/>
      <c r="AE64" s="1274"/>
      <c r="AF64" s="843"/>
      <c r="AG64" s="843"/>
      <c r="AH64" s="844"/>
      <c r="AI64" s="847"/>
      <c r="AJ64" s="846"/>
      <c r="AK64" s="1274"/>
      <c r="AL64" s="843"/>
      <c r="AM64" s="843"/>
      <c r="AN64" s="844"/>
      <c r="AO64" s="847"/>
      <c r="AP64" s="846"/>
      <c r="AQ64" s="12" t="s">
        <v>511</v>
      </c>
    </row>
    <row r="65" spans="1:43" ht="42" customHeight="1">
      <c r="A65" s="1251" t="s">
        <v>530</v>
      </c>
      <c r="B65" s="2199" t="s">
        <v>531</v>
      </c>
      <c r="C65" s="2201"/>
      <c r="D65" s="1209" t="s">
        <v>5</v>
      </c>
      <c r="E65" s="661" t="s">
        <v>532</v>
      </c>
      <c r="F65" s="457"/>
      <c r="G65" s="458">
        <f>R.HN!C44</f>
        <v>0</v>
      </c>
      <c r="H65" s="1832">
        <f>R.HN!C47</f>
        <v>0</v>
      </c>
      <c r="I65" s="1832">
        <f>($F$63-H65)*2430*0.43/1000</f>
        <v>7.8367500000000003</v>
      </c>
      <c r="J65" s="1833"/>
      <c r="K65" s="1834"/>
      <c r="L65" s="1833"/>
      <c r="M65" s="1835">
        <f>R.HN!D44</f>
        <v>0</v>
      </c>
      <c r="N65" s="1832">
        <f>R.HN!D47</f>
        <v>0</v>
      </c>
      <c r="O65" s="1832">
        <f>($F$63-N65)*2430*0.43/1000</f>
        <v>7.8367500000000003</v>
      </c>
      <c r="P65" s="1833"/>
      <c r="Q65" s="1834"/>
      <c r="R65" s="304"/>
      <c r="S65" s="498">
        <f>R.HN!E44</f>
        <v>0</v>
      </c>
      <c r="T65" s="842">
        <f>H65</f>
        <v>0</v>
      </c>
      <c r="U65" s="843"/>
      <c r="V65" s="844"/>
      <c r="W65" s="847"/>
      <c r="X65" s="846"/>
      <c r="Y65" s="1274"/>
      <c r="Z65" s="843"/>
      <c r="AA65" s="843"/>
      <c r="AB65" s="844"/>
      <c r="AC65" s="847"/>
      <c r="AD65" s="846"/>
      <c r="AE65" s="1274"/>
      <c r="AF65" s="843"/>
      <c r="AG65" s="843"/>
      <c r="AH65" s="844"/>
      <c r="AI65" s="847"/>
      <c r="AJ65" s="846"/>
      <c r="AK65" s="1274"/>
      <c r="AL65" s="843"/>
      <c r="AM65" s="843"/>
      <c r="AN65" s="844"/>
      <c r="AO65" s="847"/>
      <c r="AP65" s="846"/>
      <c r="AQ65" s="12" t="s">
        <v>511</v>
      </c>
    </row>
    <row r="66" spans="1:43" ht="42" hidden="1" customHeight="1">
      <c r="A66" s="1251" t="s">
        <v>533</v>
      </c>
      <c r="B66" s="2199" t="s">
        <v>534</v>
      </c>
      <c r="C66" s="2201"/>
      <c r="D66" s="1209" t="s">
        <v>5</v>
      </c>
      <c r="E66" s="661" t="s">
        <v>532</v>
      </c>
      <c r="F66" s="457"/>
      <c r="G66" s="458"/>
      <c r="H66" s="338">
        <f>R.HN!C48</f>
        <v>0</v>
      </c>
      <c r="I66" s="338"/>
      <c r="J66" s="335"/>
      <c r="K66" s="341"/>
      <c r="L66" s="346"/>
      <c r="M66" s="459"/>
      <c r="N66" s="338">
        <f>R.HN!D48</f>
        <v>0</v>
      </c>
      <c r="O66" s="338"/>
      <c r="P66" s="335"/>
      <c r="Q66" s="341"/>
      <c r="R66" s="304"/>
      <c r="S66" s="498"/>
      <c r="T66" s="842">
        <f>H66</f>
        <v>0</v>
      </c>
      <c r="U66" s="843"/>
      <c r="V66" s="844"/>
      <c r="W66" s="847"/>
      <c r="X66" s="846"/>
      <c r="Y66" s="1274"/>
      <c r="Z66" s="843"/>
      <c r="AA66" s="843"/>
      <c r="AB66" s="844"/>
      <c r="AC66" s="847"/>
      <c r="AD66" s="846"/>
      <c r="AE66" s="1274"/>
      <c r="AF66" s="843"/>
      <c r="AG66" s="843"/>
      <c r="AH66" s="844"/>
      <c r="AI66" s="847"/>
      <c r="AJ66" s="846"/>
      <c r="AK66" s="1274"/>
      <c r="AL66" s="843"/>
      <c r="AM66" s="843"/>
      <c r="AN66" s="844"/>
      <c r="AO66" s="847"/>
      <c r="AP66" s="846"/>
      <c r="AQ66" s="12" t="s">
        <v>511</v>
      </c>
    </row>
    <row r="67" spans="1:43" ht="42" customHeight="1">
      <c r="A67" s="1251" t="s">
        <v>535</v>
      </c>
      <c r="B67" s="2199" t="s">
        <v>406</v>
      </c>
      <c r="C67" s="2201"/>
      <c r="D67" s="1209" t="s">
        <v>3</v>
      </c>
      <c r="E67" s="661" t="s">
        <v>407</v>
      </c>
      <c r="F67" s="1276">
        <v>15</v>
      </c>
      <c r="G67" s="458"/>
      <c r="H67" s="463" t="str">
        <f>IFERROR('ED-XI DEN'!L15*100,"")</f>
        <v/>
      </c>
      <c r="I67" s="338" t="e">
        <f>($F$67-H67)*2295/100</f>
        <v>#VALUE!</v>
      </c>
      <c r="J67" s="335" t="s">
        <v>8</v>
      </c>
      <c r="K67" s="341" t="str">
        <f>IFERROR(IF(I67&lt;0,0,I67),"")</f>
        <v/>
      </c>
      <c r="L67" s="346" t="s">
        <v>10</v>
      </c>
      <c r="M67" s="459"/>
      <c r="N67" s="304" t="s">
        <v>1167</v>
      </c>
      <c r="O67" s="338"/>
      <c r="P67" s="335"/>
      <c r="Q67" s="341"/>
      <c r="R67" s="304"/>
      <c r="S67" s="498"/>
      <c r="T67" s="842" t="str">
        <f>H67</f>
        <v/>
      </c>
      <c r="U67" s="843"/>
      <c r="V67" s="844"/>
      <c r="W67" s="847"/>
      <c r="X67" s="846"/>
      <c r="Y67" s="1274"/>
      <c r="Z67" s="843"/>
      <c r="AA67" s="843"/>
      <c r="AB67" s="844"/>
      <c r="AC67" s="847"/>
      <c r="AD67" s="846"/>
      <c r="AE67" s="1274"/>
      <c r="AF67" s="843"/>
      <c r="AG67" s="843"/>
      <c r="AH67" s="844"/>
      <c r="AI67" s="847"/>
      <c r="AJ67" s="846"/>
      <c r="AK67" s="1274"/>
      <c r="AL67" s="843"/>
      <c r="AM67" s="843"/>
      <c r="AN67" s="844"/>
      <c r="AO67" s="847"/>
      <c r="AP67" s="846"/>
      <c r="AQ67" s="12" t="s">
        <v>511</v>
      </c>
    </row>
    <row r="68" spans="1:43" ht="42" customHeight="1">
      <c r="A68" s="1251" t="s">
        <v>536</v>
      </c>
      <c r="B68" s="2199" t="s">
        <v>408</v>
      </c>
      <c r="C68" s="2201"/>
      <c r="D68" s="1209" t="s">
        <v>3</v>
      </c>
      <c r="E68" s="661" t="s">
        <v>409</v>
      </c>
      <c r="F68" s="1276">
        <v>12</v>
      </c>
      <c r="G68" s="458"/>
      <c r="H68" s="463" t="str">
        <f>IFERROR('ED-XI DEN'!L16*100,"")</f>
        <v/>
      </c>
      <c r="I68" s="338" t="e">
        <f>($F$68-H68)*2295/100</f>
        <v>#VALUE!</v>
      </c>
      <c r="J68" s="335" t="s">
        <v>8</v>
      </c>
      <c r="K68" s="341" t="str">
        <f t="shared" ref="K68:K70" si="6">IFERROR(IF(I68&lt;0,0,I68),"")</f>
        <v/>
      </c>
      <c r="L68" s="346" t="s">
        <v>10</v>
      </c>
      <c r="M68" s="459"/>
      <c r="N68" s="304" t="s">
        <v>1167</v>
      </c>
      <c r="O68" s="338"/>
      <c r="P68" s="335"/>
      <c r="Q68" s="341"/>
      <c r="R68" s="304"/>
      <c r="S68" s="498"/>
      <c r="T68" s="842" t="str">
        <f t="shared" ref="T68:T72" si="7">H68</f>
        <v/>
      </c>
      <c r="U68" s="843"/>
      <c r="V68" s="844"/>
      <c r="W68" s="847"/>
      <c r="X68" s="846"/>
      <c r="Y68" s="1274"/>
      <c r="Z68" s="843"/>
      <c r="AA68" s="843"/>
      <c r="AB68" s="844"/>
      <c r="AC68" s="847"/>
      <c r="AD68" s="846"/>
      <c r="AE68" s="1274"/>
      <c r="AF68" s="843"/>
      <c r="AG68" s="843"/>
      <c r="AH68" s="844"/>
      <c r="AI68" s="847"/>
      <c r="AJ68" s="846"/>
      <c r="AK68" s="1274"/>
      <c r="AL68" s="843"/>
      <c r="AM68" s="843"/>
      <c r="AN68" s="844"/>
      <c r="AO68" s="847"/>
      <c r="AP68" s="846"/>
      <c r="AQ68" s="12" t="s">
        <v>511</v>
      </c>
    </row>
    <row r="69" spans="1:43" ht="34.5" hidden="1" customHeight="1">
      <c r="A69" s="1251" t="s">
        <v>537</v>
      </c>
      <c r="B69" s="2199" t="s">
        <v>410</v>
      </c>
      <c r="C69" s="2201"/>
      <c r="D69" s="1209" t="s">
        <v>3</v>
      </c>
      <c r="E69" s="661" t="s">
        <v>407</v>
      </c>
      <c r="F69" s="1276">
        <v>15</v>
      </c>
      <c r="G69" s="458"/>
      <c r="H69" s="463" t="str">
        <f>IFERROR('ED-XI DEN'!L17*100,"")</f>
        <v/>
      </c>
      <c r="I69" s="338" t="e">
        <f>($F$69-H69)*2295/100</f>
        <v>#VALUE!</v>
      </c>
      <c r="J69" s="335" t="s">
        <v>8</v>
      </c>
      <c r="K69" s="341" t="str">
        <f t="shared" si="6"/>
        <v/>
      </c>
      <c r="L69" s="346" t="s">
        <v>10</v>
      </c>
      <c r="M69" s="459"/>
      <c r="N69" s="304" t="s">
        <v>1167</v>
      </c>
      <c r="O69" s="338"/>
      <c r="P69" s="335"/>
      <c r="Q69" s="341"/>
      <c r="R69" s="304"/>
      <c r="S69" s="498"/>
      <c r="T69" s="842" t="str">
        <f t="shared" si="7"/>
        <v/>
      </c>
      <c r="U69" s="843"/>
      <c r="V69" s="844"/>
      <c r="W69" s="847"/>
      <c r="X69" s="846"/>
      <c r="Y69" s="1274"/>
      <c r="Z69" s="843"/>
      <c r="AA69" s="843"/>
      <c r="AB69" s="844"/>
      <c r="AC69" s="847"/>
      <c r="AD69" s="846"/>
      <c r="AE69" s="1274"/>
      <c r="AF69" s="843"/>
      <c r="AG69" s="843"/>
      <c r="AH69" s="844"/>
      <c r="AI69" s="847"/>
      <c r="AJ69" s="846"/>
      <c r="AK69" s="1274"/>
      <c r="AL69" s="843"/>
      <c r="AM69" s="843"/>
      <c r="AN69" s="844"/>
      <c r="AO69" s="847"/>
      <c r="AP69" s="846"/>
      <c r="AQ69" s="12" t="s">
        <v>511</v>
      </c>
    </row>
    <row r="70" spans="1:43" ht="34.5" hidden="1" customHeight="1">
      <c r="A70" s="1251" t="s">
        <v>538</v>
      </c>
      <c r="B70" s="2199" t="s">
        <v>411</v>
      </c>
      <c r="C70" s="2201"/>
      <c r="D70" s="1209" t="s">
        <v>3</v>
      </c>
      <c r="E70" s="661" t="s">
        <v>409</v>
      </c>
      <c r="F70" s="1276">
        <v>12</v>
      </c>
      <c r="G70" s="458"/>
      <c r="H70" s="463" t="str">
        <f>IFERROR('ED-XI DEN'!L18*100,"")</f>
        <v/>
      </c>
      <c r="I70" s="338" t="e">
        <f>($F$70-H70)*2295/100</f>
        <v>#VALUE!</v>
      </c>
      <c r="J70" s="335" t="s">
        <v>8</v>
      </c>
      <c r="K70" s="341" t="str">
        <f t="shared" si="6"/>
        <v/>
      </c>
      <c r="L70" s="346" t="s">
        <v>10</v>
      </c>
      <c r="M70" s="459"/>
      <c r="N70" s="304" t="s">
        <v>1167</v>
      </c>
      <c r="O70" s="338"/>
      <c r="P70" s="335"/>
      <c r="Q70" s="341"/>
      <c r="R70" s="304"/>
      <c r="S70" s="498"/>
      <c r="T70" s="842" t="str">
        <f t="shared" si="7"/>
        <v/>
      </c>
      <c r="U70" s="843"/>
      <c r="V70" s="844"/>
      <c r="W70" s="847"/>
      <c r="X70" s="846"/>
      <c r="Y70" s="1274"/>
      <c r="Z70" s="843"/>
      <c r="AA70" s="843"/>
      <c r="AB70" s="844"/>
      <c r="AC70" s="847"/>
      <c r="AD70" s="846"/>
      <c r="AE70" s="1274"/>
      <c r="AF70" s="843"/>
      <c r="AG70" s="843"/>
      <c r="AH70" s="844"/>
      <c r="AI70" s="847"/>
      <c r="AJ70" s="846"/>
      <c r="AK70" s="1274"/>
      <c r="AL70" s="843"/>
      <c r="AM70" s="843"/>
      <c r="AN70" s="844"/>
      <c r="AO70" s="847"/>
      <c r="AP70" s="846"/>
      <c r="AQ70" s="12" t="s">
        <v>511</v>
      </c>
    </row>
    <row r="71" spans="1:43" ht="34.5" customHeight="1">
      <c r="A71" s="1251" t="s">
        <v>539</v>
      </c>
      <c r="B71" s="2199" t="s">
        <v>412</v>
      </c>
      <c r="C71" s="2201"/>
      <c r="D71" s="1209" t="s">
        <v>3</v>
      </c>
      <c r="E71" s="55" t="s">
        <v>413</v>
      </c>
      <c r="F71" s="1277"/>
      <c r="G71" s="1278"/>
      <c r="H71" s="1279" t="str">
        <f>IFERROR('ED-XI DEN'!L19*100,"")</f>
        <v/>
      </c>
      <c r="I71" s="840"/>
      <c r="J71" s="335"/>
      <c r="K71" s="341"/>
      <c r="L71" s="346"/>
      <c r="M71" s="459">
        <f>R.HN!D49</f>
        <v>0</v>
      </c>
      <c r="N71" s="304" t="s">
        <v>1168</v>
      </c>
      <c r="O71" s="338"/>
      <c r="P71" s="335"/>
      <c r="Q71" s="341"/>
      <c r="R71" s="304"/>
      <c r="S71" s="498"/>
      <c r="T71" s="842" t="str">
        <f t="shared" si="7"/>
        <v/>
      </c>
      <c r="U71" s="843"/>
      <c r="V71" s="844"/>
      <c r="W71" s="847"/>
      <c r="X71" s="846"/>
      <c r="Y71" s="1274"/>
      <c r="Z71" s="843"/>
      <c r="AA71" s="843"/>
      <c r="AB71" s="844"/>
      <c r="AC71" s="847"/>
      <c r="AD71" s="846"/>
      <c r="AE71" s="1274"/>
      <c r="AF71" s="843"/>
      <c r="AG71" s="843"/>
      <c r="AH71" s="844"/>
      <c r="AI71" s="847"/>
      <c r="AJ71" s="846"/>
      <c r="AK71" s="1274"/>
      <c r="AL71" s="843"/>
      <c r="AM71" s="843"/>
      <c r="AN71" s="844"/>
      <c r="AO71" s="847"/>
      <c r="AP71" s="846"/>
      <c r="AQ71" s="12" t="s">
        <v>511</v>
      </c>
    </row>
    <row r="72" spans="1:43" ht="34.5" customHeight="1">
      <c r="A72" s="1251" t="s">
        <v>540</v>
      </c>
      <c r="B72" s="2199" t="s">
        <v>415</v>
      </c>
      <c r="C72" s="2201"/>
      <c r="D72" s="1209" t="s">
        <v>3</v>
      </c>
      <c r="E72" s="55" t="s">
        <v>416</v>
      </c>
      <c r="F72" s="1277"/>
      <c r="G72" s="1278"/>
      <c r="H72" s="1279" t="str">
        <f>IFERROR('ED-XI DEN'!L20*100,"")</f>
        <v/>
      </c>
      <c r="I72" s="840"/>
      <c r="J72" s="335"/>
      <c r="K72" s="341"/>
      <c r="L72" s="346"/>
      <c r="M72" s="459">
        <f>R.HN!D50</f>
        <v>0.83333333333333337</v>
      </c>
      <c r="N72" s="304" t="s">
        <v>1168</v>
      </c>
      <c r="O72" s="338"/>
      <c r="P72" s="335"/>
      <c r="Q72" s="341"/>
      <c r="R72" s="304"/>
      <c r="S72" s="498"/>
      <c r="T72" s="842" t="str">
        <f t="shared" si="7"/>
        <v/>
      </c>
      <c r="U72" s="843"/>
      <c r="V72" s="844"/>
      <c r="W72" s="847"/>
      <c r="X72" s="846"/>
      <c r="Y72" s="1274"/>
      <c r="Z72" s="843"/>
      <c r="AA72" s="843"/>
      <c r="AB72" s="844"/>
      <c r="AC72" s="847"/>
      <c r="AD72" s="846"/>
      <c r="AE72" s="1274"/>
      <c r="AF72" s="843"/>
      <c r="AG72" s="843"/>
      <c r="AH72" s="844"/>
      <c r="AI72" s="847"/>
      <c r="AJ72" s="846"/>
      <c r="AK72" s="1274"/>
      <c r="AL72" s="843"/>
      <c r="AM72" s="843"/>
      <c r="AN72" s="844"/>
      <c r="AO72" s="847"/>
      <c r="AP72" s="846"/>
      <c r="AQ72" s="12" t="s">
        <v>511</v>
      </c>
    </row>
    <row r="73" spans="1:43" ht="48" customHeight="1">
      <c r="A73" s="1263" t="s">
        <v>76</v>
      </c>
      <c r="B73" s="342"/>
      <c r="C73" s="342"/>
      <c r="D73" s="342"/>
      <c r="E73" s="332"/>
      <c r="F73" s="342"/>
      <c r="G73" s="342"/>
      <c r="H73" s="342"/>
      <c r="I73" s="342"/>
      <c r="J73" s="342"/>
      <c r="K73" s="342"/>
      <c r="L73" s="342"/>
      <c r="M73" s="342"/>
      <c r="N73" s="348"/>
      <c r="O73" s="342"/>
      <c r="P73" s="342"/>
      <c r="Q73" s="342"/>
      <c r="R73" s="348"/>
      <c r="S73" s="342"/>
      <c r="T73" s="843"/>
      <c r="U73" s="843"/>
      <c r="V73" s="844"/>
      <c r="W73" s="847"/>
      <c r="X73" s="846"/>
      <c r="Y73" s="1274"/>
      <c r="Z73" s="843"/>
      <c r="AA73" s="843"/>
      <c r="AB73" s="844"/>
      <c r="AC73" s="847"/>
      <c r="AD73" s="846"/>
      <c r="AE73" s="1274"/>
      <c r="AF73" s="843"/>
      <c r="AG73" s="843"/>
      <c r="AH73" s="844"/>
      <c r="AI73" s="847"/>
      <c r="AJ73" s="846"/>
      <c r="AK73" s="1274"/>
      <c r="AL73" s="843"/>
      <c r="AM73" s="843"/>
      <c r="AN73" s="844"/>
      <c r="AO73" s="847"/>
      <c r="AP73" s="846"/>
    </row>
    <row r="74" spans="1:43" ht="33.75" customHeight="1">
      <c r="A74" s="1251" t="s">
        <v>267</v>
      </c>
      <c r="B74" s="2199" t="s">
        <v>64</v>
      </c>
      <c r="C74" s="2201"/>
      <c r="D74" s="310" t="s">
        <v>66</v>
      </c>
      <c r="E74" s="310" t="s">
        <v>67</v>
      </c>
      <c r="F74" s="465"/>
      <c r="G74" s="465"/>
      <c r="H74" s="343" t="s">
        <v>48</v>
      </c>
      <c r="I74" s="344"/>
      <c r="J74" s="344"/>
      <c r="K74" s="343" t="s">
        <v>65</v>
      </c>
      <c r="L74" s="345"/>
      <c r="M74" s="310"/>
      <c r="N74" s="343" t="s">
        <v>48</v>
      </c>
      <c r="O74" s="344"/>
      <c r="P74" s="344"/>
      <c r="Q74" s="343" t="s">
        <v>65</v>
      </c>
      <c r="R74" s="345"/>
      <c r="S74" s="1206"/>
      <c r="T74" s="849"/>
      <c r="U74" s="849"/>
      <c r="V74" s="849"/>
      <c r="W74" s="849"/>
      <c r="X74" s="1280"/>
      <c r="Y74" s="479"/>
      <c r="Z74" s="849"/>
      <c r="AA74" s="849"/>
      <c r="AB74" s="849"/>
      <c r="AC74" s="849"/>
      <c r="AD74" s="1280"/>
      <c r="AE74" s="479"/>
      <c r="AF74" s="849"/>
      <c r="AG74" s="849"/>
      <c r="AH74" s="849"/>
      <c r="AI74" s="849"/>
      <c r="AJ74" s="1280"/>
      <c r="AK74" s="479"/>
      <c r="AL74" s="849"/>
      <c r="AM74" s="849"/>
      <c r="AN74" s="849"/>
      <c r="AO74" s="849"/>
      <c r="AP74" s="1280"/>
    </row>
    <row r="75" spans="1:43" ht="44.25" customHeight="1">
      <c r="A75" s="1251" t="s">
        <v>541</v>
      </c>
      <c r="B75" s="2199" t="s">
        <v>509</v>
      </c>
      <c r="C75" s="2201"/>
      <c r="D75" s="274" t="s">
        <v>214</v>
      </c>
      <c r="E75" s="55" t="s">
        <v>763</v>
      </c>
      <c r="F75" s="466"/>
      <c r="G75" s="466"/>
      <c r="H75" s="2676">
        <f>'R.FILE GOC'!H75</f>
        <v>0</v>
      </c>
      <c r="I75" s="2677"/>
      <c r="J75" s="2697"/>
      <c r="K75" s="2676">
        <f>'R.FILE GOC'!K75</f>
        <v>0</v>
      </c>
      <c r="L75" s="2677"/>
      <c r="M75" s="1281"/>
      <c r="N75" s="2676">
        <f>'R.FILE GOC'!N75</f>
        <v>0</v>
      </c>
      <c r="O75" s="2677"/>
      <c r="P75" s="2697"/>
      <c r="Q75" s="2676">
        <f>'R.FILE GOC'!Q75</f>
        <v>0</v>
      </c>
      <c r="R75" s="2697"/>
      <c r="S75" s="1205"/>
      <c r="T75" s="848"/>
      <c r="U75" s="848"/>
      <c r="V75" s="848"/>
      <c r="W75" s="848"/>
      <c r="X75" s="1208"/>
      <c r="Y75" s="1208"/>
      <c r="Z75" s="848"/>
      <c r="AA75" s="848"/>
      <c r="AB75" s="848"/>
      <c r="AC75" s="848"/>
      <c r="AD75" s="1208"/>
      <c r="AE75" s="1208"/>
      <c r="AF75" s="848"/>
      <c r="AG75" s="848"/>
      <c r="AH75" s="848"/>
      <c r="AI75" s="848"/>
      <c r="AJ75" s="1208"/>
      <c r="AK75" s="1208"/>
      <c r="AL75" s="848"/>
      <c r="AM75" s="848"/>
      <c r="AN75" s="848"/>
      <c r="AO75" s="848"/>
      <c r="AP75" s="1208"/>
      <c r="AQ75" s="12" t="s">
        <v>511</v>
      </c>
    </row>
    <row r="76" spans="1:43" ht="44.25" customHeight="1">
      <c r="A76" s="1251" t="s">
        <v>543</v>
      </c>
      <c r="B76" s="2199" t="s">
        <v>513</v>
      </c>
      <c r="C76" s="2201"/>
      <c r="D76" s="274" t="s">
        <v>214</v>
      </c>
      <c r="E76" s="55" t="s">
        <v>763</v>
      </c>
      <c r="F76" s="466"/>
      <c r="G76" s="466"/>
      <c r="H76" s="2676">
        <f>'R.FILE GOC'!H76</f>
        <v>0</v>
      </c>
      <c r="I76" s="2677"/>
      <c r="J76" s="2697"/>
      <c r="K76" s="2676">
        <f>'R.FILE GOC'!K76</f>
        <v>0</v>
      </c>
      <c r="L76" s="2677"/>
      <c r="M76" s="1281"/>
      <c r="N76" s="2676">
        <f>'R.FILE GOC'!N76</f>
        <v>0</v>
      </c>
      <c r="O76" s="2677"/>
      <c r="P76" s="2697"/>
      <c r="Q76" s="2676">
        <f>'R.FILE GOC'!Q76</f>
        <v>0</v>
      </c>
      <c r="R76" s="2697"/>
      <c r="S76" s="1205"/>
      <c r="T76" s="848"/>
      <c r="U76" s="848"/>
      <c r="V76" s="848"/>
      <c r="W76" s="848"/>
      <c r="X76" s="1208"/>
      <c r="Y76" s="1208"/>
      <c r="Z76" s="848"/>
      <c r="AA76" s="848"/>
      <c r="AB76" s="848"/>
      <c r="AC76" s="848"/>
      <c r="AD76" s="1208"/>
      <c r="AE76" s="1208"/>
      <c r="AF76" s="848"/>
      <c r="AG76" s="848"/>
      <c r="AH76" s="848"/>
      <c r="AI76" s="848"/>
      <c r="AJ76" s="1208"/>
      <c r="AK76" s="1208"/>
      <c r="AL76" s="848"/>
      <c r="AM76" s="848"/>
      <c r="AN76" s="848"/>
      <c r="AO76" s="848"/>
      <c r="AP76" s="1208"/>
      <c r="AQ76" s="12" t="s">
        <v>511</v>
      </c>
    </row>
    <row r="77" spans="1:43" ht="44.25" customHeight="1">
      <c r="A77" s="1251" t="s">
        <v>544</v>
      </c>
      <c r="B77" s="2199" t="s">
        <v>611</v>
      </c>
      <c r="C77" s="2201"/>
      <c r="D77" s="274" t="s">
        <v>214</v>
      </c>
      <c r="E77" s="55" t="s">
        <v>763</v>
      </c>
      <c r="F77" s="476"/>
      <c r="G77" s="476"/>
      <c r="H77" s="2676">
        <f>'R.FILE GOC'!H77</f>
        <v>0</v>
      </c>
      <c r="I77" s="2677"/>
      <c r="J77" s="2697"/>
      <c r="K77" s="2676">
        <f>'R.FILE GOC'!K77</f>
        <v>0</v>
      </c>
      <c r="L77" s="2677"/>
      <c r="M77" s="1281"/>
      <c r="N77" s="2676">
        <f>'R.FILE GOC'!N77</f>
        <v>0</v>
      </c>
      <c r="O77" s="2677"/>
      <c r="P77" s="2697"/>
      <c r="Q77" s="2676">
        <f>'R.FILE GOC'!Q77</f>
        <v>0</v>
      </c>
      <c r="R77" s="2697"/>
      <c r="S77" s="1205"/>
      <c r="T77" s="848"/>
      <c r="U77" s="848"/>
      <c r="V77" s="848"/>
      <c r="W77" s="848"/>
      <c r="X77" s="1208"/>
      <c r="Y77" s="1208"/>
      <c r="Z77" s="848"/>
      <c r="AA77" s="848"/>
      <c r="AB77" s="848"/>
      <c r="AC77" s="848"/>
      <c r="AD77" s="1208"/>
      <c r="AE77" s="1208"/>
      <c r="AF77" s="848"/>
      <c r="AG77" s="848"/>
      <c r="AH77" s="848"/>
      <c r="AI77" s="848"/>
      <c r="AJ77" s="1208"/>
      <c r="AK77" s="1208"/>
      <c r="AL77" s="848"/>
      <c r="AM77" s="848"/>
      <c r="AN77" s="848"/>
      <c r="AO77" s="848"/>
      <c r="AP77" s="1208"/>
      <c r="AQ77" s="12" t="s">
        <v>511</v>
      </c>
    </row>
    <row r="78" spans="1:43" ht="44.25" customHeight="1">
      <c r="A78" s="1251" t="s">
        <v>545</v>
      </c>
      <c r="B78" s="2199" t="s">
        <v>546</v>
      </c>
      <c r="C78" s="2201"/>
      <c r="D78" s="274" t="s">
        <v>214</v>
      </c>
      <c r="E78" s="55" t="s">
        <v>764</v>
      </c>
      <c r="F78" s="476"/>
      <c r="G78" s="476"/>
      <c r="H78" s="2676">
        <f>'R.FILE GOC'!H78</f>
        <v>0</v>
      </c>
      <c r="I78" s="2677"/>
      <c r="J78" s="2697"/>
      <c r="K78" s="2676">
        <f>'R.FILE GOC'!K78</f>
        <v>0</v>
      </c>
      <c r="L78" s="2677"/>
      <c r="M78" s="1281"/>
      <c r="N78" s="2676">
        <f>'R.FILE GOC'!N78</f>
        <v>0</v>
      </c>
      <c r="O78" s="2677"/>
      <c r="P78" s="2697"/>
      <c r="Q78" s="2676">
        <f>'R.FILE GOC'!Q78</f>
        <v>0</v>
      </c>
      <c r="R78" s="2697"/>
      <c r="S78" s="1208"/>
      <c r="T78" s="848"/>
      <c r="U78" s="848"/>
      <c r="V78" s="848"/>
      <c r="W78" s="848"/>
      <c r="X78" s="1208"/>
      <c r="Y78" s="1208"/>
      <c r="Z78" s="848"/>
      <c r="AA78" s="848"/>
      <c r="AB78" s="848"/>
      <c r="AC78" s="848"/>
      <c r="AD78" s="1208"/>
      <c r="AE78" s="1208"/>
      <c r="AF78" s="848"/>
      <c r="AG78" s="848"/>
      <c r="AH78" s="848"/>
      <c r="AI78" s="848"/>
      <c r="AJ78" s="1208"/>
      <c r="AK78" s="1208"/>
      <c r="AL78" s="848"/>
      <c r="AM78" s="848"/>
      <c r="AN78" s="848"/>
      <c r="AO78" s="848"/>
      <c r="AP78" s="1208"/>
      <c r="AQ78" s="12" t="s">
        <v>511</v>
      </c>
    </row>
    <row r="79" spans="1:43" ht="44.25" customHeight="1">
      <c r="A79" s="1251" t="s">
        <v>548</v>
      </c>
      <c r="B79" s="2199" t="s">
        <v>549</v>
      </c>
      <c r="C79" s="2201"/>
      <c r="D79" s="274" t="s">
        <v>214</v>
      </c>
      <c r="E79" s="55" t="s">
        <v>765</v>
      </c>
      <c r="F79" s="55" t="s">
        <v>765</v>
      </c>
      <c r="G79" s="476"/>
      <c r="H79" s="2676">
        <f>'R.FILE GOC'!H79</f>
        <v>0</v>
      </c>
      <c r="I79" s="2677"/>
      <c r="J79" s="2697"/>
      <c r="K79" s="2676">
        <f>'R.FILE GOC'!K79</f>
        <v>0</v>
      </c>
      <c r="L79" s="2677"/>
      <c r="M79" s="1281"/>
      <c r="N79" s="2676">
        <f>'R.FILE GOC'!N79</f>
        <v>0</v>
      </c>
      <c r="O79" s="2677"/>
      <c r="P79" s="2697"/>
      <c r="Q79" s="2676">
        <f>'R.FILE GOC'!Q79</f>
        <v>0</v>
      </c>
      <c r="R79" s="2697"/>
      <c r="S79" s="1208"/>
      <c r="T79" s="848"/>
      <c r="U79" s="848"/>
      <c r="V79" s="848"/>
      <c r="W79" s="848"/>
      <c r="X79" s="1208"/>
      <c r="Y79" s="1208"/>
      <c r="Z79" s="848"/>
      <c r="AA79" s="848"/>
      <c r="AB79" s="848"/>
      <c r="AC79" s="848"/>
      <c r="AD79" s="1208"/>
      <c r="AE79" s="1208"/>
      <c r="AF79" s="848"/>
      <c r="AG79" s="848"/>
      <c r="AH79" s="848"/>
      <c r="AI79" s="848"/>
      <c r="AJ79" s="1208"/>
      <c r="AK79" s="1208"/>
      <c r="AL79" s="848"/>
      <c r="AM79" s="848"/>
      <c r="AN79" s="848"/>
      <c r="AO79" s="848"/>
      <c r="AP79" s="1208"/>
      <c r="AQ79" s="12" t="s">
        <v>511</v>
      </c>
    </row>
    <row r="80" spans="1:43" ht="44.25" customHeight="1">
      <c r="A80" s="1251" t="s">
        <v>551</v>
      </c>
      <c r="B80" s="2199" t="s">
        <v>552</v>
      </c>
      <c r="C80" s="2201"/>
      <c r="D80" s="274" t="s">
        <v>214</v>
      </c>
      <c r="E80" s="55" t="s">
        <v>765</v>
      </c>
      <c r="F80" s="479"/>
      <c r="G80" s="476"/>
      <c r="H80" s="2676">
        <f>'R.FILE GOC'!H80</f>
        <v>0</v>
      </c>
      <c r="I80" s="2677"/>
      <c r="J80" s="2697"/>
      <c r="K80" s="2676">
        <f>'R.FILE GOC'!K80</f>
        <v>0</v>
      </c>
      <c r="L80" s="2677"/>
      <c r="M80" s="1281"/>
      <c r="N80" s="2676">
        <f>'R.FILE GOC'!N80</f>
        <v>0</v>
      </c>
      <c r="O80" s="2677"/>
      <c r="P80" s="2697"/>
      <c r="Q80" s="2676">
        <f>'R.FILE GOC'!Q80</f>
        <v>0</v>
      </c>
      <c r="R80" s="2697"/>
      <c r="S80" s="1208"/>
      <c r="T80" s="848"/>
      <c r="U80" s="848"/>
      <c r="V80" s="848"/>
      <c r="W80" s="848"/>
      <c r="X80" s="1208"/>
      <c r="Y80" s="1208"/>
      <c r="Z80" s="848"/>
      <c r="AA80" s="848"/>
      <c r="AB80" s="848"/>
      <c r="AC80" s="848"/>
      <c r="AD80" s="1208"/>
      <c r="AE80" s="1208"/>
      <c r="AF80" s="848"/>
      <c r="AG80" s="848"/>
      <c r="AH80" s="848"/>
      <c r="AI80" s="848"/>
      <c r="AJ80" s="1208"/>
      <c r="AK80" s="1208"/>
      <c r="AL80" s="848"/>
      <c r="AM80" s="848"/>
      <c r="AN80" s="848"/>
      <c r="AO80" s="848"/>
      <c r="AP80" s="1208"/>
      <c r="AQ80" s="12" t="s">
        <v>511</v>
      </c>
    </row>
    <row r="81" spans="1:43" ht="44.25" customHeight="1">
      <c r="A81" s="1251" t="s">
        <v>553</v>
      </c>
      <c r="B81" s="2199" t="s">
        <v>554</v>
      </c>
      <c r="C81" s="2201"/>
      <c r="D81" s="274" t="s">
        <v>214</v>
      </c>
      <c r="E81" s="55" t="s">
        <v>766</v>
      </c>
      <c r="F81" s="476"/>
      <c r="G81" s="476"/>
      <c r="H81" s="2193"/>
      <c r="I81" s="2194"/>
      <c r="J81" s="2195"/>
      <c r="K81" s="2676">
        <f>'R.FILE GOC'!K81</f>
        <v>0</v>
      </c>
      <c r="L81" s="2677"/>
      <c r="M81" s="1282"/>
      <c r="N81" s="2193"/>
      <c r="O81" s="2194"/>
      <c r="P81" s="2195"/>
      <c r="Q81" s="2678">
        <f>'R.FILE GOC'!Q81</f>
        <v>0</v>
      </c>
      <c r="R81" s="2678"/>
      <c r="S81" s="1208"/>
      <c r="T81" s="848"/>
      <c r="U81" s="848"/>
      <c r="V81" s="848"/>
      <c r="W81" s="848"/>
      <c r="X81" s="1208"/>
      <c r="Y81" s="1208"/>
      <c r="Z81" s="848"/>
      <c r="AA81" s="848"/>
      <c r="AB81" s="848"/>
      <c r="AC81" s="848"/>
      <c r="AD81" s="1208"/>
      <c r="AE81" s="1208"/>
      <c r="AF81" s="848"/>
      <c r="AG81" s="848"/>
      <c r="AH81" s="848"/>
      <c r="AI81" s="848"/>
      <c r="AJ81" s="1208"/>
      <c r="AK81" s="1208"/>
      <c r="AL81" s="848"/>
      <c r="AM81" s="848"/>
      <c r="AN81" s="848"/>
      <c r="AO81" s="848"/>
      <c r="AP81" s="1208"/>
      <c r="AQ81" s="12" t="s">
        <v>511</v>
      </c>
    </row>
    <row r="82" spans="1:43" s="271" customFormat="1" ht="47.25" hidden="1" customHeight="1">
      <c r="A82" s="1283"/>
      <c r="B82" s="489"/>
      <c r="C82" s="490"/>
      <c r="D82" s="490"/>
      <c r="E82" s="490"/>
      <c r="F82" s="490"/>
      <c r="G82" s="490"/>
      <c r="H82" s="491" t="s">
        <v>556</v>
      </c>
      <c r="I82" s="490"/>
      <c r="J82" s="490"/>
      <c r="K82" s="490"/>
      <c r="L82" s="490"/>
      <c r="M82" s="490"/>
      <c r="N82" s="490"/>
      <c r="O82" s="490"/>
      <c r="P82" s="490"/>
      <c r="Q82" s="490"/>
      <c r="R82" s="490"/>
      <c r="S82" s="490"/>
      <c r="T82" s="492"/>
      <c r="U82" s="492"/>
      <c r="V82" s="492"/>
      <c r="W82" s="492"/>
      <c r="X82" s="492"/>
      <c r="Y82" s="492"/>
      <c r="Z82" s="492"/>
      <c r="AA82" s="492"/>
      <c r="AB82" s="492"/>
      <c r="AC82" s="492"/>
      <c r="AD82" s="492"/>
      <c r="AE82" s="492"/>
      <c r="AF82" s="492"/>
      <c r="AG82" s="492"/>
      <c r="AH82" s="492"/>
      <c r="AI82" s="492"/>
      <c r="AJ82" s="492"/>
      <c r="AK82" s="492"/>
      <c r="AL82" s="492"/>
      <c r="AM82" s="492"/>
      <c r="AN82" s="492"/>
      <c r="AO82" s="492"/>
      <c r="AP82" s="492"/>
      <c r="AQ82" s="12" t="s">
        <v>511</v>
      </c>
    </row>
    <row r="83" spans="1:43" s="271" customFormat="1" ht="47.25" hidden="1" customHeight="1">
      <c r="A83" s="1284"/>
      <c r="B83" s="2199" t="s">
        <v>556</v>
      </c>
      <c r="C83" s="2201"/>
      <c r="D83" s="1209" t="s">
        <v>557</v>
      </c>
      <c r="E83" s="55" t="s">
        <v>558</v>
      </c>
      <c r="F83" s="466"/>
      <c r="G83" s="466" t="s">
        <v>557</v>
      </c>
      <c r="H83" s="2181">
        <f>'R.FILE GOC'!H83:L83</f>
        <v>0</v>
      </c>
      <c r="I83" s="2182"/>
      <c r="J83" s="2182"/>
      <c r="K83" s="2182"/>
      <c r="L83" s="2182"/>
      <c r="M83" s="1204"/>
      <c r="N83" s="2181">
        <f>'R.FILE GOC'!N83:R83</f>
        <v>0</v>
      </c>
      <c r="O83" s="2182"/>
      <c r="P83" s="2182"/>
      <c r="Q83" s="2182"/>
      <c r="R83" s="2182"/>
      <c r="S83" s="1103"/>
      <c r="T83" s="848"/>
      <c r="U83" s="848"/>
      <c r="V83" s="848"/>
      <c r="W83" s="848"/>
      <c r="X83" s="848"/>
      <c r="Y83" s="848"/>
      <c r="Z83" s="848"/>
      <c r="AA83" s="848"/>
      <c r="AB83" s="848"/>
      <c r="AC83" s="848"/>
      <c r="AD83" s="848"/>
      <c r="AE83" s="848"/>
      <c r="AF83" s="848"/>
      <c r="AG83" s="848"/>
      <c r="AH83" s="848"/>
      <c r="AI83" s="848"/>
      <c r="AJ83" s="848"/>
      <c r="AK83" s="848"/>
      <c r="AL83" s="848"/>
      <c r="AM83" s="848"/>
      <c r="AN83" s="848"/>
      <c r="AO83" s="848"/>
      <c r="AP83" s="848"/>
      <c r="AQ83" s="12" t="s">
        <v>511</v>
      </c>
    </row>
    <row r="84" spans="1:43" s="271" customFormat="1" ht="47.25" hidden="1" customHeight="1">
      <c r="A84" s="1284"/>
      <c r="B84" s="2199" t="s">
        <v>559</v>
      </c>
      <c r="C84" s="2201"/>
      <c r="D84" s="1209" t="s">
        <v>557</v>
      </c>
      <c r="E84" s="55" t="s">
        <v>560</v>
      </c>
      <c r="F84" s="466"/>
      <c r="G84" s="466" t="s">
        <v>557</v>
      </c>
      <c r="H84" s="2181">
        <f>'R.FILE GOC'!H84:L84</f>
        <v>0</v>
      </c>
      <c r="I84" s="2182"/>
      <c r="J84" s="2182"/>
      <c r="K84" s="2182"/>
      <c r="L84" s="2182"/>
      <c r="M84" s="1204"/>
      <c r="N84" s="2181">
        <f>'R.FILE GOC'!N84:R84</f>
        <v>0</v>
      </c>
      <c r="O84" s="2182"/>
      <c r="P84" s="2182"/>
      <c r="Q84" s="2182"/>
      <c r="R84" s="2182"/>
      <c r="S84" s="1103"/>
      <c r="T84" s="848"/>
      <c r="U84" s="848"/>
      <c r="V84" s="848"/>
      <c r="W84" s="848"/>
      <c r="X84" s="848"/>
      <c r="Y84" s="848"/>
      <c r="Z84" s="848"/>
      <c r="AA84" s="848"/>
      <c r="AB84" s="848"/>
      <c r="AC84" s="848"/>
      <c r="AD84" s="848"/>
      <c r="AE84" s="848"/>
      <c r="AF84" s="848"/>
      <c r="AG84" s="848"/>
      <c r="AH84" s="848"/>
      <c r="AI84" s="848"/>
      <c r="AJ84" s="848"/>
      <c r="AK84" s="848"/>
      <c r="AL84" s="848"/>
      <c r="AM84" s="848"/>
      <c r="AN84" s="848"/>
      <c r="AO84" s="848"/>
      <c r="AP84" s="848"/>
      <c r="AQ84" s="12" t="s">
        <v>511</v>
      </c>
    </row>
    <row r="85" spans="1:43" s="271" customFormat="1" ht="28.5" customHeight="1">
      <c r="A85" s="1584"/>
      <c r="B85" s="1206"/>
      <c r="C85" s="1206"/>
      <c r="D85" s="1251"/>
      <c r="E85" s="1206"/>
      <c r="F85" s="466"/>
      <c r="G85" s="466"/>
      <c r="H85" s="1205"/>
      <c r="I85" s="1205"/>
      <c r="J85" s="1205"/>
      <c r="K85" s="1205"/>
      <c r="L85" s="1205"/>
      <c r="M85" s="1205"/>
      <c r="N85" s="1205"/>
      <c r="O85" s="1205"/>
      <c r="P85" s="1205"/>
      <c r="Q85" s="1205"/>
      <c r="R85" s="1205"/>
      <c r="S85" s="1104"/>
      <c r="T85" s="848"/>
      <c r="U85" s="848"/>
      <c r="V85" s="848"/>
      <c r="W85" s="848"/>
      <c r="X85" s="848"/>
      <c r="Y85" s="848"/>
      <c r="Z85" s="848"/>
      <c r="AA85" s="848"/>
      <c r="AB85" s="848"/>
      <c r="AC85" s="848"/>
      <c r="AD85" s="848"/>
      <c r="AE85" s="848"/>
      <c r="AF85" s="848"/>
      <c r="AG85" s="848"/>
      <c r="AH85" s="848"/>
      <c r="AI85" s="848"/>
      <c r="AJ85" s="848"/>
      <c r="AK85" s="848"/>
      <c r="AL85" s="848"/>
      <c r="AM85" s="848"/>
      <c r="AN85" s="848"/>
      <c r="AO85" s="848"/>
      <c r="AP85" s="848"/>
      <c r="AQ85" s="12"/>
    </row>
    <row r="86" spans="1:43" ht="40.5" customHeight="1">
      <c r="A86" s="480" t="s">
        <v>561</v>
      </c>
      <c r="B86" s="481"/>
      <c r="C86" s="481"/>
      <c r="D86" s="481"/>
      <c r="E86" s="482"/>
      <c r="F86" s="483"/>
      <c r="G86" s="1270"/>
      <c r="H86" s="838" t="s">
        <v>75</v>
      </c>
      <c r="I86" s="839"/>
      <c r="J86" s="839"/>
      <c r="K86" s="839"/>
      <c r="L86" s="839"/>
      <c r="M86" s="839"/>
      <c r="N86" s="839"/>
      <c r="O86" s="839"/>
      <c r="P86" s="839"/>
      <c r="Q86" s="839"/>
      <c r="R86" s="1271"/>
      <c r="S86" s="1270"/>
      <c r="AD86" s="12"/>
      <c r="AP86" s="12"/>
    </row>
    <row r="87" spans="1:43" ht="27.75" customHeight="1">
      <c r="A87" s="450"/>
      <c r="B87" s="2681" t="s">
        <v>79</v>
      </c>
      <c r="C87" s="2682"/>
      <c r="D87" s="2097" t="s">
        <v>136</v>
      </c>
      <c r="E87" s="2686" t="s">
        <v>67</v>
      </c>
      <c r="F87" s="451"/>
      <c r="G87" s="453"/>
      <c r="H87" s="2688">
        <v>0.33333333333333331</v>
      </c>
      <c r="I87" s="2689"/>
      <c r="J87" s="2689"/>
      <c r="K87" s="2689"/>
      <c r="L87" s="2689"/>
      <c r="M87" s="453"/>
      <c r="N87" s="2475">
        <v>0.83333333333333337</v>
      </c>
      <c r="O87" s="2474"/>
      <c r="P87" s="2474"/>
      <c r="Q87" s="2474"/>
      <c r="R87" s="2474"/>
      <c r="S87" s="1272"/>
      <c r="T87" s="347"/>
      <c r="AD87" s="12"/>
      <c r="AE87" s="1272"/>
      <c r="AF87" s="347"/>
      <c r="AP87" s="12"/>
    </row>
    <row r="88" spans="1:43" ht="50.25" customHeight="1">
      <c r="A88" s="494" t="s">
        <v>267</v>
      </c>
      <c r="B88" s="2683"/>
      <c r="C88" s="2684"/>
      <c r="D88" s="2685"/>
      <c r="E88" s="2687"/>
      <c r="F88" s="455" t="s">
        <v>457</v>
      </c>
      <c r="G88" s="456"/>
      <c r="H88" s="54" t="s">
        <v>774</v>
      </c>
      <c r="I88" s="1285" t="s">
        <v>1</v>
      </c>
      <c r="J88" s="2690" t="s">
        <v>1</v>
      </c>
      <c r="K88" s="2690"/>
      <c r="L88" s="2690"/>
      <c r="M88" s="54"/>
      <c r="N88" s="1166" t="s">
        <v>774</v>
      </c>
      <c r="O88" s="1517" t="s">
        <v>1</v>
      </c>
      <c r="P88" s="2096" t="s">
        <v>1</v>
      </c>
      <c r="Q88" s="2096"/>
      <c r="R88" s="2096"/>
      <c r="S88" s="1286"/>
      <c r="T88" s="347"/>
      <c r="W88" s="1250" t="s">
        <v>1169</v>
      </c>
      <c r="X88" s="1287"/>
      <c r="Y88" s="1287"/>
      <c r="Z88" s="1287"/>
      <c r="AD88" s="12"/>
      <c r="AE88" s="1286"/>
      <c r="AF88" s="347"/>
      <c r="AP88" s="12"/>
    </row>
    <row r="89" spans="1:43" ht="34.5" customHeight="1">
      <c r="A89" s="1251" t="s">
        <v>562</v>
      </c>
      <c r="B89" s="2199" t="s">
        <v>563</v>
      </c>
      <c r="C89" s="2201"/>
      <c r="D89" s="1209" t="s">
        <v>4</v>
      </c>
      <c r="E89" s="1203" t="s">
        <v>564</v>
      </c>
      <c r="F89" s="497">
        <v>25</v>
      </c>
      <c r="G89" s="460">
        <f>R.HN!C51</f>
        <v>0</v>
      </c>
      <c r="H89" s="1832">
        <f>G89*15.8</f>
        <v>0</v>
      </c>
      <c r="I89" s="1832">
        <f>($F$89-H89)*1632/1000</f>
        <v>40.799999999999997</v>
      </c>
      <c r="J89" s="1832" t="s">
        <v>8</v>
      </c>
      <c r="K89" s="1816">
        <f>IF(H89=0,0,IF(I89&lt;0,0,I89))</f>
        <v>0</v>
      </c>
      <c r="L89" s="1832" t="s">
        <v>9</v>
      </c>
      <c r="M89" s="1836">
        <f>R.HN!D51</f>
        <v>0</v>
      </c>
      <c r="N89" s="1840">
        <f>M89*15.8</f>
        <v>0</v>
      </c>
      <c r="O89" s="1840">
        <f>($F$89-N89)*1632/1000</f>
        <v>40.799999999999997</v>
      </c>
      <c r="P89" s="1840" t="s">
        <v>8</v>
      </c>
      <c r="Q89" s="1816">
        <f>IF(N89=0,0,IF(O89&lt;0,0,O89))</f>
        <v>0</v>
      </c>
      <c r="R89" s="45" t="s">
        <v>9</v>
      </c>
      <c r="S89" s="1288"/>
      <c r="T89" s="347"/>
      <c r="W89" s="1252" t="s">
        <v>1091</v>
      </c>
      <c r="AD89" s="12"/>
      <c r="AE89" s="1288"/>
      <c r="AF89" s="347"/>
      <c r="AP89" s="12"/>
      <c r="AQ89" s="12" t="s">
        <v>565</v>
      </c>
    </row>
    <row r="90" spans="1:43" ht="34.5" customHeight="1">
      <c r="A90" s="1251" t="s">
        <v>566</v>
      </c>
      <c r="B90" s="2199" t="s">
        <v>567</v>
      </c>
      <c r="C90" s="2201"/>
      <c r="D90" s="1209" t="s">
        <v>4</v>
      </c>
      <c r="E90" s="1203" t="s">
        <v>564</v>
      </c>
      <c r="F90" s="497">
        <v>25</v>
      </c>
      <c r="G90" s="460">
        <f>R.HN!C52</f>
        <v>0</v>
      </c>
      <c r="H90" s="1832">
        <f>G90*15.8</f>
        <v>0</v>
      </c>
      <c r="I90" s="1832">
        <f>($F$90-H90)*1632/1000</f>
        <v>40.799999999999997</v>
      </c>
      <c r="J90" s="1832" t="s">
        <v>8</v>
      </c>
      <c r="K90" s="1816">
        <f>IF(H90=0,0,IF(I90&lt;0,0,I90))</f>
        <v>0</v>
      </c>
      <c r="L90" s="1832" t="s">
        <v>9</v>
      </c>
      <c r="M90" s="1836">
        <f>R.HN!D52</f>
        <v>0</v>
      </c>
      <c r="N90" s="1840">
        <f>M90*15.8</f>
        <v>0</v>
      </c>
      <c r="O90" s="1840">
        <f>($F$90-N90)*1632/1000</f>
        <v>40.799999999999997</v>
      </c>
      <c r="P90" s="1840" t="s">
        <v>8</v>
      </c>
      <c r="Q90" s="1816">
        <f>IF(N90=0,0,IF(O90&lt;0,0,O90))</f>
        <v>0</v>
      </c>
      <c r="R90" s="45" t="s">
        <v>9</v>
      </c>
      <c r="S90" s="1288"/>
      <c r="T90" s="347"/>
      <c r="AD90" s="12"/>
      <c r="AE90" s="1288"/>
      <c r="AF90" s="347"/>
      <c r="AP90" s="12"/>
      <c r="AQ90" s="12" t="s">
        <v>565</v>
      </c>
    </row>
    <row r="91" spans="1:43" ht="34.5" customHeight="1">
      <c r="A91" s="1251" t="s">
        <v>568</v>
      </c>
      <c r="B91" s="2199" t="s">
        <v>569</v>
      </c>
      <c r="C91" s="2201"/>
      <c r="D91" s="1209" t="s">
        <v>58</v>
      </c>
      <c r="E91" s="1203" t="s">
        <v>570</v>
      </c>
      <c r="F91" s="497">
        <v>250</v>
      </c>
      <c r="G91" s="460">
        <f>R.HN!C53</f>
        <v>0</v>
      </c>
      <c r="H91" s="1832">
        <f>G91*65.2</f>
        <v>0</v>
      </c>
      <c r="I91" s="1832">
        <f>($F$91-H91)*1632/1000</f>
        <v>408</v>
      </c>
      <c r="J91" s="1832" t="s">
        <v>8</v>
      </c>
      <c r="K91" s="1816">
        <f>IF(H91=0,0,IF(I91&lt;0,0,I91))</f>
        <v>0</v>
      </c>
      <c r="L91" s="1832" t="s">
        <v>1170</v>
      </c>
      <c r="M91" s="1836">
        <f>R.HN!D53</f>
        <v>0</v>
      </c>
      <c r="N91" s="1840">
        <f>M91*65.2</f>
        <v>0</v>
      </c>
      <c r="O91" s="1840">
        <f>($F$91-N91)*1632/1000</f>
        <v>408</v>
      </c>
      <c r="P91" s="1840" t="s">
        <v>8</v>
      </c>
      <c r="Q91" s="1816">
        <f>IF(N91=0,0,IF(O91&lt;0,0,O91))</f>
        <v>0</v>
      </c>
      <c r="R91" s="45" t="s">
        <v>1365</v>
      </c>
      <c r="S91" s="1288"/>
      <c r="T91" s="347"/>
      <c r="W91" s="1252" t="s">
        <v>1092</v>
      </c>
      <c r="AD91" s="12"/>
      <c r="AE91" s="1288"/>
      <c r="AF91" s="347"/>
      <c r="AP91" s="12"/>
      <c r="AQ91" s="12" t="s">
        <v>565</v>
      </c>
    </row>
    <row r="92" spans="1:43" ht="34.5" customHeight="1">
      <c r="A92" s="1251" t="s">
        <v>571</v>
      </c>
      <c r="B92" s="2679" t="s">
        <v>1171</v>
      </c>
      <c r="C92" s="2680"/>
      <c r="D92" s="1209" t="s">
        <v>4</v>
      </c>
      <c r="E92" s="1203" t="s">
        <v>572</v>
      </c>
      <c r="F92" s="497">
        <v>130</v>
      </c>
      <c r="G92" s="460">
        <f>R.HN!C54</f>
        <v>0</v>
      </c>
      <c r="H92" s="1832">
        <f>G92*12.5</f>
        <v>0</v>
      </c>
      <c r="I92" s="1832">
        <f>($F$92-H92)*1728/1000</f>
        <v>224.64</v>
      </c>
      <c r="J92" s="1832" t="s">
        <v>8</v>
      </c>
      <c r="K92" s="1816">
        <f>IF(H92=0,0,IF(I92&lt;0,0,I92))</f>
        <v>0</v>
      </c>
      <c r="L92" s="1832" t="s">
        <v>9</v>
      </c>
      <c r="M92" s="1836">
        <f>R.HN!D54</f>
        <v>0</v>
      </c>
      <c r="N92" s="1840">
        <f>M92*12.5</f>
        <v>0</v>
      </c>
      <c r="O92" s="1840">
        <f>($F$92-N92)*1728/1000</f>
        <v>224.64</v>
      </c>
      <c r="P92" s="1840" t="s">
        <v>8</v>
      </c>
      <c r="Q92" s="1816">
        <f>IF(N92=0,0,IF(O92&lt;0,0,O92))</f>
        <v>0</v>
      </c>
      <c r="R92" s="45" t="s">
        <v>9</v>
      </c>
      <c r="S92" s="1288"/>
      <c r="T92" s="347"/>
      <c r="W92" s="1252" t="s">
        <v>1087</v>
      </c>
      <c r="AD92" s="12"/>
      <c r="AE92" s="1288"/>
      <c r="AF92" s="347"/>
      <c r="AP92" s="12"/>
      <c r="AQ92" s="12" t="s">
        <v>565</v>
      </c>
    </row>
    <row r="93" spans="1:43" ht="34.5" customHeight="1">
      <c r="A93" s="1251" t="s">
        <v>573</v>
      </c>
      <c r="B93" s="2679" t="s">
        <v>1172</v>
      </c>
      <c r="C93" s="2680"/>
      <c r="D93" s="1209" t="s">
        <v>4</v>
      </c>
      <c r="E93" s="1203" t="s">
        <v>574</v>
      </c>
      <c r="F93" s="500"/>
      <c r="G93" s="460">
        <f>R.HN!C55</f>
        <v>0</v>
      </c>
      <c r="H93" s="1832">
        <f>(G92-G93)*1.25</f>
        <v>0</v>
      </c>
      <c r="I93" s="1832" t="s">
        <v>469</v>
      </c>
      <c r="J93" s="1832" t="s">
        <v>8</v>
      </c>
      <c r="K93" s="1838"/>
      <c r="L93" s="1832" t="s">
        <v>9</v>
      </c>
      <c r="M93" s="1836">
        <f>R.HN!D55</f>
        <v>0</v>
      </c>
      <c r="N93" s="1840">
        <f>(M92-M93)*1.25</f>
        <v>0</v>
      </c>
      <c r="O93" s="1840" t="s">
        <v>469</v>
      </c>
      <c r="P93" s="1840" t="s">
        <v>8</v>
      </c>
      <c r="Q93" s="1838"/>
      <c r="R93" s="45" t="s">
        <v>9</v>
      </c>
      <c r="S93" s="1288"/>
      <c r="T93" s="347"/>
      <c r="W93" s="1252" t="s">
        <v>1088</v>
      </c>
      <c r="AD93" s="12"/>
      <c r="AE93" s="1288"/>
      <c r="AF93" s="347"/>
      <c r="AP93" s="12"/>
      <c r="AQ93" s="12" t="s">
        <v>565</v>
      </c>
    </row>
    <row r="94" spans="1:43" ht="34.5" customHeight="1">
      <c r="A94" s="1251" t="s">
        <v>575</v>
      </c>
      <c r="B94" s="2679" t="s">
        <v>1173</v>
      </c>
      <c r="C94" s="2680"/>
      <c r="D94" s="1209" t="s">
        <v>4</v>
      </c>
      <c r="E94" s="1203" t="s">
        <v>572</v>
      </c>
      <c r="F94" s="500">
        <v>130</v>
      </c>
      <c r="G94" s="460">
        <f>R.HN!C56</f>
        <v>0</v>
      </c>
      <c r="H94" s="1832">
        <f>G94*12.5</f>
        <v>0</v>
      </c>
      <c r="I94" s="1832">
        <f>($F$94-H94)*1728/1000</f>
        <v>224.64</v>
      </c>
      <c r="J94" s="1832" t="s">
        <v>8</v>
      </c>
      <c r="K94" s="1816">
        <f>IF(H94=0,0,IF(I94&lt;0,0,I94))</f>
        <v>0</v>
      </c>
      <c r="L94" s="1832" t="s">
        <v>9</v>
      </c>
      <c r="M94" s="1836">
        <f>R.HN!D56</f>
        <v>0</v>
      </c>
      <c r="N94" s="1840">
        <f>M94*12.5</f>
        <v>0</v>
      </c>
      <c r="O94" s="1840">
        <f>($F$94-N94)*1728/1000</f>
        <v>224.64</v>
      </c>
      <c r="P94" s="1840" t="s">
        <v>8</v>
      </c>
      <c r="Q94" s="1816">
        <f>IF(N94=0,0,IF(O94&lt;0,0,O94))</f>
        <v>0</v>
      </c>
      <c r="R94" s="45" t="s">
        <v>9</v>
      </c>
      <c r="S94" s="1288"/>
      <c r="T94" s="347"/>
      <c r="AD94" s="12"/>
      <c r="AE94" s="1288"/>
      <c r="AF94" s="347"/>
      <c r="AP94" s="12"/>
      <c r="AQ94" s="12" t="s">
        <v>565</v>
      </c>
    </row>
    <row r="95" spans="1:43" ht="34.5" customHeight="1">
      <c r="A95" s="1251" t="s">
        <v>576</v>
      </c>
      <c r="B95" s="2679" t="s">
        <v>1174</v>
      </c>
      <c r="C95" s="2680"/>
      <c r="D95" s="1209" t="s">
        <v>4</v>
      </c>
      <c r="E95" s="1203" t="s">
        <v>574</v>
      </c>
      <c r="F95" s="500"/>
      <c r="G95" s="460">
        <f>R.HN!C57</f>
        <v>0</v>
      </c>
      <c r="H95" s="1832">
        <f>(G94-G95)*1.25</f>
        <v>0</v>
      </c>
      <c r="I95" s="1832" t="s">
        <v>469</v>
      </c>
      <c r="J95" s="1832" t="s">
        <v>8</v>
      </c>
      <c r="K95" s="1838"/>
      <c r="L95" s="1832" t="s">
        <v>9</v>
      </c>
      <c r="M95" s="1836">
        <f>R.HN!D57</f>
        <v>0</v>
      </c>
      <c r="N95" s="1840">
        <f>(M94-M95)*1.25</f>
        <v>0</v>
      </c>
      <c r="O95" s="1840" t="s">
        <v>469</v>
      </c>
      <c r="P95" s="1840" t="s">
        <v>8</v>
      </c>
      <c r="Q95" s="1838"/>
      <c r="R95" s="45" t="s">
        <v>9</v>
      </c>
      <c r="S95" s="1288"/>
      <c r="T95" s="347"/>
      <c r="AD95" s="12"/>
      <c r="AE95" s="1288"/>
      <c r="AF95" s="347"/>
      <c r="AP95" s="12"/>
      <c r="AQ95" s="12" t="s">
        <v>565</v>
      </c>
    </row>
    <row r="96" spans="1:43" ht="34.5" customHeight="1">
      <c r="A96" s="1251" t="s">
        <v>577</v>
      </c>
      <c r="B96" s="2679" t="s">
        <v>1175</v>
      </c>
      <c r="C96" s="2680"/>
      <c r="D96" s="1209" t="s">
        <v>4</v>
      </c>
      <c r="E96" s="1203" t="s">
        <v>572</v>
      </c>
      <c r="F96" s="500">
        <v>130</v>
      </c>
      <c r="G96" s="460">
        <f>R.HN!C58</f>
        <v>0</v>
      </c>
      <c r="H96" s="1832">
        <f>G96*12.5</f>
        <v>0</v>
      </c>
      <c r="I96" s="1832">
        <f>($F$96-H96)*1728/1000</f>
        <v>224.64</v>
      </c>
      <c r="J96" s="1832" t="s">
        <v>8</v>
      </c>
      <c r="K96" s="1816">
        <f>IF(H96=0,0,IF(I96&lt;0,0,I96))</f>
        <v>0</v>
      </c>
      <c r="L96" s="1832" t="s">
        <v>9</v>
      </c>
      <c r="M96" s="1836">
        <f>R.HN!D58</f>
        <v>0</v>
      </c>
      <c r="N96" s="1840">
        <f>M96*12.5</f>
        <v>0</v>
      </c>
      <c r="O96" s="1840">
        <f>($F$96-N96)*1728/1000</f>
        <v>224.64</v>
      </c>
      <c r="P96" s="1840" t="s">
        <v>8</v>
      </c>
      <c r="Q96" s="1816">
        <f>IF(N96=0,0,IF(O96&lt;0,0,O96))</f>
        <v>0</v>
      </c>
      <c r="R96" s="45" t="s">
        <v>9</v>
      </c>
      <c r="S96" s="1288"/>
      <c r="T96" s="347"/>
      <c r="AD96" s="12"/>
      <c r="AE96" s="1288"/>
      <c r="AF96" s="347"/>
      <c r="AP96" s="12"/>
      <c r="AQ96" s="12" t="s">
        <v>565</v>
      </c>
    </row>
    <row r="97" spans="1:43" ht="34.5" customHeight="1">
      <c r="A97" s="1251" t="s">
        <v>578</v>
      </c>
      <c r="B97" s="2679" t="s">
        <v>1176</v>
      </c>
      <c r="C97" s="2680"/>
      <c r="D97" s="1209" t="s">
        <v>4</v>
      </c>
      <c r="E97" s="1203" t="s">
        <v>574</v>
      </c>
      <c r="F97" s="500"/>
      <c r="G97" s="460">
        <f>R.HN!C59</f>
        <v>0</v>
      </c>
      <c r="H97" s="1832">
        <f>(G96-G97)*1.25</f>
        <v>0</v>
      </c>
      <c r="I97" s="1832" t="s">
        <v>469</v>
      </c>
      <c r="J97" s="1832" t="s">
        <v>8</v>
      </c>
      <c r="K97" s="1838"/>
      <c r="L97" s="1832" t="s">
        <v>9</v>
      </c>
      <c r="M97" s="1836">
        <f>R.HN!D59</f>
        <v>0</v>
      </c>
      <c r="N97" s="1840">
        <f>(M96-M97)*1.25</f>
        <v>0</v>
      </c>
      <c r="O97" s="1840" t="s">
        <v>469</v>
      </c>
      <c r="P97" s="1840" t="s">
        <v>8</v>
      </c>
      <c r="Q97" s="1838"/>
      <c r="R97" s="45" t="s">
        <v>9</v>
      </c>
      <c r="S97" s="1288"/>
      <c r="T97" s="347"/>
      <c r="AD97" s="12"/>
      <c r="AE97" s="1288"/>
      <c r="AF97" s="347"/>
      <c r="AP97" s="12"/>
      <c r="AQ97" s="12" t="s">
        <v>565</v>
      </c>
    </row>
    <row r="98" spans="1:43" ht="34.5" customHeight="1">
      <c r="A98" s="1251" t="s">
        <v>579</v>
      </c>
      <c r="B98" s="1289" t="s">
        <v>580</v>
      </c>
      <c r="C98" s="1290"/>
      <c r="D98" s="1209" t="s">
        <v>4</v>
      </c>
      <c r="E98" s="1203" t="s">
        <v>581</v>
      </c>
      <c r="F98" s="501">
        <v>10</v>
      </c>
      <c r="G98" s="460">
        <f>R.HN!C60</f>
        <v>0</v>
      </c>
      <c r="H98" s="1832">
        <f>G98*2.08</f>
        <v>0</v>
      </c>
      <c r="I98" s="1832">
        <f>($F$98-H98)*1728/1000</f>
        <v>17.28</v>
      </c>
      <c r="J98" s="1832" t="s">
        <v>8</v>
      </c>
      <c r="K98" s="1816">
        <f>IF(H98=0,0,IF(I98&lt;0,0,I98))</f>
        <v>0</v>
      </c>
      <c r="L98" s="1832" t="s">
        <v>9</v>
      </c>
      <c r="M98" s="1836">
        <f>R.HN!D60</f>
        <v>0</v>
      </c>
      <c r="N98" s="1840">
        <f>M98*2.08</f>
        <v>0</v>
      </c>
      <c r="O98" s="1840">
        <f>($F$98-N98)*1728/1000</f>
        <v>17.28</v>
      </c>
      <c r="P98" s="1840" t="s">
        <v>8</v>
      </c>
      <c r="Q98" s="1816">
        <f>IF(N98=0,0,IF(O98&lt;0,0,O98))</f>
        <v>0</v>
      </c>
      <c r="R98" s="45" t="s">
        <v>9</v>
      </c>
      <c r="S98" s="1288"/>
      <c r="T98" s="347"/>
      <c r="W98" s="1252" t="s">
        <v>1089</v>
      </c>
      <c r="AD98" s="12"/>
      <c r="AE98" s="1288"/>
      <c r="AF98" s="347"/>
      <c r="AP98" s="12"/>
      <c r="AQ98" s="12" t="s">
        <v>565</v>
      </c>
    </row>
    <row r="99" spans="1:43" ht="34.5" customHeight="1">
      <c r="A99" s="1251" t="s">
        <v>582</v>
      </c>
      <c r="B99" s="1291" t="s">
        <v>5</v>
      </c>
      <c r="C99" s="1292"/>
      <c r="D99" s="1209" t="s">
        <v>5</v>
      </c>
      <c r="E99" s="1203" t="s">
        <v>583</v>
      </c>
      <c r="F99" s="501"/>
      <c r="G99" s="460"/>
      <c r="H99" s="1841">
        <f>'R.FILE GOC'!H99</f>
        <v>0</v>
      </c>
      <c r="I99" s="1842"/>
      <c r="J99" s="1842"/>
      <c r="K99" s="1843"/>
      <c r="L99" s="1844"/>
      <c r="M99" s="1254"/>
      <c r="N99" s="1845">
        <f>'R.FILE GOC'!N99</f>
        <v>0</v>
      </c>
      <c r="O99" s="1383"/>
      <c r="P99" s="1383"/>
      <c r="Q99" s="1383"/>
      <c r="R99" s="1448"/>
      <c r="S99" s="1288"/>
      <c r="T99" s="347"/>
      <c r="AD99" s="12"/>
      <c r="AE99" s="1288"/>
      <c r="AF99" s="347"/>
      <c r="AP99" s="12"/>
      <c r="AQ99" s="12" t="s">
        <v>565</v>
      </c>
    </row>
    <row r="100" spans="1:43" ht="34.5" hidden="1" customHeight="1">
      <c r="A100" s="1251" t="s">
        <v>584</v>
      </c>
      <c r="B100" s="2199" t="s">
        <v>585</v>
      </c>
      <c r="C100" s="2201"/>
      <c r="D100" s="1209" t="s">
        <v>5</v>
      </c>
      <c r="E100" s="55" t="s">
        <v>586</v>
      </c>
      <c r="F100" s="1209"/>
      <c r="G100" s="460"/>
      <c r="H100" s="1846">
        <f>'R.FILE GOC'!H100</f>
        <v>0</v>
      </c>
      <c r="I100" s="1843"/>
      <c r="J100" s="1843"/>
      <c r="K100" s="1843"/>
      <c r="L100" s="1844"/>
      <c r="M100" s="1254"/>
      <c r="N100" s="1847">
        <f>'R.FILE GOC'!N100</f>
        <v>0</v>
      </c>
      <c r="O100" s="1383"/>
      <c r="P100" s="1383"/>
      <c r="Q100" s="1383"/>
      <c r="R100" s="1448"/>
      <c r="S100" s="1288"/>
      <c r="T100" s="347"/>
      <c r="AD100" s="12"/>
      <c r="AE100" s="1288"/>
      <c r="AF100" s="347"/>
      <c r="AP100" s="12"/>
      <c r="AQ100" s="12" t="s">
        <v>565</v>
      </c>
    </row>
    <row r="101" spans="1:43" ht="34.5" hidden="1" customHeight="1">
      <c r="A101" s="1251" t="s">
        <v>587</v>
      </c>
      <c r="B101" s="2199" t="s">
        <v>588</v>
      </c>
      <c r="C101" s="2201"/>
      <c r="D101" s="1209" t="s">
        <v>5</v>
      </c>
      <c r="E101" s="55" t="s">
        <v>589</v>
      </c>
      <c r="F101" s="1209"/>
      <c r="G101" s="460"/>
      <c r="H101" s="1846">
        <f>'R.FILE GOC'!H101</f>
        <v>0</v>
      </c>
      <c r="I101" s="1843"/>
      <c r="J101" s="1843"/>
      <c r="K101" s="1843"/>
      <c r="L101" s="1844"/>
      <c r="M101" s="1254"/>
      <c r="N101" s="1847">
        <f>'R.FILE GOC'!N101</f>
        <v>0</v>
      </c>
      <c r="O101" s="1383"/>
      <c r="P101" s="1383"/>
      <c r="Q101" s="1383"/>
      <c r="R101" s="1448"/>
      <c r="S101" s="1288"/>
      <c r="T101" s="347"/>
      <c r="AD101" s="12"/>
      <c r="AE101" s="1288"/>
      <c r="AF101" s="347"/>
      <c r="AP101" s="12"/>
      <c r="AQ101" s="12" t="s">
        <v>565</v>
      </c>
    </row>
    <row r="102" spans="1:43" ht="34.5" customHeight="1">
      <c r="A102" s="1251" t="s">
        <v>590</v>
      </c>
      <c r="B102" s="2199" t="s">
        <v>591</v>
      </c>
      <c r="C102" s="2201"/>
      <c r="D102" s="1209" t="s">
        <v>5</v>
      </c>
      <c r="E102" s="55" t="s">
        <v>586</v>
      </c>
      <c r="F102" s="1209"/>
      <c r="G102" s="460"/>
      <c r="H102" s="1841">
        <f>'R.FILE GOC'!H102</f>
        <v>0</v>
      </c>
      <c r="I102" s="1843"/>
      <c r="J102" s="1843"/>
      <c r="K102" s="1843"/>
      <c r="L102" s="1844"/>
      <c r="M102" s="1848"/>
      <c r="N102" s="1845">
        <f>'R.FILE GOC'!N102</f>
        <v>0</v>
      </c>
      <c r="O102" s="1383"/>
      <c r="P102" s="1383"/>
      <c r="Q102" s="1383"/>
      <c r="R102" s="1448"/>
      <c r="S102" s="1288"/>
      <c r="T102" s="347"/>
      <c r="AD102" s="12"/>
      <c r="AE102" s="1288"/>
      <c r="AF102" s="347"/>
      <c r="AP102" s="12"/>
      <c r="AQ102" s="12" t="s">
        <v>565</v>
      </c>
    </row>
    <row r="103" spans="1:43" ht="42" customHeight="1">
      <c r="A103" s="1263" t="s">
        <v>76</v>
      </c>
      <c r="B103" s="342"/>
      <c r="C103" s="342"/>
      <c r="D103" s="342"/>
      <c r="E103" s="332"/>
      <c r="F103" s="342"/>
      <c r="G103" s="342"/>
      <c r="H103" s="342"/>
      <c r="I103" s="342"/>
      <c r="J103" s="342"/>
      <c r="K103" s="342"/>
      <c r="L103" s="342"/>
      <c r="M103" s="342"/>
      <c r="N103" s="321"/>
      <c r="O103" s="320"/>
      <c r="P103" s="320"/>
      <c r="Q103" s="320"/>
      <c r="R103" s="321"/>
      <c r="S103" s="342"/>
      <c r="T103" s="347"/>
      <c r="AD103" s="12"/>
      <c r="AE103" s="1293"/>
      <c r="AF103" s="347"/>
      <c r="AP103" s="12"/>
    </row>
    <row r="104" spans="1:43" ht="37.5" customHeight="1">
      <c r="A104" s="494" t="s">
        <v>267</v>
      </c>
      <c r="B104" s="2199" t="s">
        <v>64</v>
      </c>
      <c r="C104" s="2201"/>
      <c r="D104" s="310" t="s">
        <v>66</v>
      </c>
      <c r="E104" s="310" t="s">
        <v>67</v>
      </c>
      <c r="F104" s="55"/>
      <c r="G104" s="55"/>
      <c r="H104" s="343" t="s">
        <v>48</v>
      </c>
      <c r="I104" s="344"/>
      <c r="J104" s="344"/>
      <c r="K104" s="343" t="s">
        <v>65</v>
      </c>
      <c r="L104" s="345"/>
      <c r="M104" s="310"/>
      <c r="N104" s="313" t="s">
        <v>48</v>
      </c>
      <c r="O104" s="314"/>
      <c r="P104" s="314"/>
      <c r="Q104" s="313" t="s">
        <v>65</v>
      </c>
      <c r="R104" s="330"/>
      <c r="S104" s="1294"/>
      <c r="T104" s="347"/>
      <c r="AD104" s="12"/>
      <c r="AE104" s="1294"/>
      <c r="AF104" s="347"/>
      <c r="AP104" s="12"/>
      <c r="AQ104" s="12" t="s">
        <v>565</v>
      </c>
    </row>
    <row r="105" spans="1:43" ht="38.25" customHeight="1">
      <c r="A105" s="1251" t="s">
        <v>592</v>
      </c>
      <c r="B105" s="2199" t="s">
        <v>563</v>
      </c>
      <c r="C105" s="2201"/>
      <c r="D105" s="276" t="s">
        <v>214</v>
      </c>
      <c r="E105" s="14" t="s">
        <v>1177</v>
      </c>
      <c r="F105" s="14"/>
      <c r="G105" s="14"/>
      <c r="H105" s="2678">
        <f>'R.FILE GOC'!H105</f>
        <v>0</v>
      </c>
      <c r="I105" s="2678"/>
      <c r="J105" s="2678"/>
      <c r="K105" s="2678">
        <f>'R.FILE GOC'!K105</f>
        <v>0</v>
      </c>
      <c r="L105" s="2678"/>
      <c r="M105" s="1826"/>
      <c r="N105" s="2122">
        <f>'R.FILE GOC'!N105</f>
        <v>0</v>
      </c>
      <c r="O105" s="2122"/>
      <c r="P105" s="2122"/>
      <c r="Q105" s="2122">
        <f>'R.FILE GOC'!Q105</f>
        <v>0</v>
      </c>
      <c r="R105" s="2122"/>
      <c r="S105" s="1295"/>
      <c r="T105" s="347"/>
      <c r="AD105" s="12"/>
      <c r="AE105" s="1295"/>
      <c r="AF105" s="347"/>
      <c r="AP105" s="12"/>
      <c r="AQ105" s="12" t="s">
        <v>565</v>
      </c>
    </row>
    <row r="106" spans="1:43" ht="38.25" customHeight="1">
      <c r="A106" s="1251" t="s">
        <v>593</v>
      </c>
      <c r="B106" s="2199" t="s">
        <v>567</v>
      </c>
      <c r="C106" s="2201"/>
      <c r="D106" s="276" t="s">
        <v>214</v>
      </c>
      <c r="E106" s="14" t="s">
        <v>1177</v>
      </c>
      <c r="F106" s="14"/>
      <c r="G106" s="14"/>
      <c r="H106" s="2678">
        <f>'R.FILE GOC'!H106</f>
        <v>0</v>
      </c>
      <c r="I106" s="2678"/>
      <c r="J106" s="2678"/>
      <c r="K106" s="2678">
        <f>'R.FILE GOC'!K106</f>
        <v>0</v>
      </c>
      <c r="L106" s="2678"/>
      <c r="M106" s="1814"/>
      <c r="N106" s="2122">
        <f>'R.FILE GOC'!N106</f>
        <v>0</v>
      </c>
      <c r="O106" s="2122"/>
      <c r="P106" s="2122"/>
      <c r="Q106" s="2122">
        <f>'R.FILE GOC'!Q106</f>
        <v>0</v>
      </c>
      <c r="R106" s="2122"/>
      <c r="S106" s="1295"/>
      <c r="T106" s="347"/>
      <c r="AD106" s="12"/>
      <c r="AE106" s="1295"/>
      <c r="AF106" s="347"/>
      <c r="AP106" s="12"/>
      <c r="AQ106" s="12" t="s">
        <v>565</v>
      </c>
    </row>
    <row r="107" spans="1:43" ht="38.25" customHeight="1">
      <c r="A107" s="1251" t="s">
        <v>594</v>
      </c>
      <c r="B107" s="2679" t="s">
        <v>1178</v>
      </c>
      <c r="C107" s="2680"/>
      <c r="D107" s="276" t="s">
        <v>214</v>
      </c>
      <c r="E107" s="14" t="s">
        <v>1179</v>
      </c>
      <c r="F107" s="14"/>
      <c r="G107" s="14"/>
      <c r="H107" s="2678">
        <f>'R.FILE GOC'!H107</f>
        <v>0</v>
      </c>
      <c r="I107" s="2678"/>
      <c r="J107" s="2678"/>
      <c r="K107" s="2678">
        <f>'R.FILE GOC'!K107</f>
        <v>0</v>
      </c>
      <c r="L107" s="2678"/>
      <c r="M107" s="2678"/>
      <c r="N107" s="2122">
        <f>'R.FILE GOC'!N107</f>
        <v>0</v>
      </c>
      <c r="O107" s="2122"/>
      <c r="P107" s="2122"/>
      <c r="Q107" s="2122">
        <f>'R.FILE GOC'!Q107</f>
        <v>0</v>
      </c>
      <c r="R107" s="2122"/>
      <c r="S107" s="1295"/>
      <c r="T107" s="347"/>
      <c r="AD107" s="12"/>
      <c r="AE107" s="1295"/>
      <c r="AF107" s="347"/>
      <c r="AP107" s="12"/>
      <c r="AQ107" s="12" t="s">
        <v>565</v>
      </c>
    </row>
    <row r="108" spans="1:43" ht="38.25" customHeight="1">
      <c r="A108" s="1251" t="s">
        <v>595</v>
      </c>
      <c r="B108" s="2679" t="s">
        <v>1180</v>
      </c>
      <c r="C108" s="2680"/>
      <c r="D108" s="276" t="s">
        <v>214</v>
      </c>
      <c r="E108" s="14" t="s">
        <v>1179</v>
      </c>
      <c r="F108" s="14"/>
      <c r="G108" s="14"/>
      <c r="H108" s="2678">
        <f>'R.FILE GOC'!H108</f>
        <v>0</v>
      </c>
      <c r="I108" s="2678"/>
      <c r="J108" s="2678"/>
      <c r="K108" s="2678">
        <f>'R.FILE GOC'!K108</f>
        <v>0</v>
      </c>
      <c r="L108" s="2678"/>
      <c r="M108" s="2678"/>
      <c r="N108" s="2122">
        <f>'R.FILE GOC'!N108</f>
        <v>0</v>
      </c>
      <c r="O108" s="2122"/>
      <c r="P108" s="2122"/>
      <c r="Q108" s="2122">
        <f>'R.FILE GOC'!Q108</f>
        <v>0</v>
      </c>
      <c r="R108" s="2122"/>
      <c r="S108" s="1295"/>
      <c r="T108" s="347"/>
      <c r="AD108" s="12"/>
      <c r="AE108" s="1295"/>
      <c r="AF108" s="347"/>
      <c r="AP108" s="12"/>
      <c r="AQ108" s="12" t="s">
        <v>565</v>
      </c>
    </row>
    <row r="109" spans="1:43" ht="38.25" customHeight="1">
      <c r="A109" s="1251" t="s">
        <v>596</v>
      </c>
      <c r="B109" s="2679" t="s">
        <v>1181</v>
      </c>
      <c r="C109" s="2680"/>
      <c r="D109" s="276" t="s">
        <v>214</v>
      </c>
      <c r="E109" s="14" t="s">
        <v>1179</v>
      </c>
      <c r="F109" s="14"/>
      <c r="G109" s="14"/>
      <c r="H109" s="2678">
        <f>'R.FILE GOC'!H109</f>
        <v>0</v>
      </c>
      <c r="I109" s="2678"/>
      <c r="J109" s="2678"/>
      <c r="K109" s="2678">
        <f>'R.FILE GOC'!K109</f>
        <v>0</v>
      </c>
      <c r="L109" s="2678"/>
      <c r="M109" s="2678"/>
      <c r="N109" s="2122">
        <f>'R.FILE GOC'!N109</f>
        <v>0</v>
      </c>
      <c r="O109" s="2122"/>
      <c r="P109" s="2122"/>
      <c r="Q109" s="2122">
        <f>'R.FILE GOC'!Q109</f>
        <v>0</v>
      </c>
      <c r="R109" s="2122"/>
      <c r="S109" s="1295"/>
      <c r="T109" s="347"/>
      <c r="AD109" s="12"/>
      <c r="AE109" s="1295"/>
      <c r="AF109" s="347"/>
      <c r="AP109" s="12"/>
      <c r="AQ109" s="12" t="s">
        <v>565</v>
      </c>
    </row>
    <row r="110" spans="1:43" ht="38.25" customHeight="1">
      <c r="A110" s="1251" t="s">
        <v>597</v>
      </c>
      <c r="B110" s="2199" t="s">
        <v>580</v>
      </c>
      <c r="C110" s="2201"/>
      <c r="D110" s="276" t="s">
        <v>214</v>
      </c>
      <c r="E110" s="14" t="s">
        <v>1182</v>
      </c>
      <c r="F110" s="14"/>
      <c r="G110" s="14"/>
      <c r="H110" s="2678">
        <f>'R.FILE GOC'!H110</f>
        <v>0</v>
      </c>
      <c r="I110" s="2678"/>
      <c r="J110" s="2678"/>
      <c r="K110" s="2678">
        <f>'R.FILE GOC'!K110</f>
        <v>0</v>
      </c>
      <c r="L110" s="2678"/>
      <c r="M110" s="1814"/>
      <c r="N110" s="2122">
        <f>'R.FILE GOC'!N110</f>
        <v>0</v>
      </c>
      <c r="O110" s="2122"/>
      <c r="P110" s="2122"/>
      <c r="Q110" s="2122">
        <f>'R.FILE GOC'!Q110</f>
        <v>0</v>
      </c>
      <c r="R110" s="2122"/>
      <c r="S110" s="1295"/>
      <c r="T110" s="347"/>
      <c r="AD110" s="12"/>
      <c r="AE110" s="1295"/>
      <c r="AF110" s="347"/>
      <c r="AP110" s="12"/>
      <c r="AQ110" s="12" t="s">
        <v>565</v>
      </c>
    </row>
    <row r="111" spans="1:43" ht="31.5" hidden="1" customHeight="1">
      <c r="A111" s="1251" t="s">
        <v>599</v>
      </c>
      <c r="B111" s="2199" t="s">
        <v>585</v>
      </c>
      <c r="C111" s="2201"/>
      <c r="D111" s="276" t="s">
        <v>214</v>
      </c>
      <c r="E111" s="14" t="s">
        <v>1183</v>
      </c>
      <c r="F111" s="1209"/>
      <c r="G111" s="1209"/>
      <c r="H111" s="2698">
        <f>'R.FILE GOC'!H111</f>
        <v>0</v>
      </c>
      <c r="I111" s="2698"/>
      <c r="J111" s="2698"/>
      <c r="K111" s="2698">
        <f>'R.FILE GOC'!K111</f>
        <v>0</v>
      </c>
      <c r="L111" s="2698"/>
      <c r="M111" s="1814"/>
      <c r="N111" s="2699">
        <f>'R.FILE GOC'!N111</f>
        <v>0</v>
      </c>
      <c r="O111" s="2699"/>
      <c r="P111" s="2699"/>
      <c r="Q111" s="2699">
        <f>'R.FILE GOC'!Q111</f>
        <v>0</v>
      </c>
      <c r="R111" s="2699"/>
      <c r="S111" s="1296"/>
      <c r="T111" s="347"/>
      <c r="AD111" s="12"/>
      <c r="AE111" s="1296"/>
      <c r="AF111" s="347"/>
      <c r="AP111" s="12"/>
      <c r="AQ111" s="12" t="s">
        <v>565</v>
      </c>
    </row>
    <row r="112" spans="1:43" ht="31.5" hidden="1" customHeight="1">
      <c r="A112" s="1251" t="s">
        <v>600</v>
      </c>
      <c r="B112" s="2199" t="s">
        <v>588</v>
      </c>
      <c r="C112" s="2201"/>
      <c r="D112" s="276" t="s">
        <v>214</v>
      </c>
      <c r="E112" s="14" t="s">
        <v>1183</v>
      </c>
      <c r="F112" s="1209"/>
      <c r="G112" s="1209"/>
      <c r="H112" s="2698">
        <f>'R.FILE GOC'!H112</f>
        <v>0</v>
      </c>
      <c r="I112" s="2698"/>
      <c r="J112" s="2698"/>
      <c r="K112" s="2698">
        <f>'R.FILE GOC'!K112</f>
        <v>0</v>
      </c>
      <c r="L112" s="2698"/>
      <c r="M112" s="1814"/>
      <c r="N112" s="2699">
        <f>'R.FILE GOC'!N112</f>
        <v>0</v>
      </c>
      <c r="O112" s="2699"/>
      <c r="P112" s="2699"/>
      <c r="Q112" s="2699">
        <f>'R.FILE GOC'!Q112</f>
        <v>0</v>
      </c>
      <c r="R112" s="2699"/>
      <c r="S112" s="1296"/>
      <c r="T112" s="347"/>
      <c r="AD112" s="12"/>
      <c r="AE112" s="1296"/>
      <c r="AF112" s="347"/>
      <c r="AP112" s="12"/>
      <c r="AQ112" s="12" t="s">
        <v>565</v>
      </c>
    </row>
    <row r="113" spans="1:43" ht="36.75" customHeight="1">
      <c r="A113" s="1251" t="s">
        <v>601</v>
      </c>
      <c r="B113" s="2199" t="s">
        <v>591</v>
      </c>
      <c r="C113" s="2201"/>
      <c r="D113" s="276" t="s">
        <v>214</v>
      </c>
      <c r="E113" s="14" t="s">
        <v>1184</v>
      </c>
      <c r="F113" s="1209"/>
      <c r="G113" s="1209"/>
      <c r="H113" s="2678">
        <f>'R.FILE GOC'!H113</f>
        <v>0</v>
      </c>
      <c r="I113" s="2678"/>
      <c r="J113" s="2678"/>
      <c r="K113" s="2678">
        <f>'R.FILE GOC'!K113</f>
        <v>0</v>
      </c>
      <c r="L113" s="2678"/>
      <c r="M113" s="1814"/>
      <c r="N113" s="2122">
        <f>'R.FILE GOC'!N113</f>
        <v>0</v>
      </c>
      <c r="O113" s="2122"/>
      <c r="P113" s="2122"/>
      <c r="Q113" s="2122">
        <f>'R.FILE GOC'!Q113</f>
        <v>0</v>
      </c>
      <c r="R113" s="2122"/>
      <c r="S113" s="1296"/>
      <c r="T113" s="347"/>
      <c r="AD113" s="12"/>
      <c r="AE113" s="1296"/>
      <c r="AF113" s="347"/>
      <c r="AP113" s="12"/>
      <c r="AQ113" s="12" t="s">
        <v>565</v>
      </c>
    </row>
    <row r="114" spans="1:43" ht="36.75" customHeight="1">
      <c r="A114" s="1251" t="s">
        <v>602</v>
      </c>
      <c r="B114" s="2199" t="s">
        <v>603</v>
      </c>
      <c r="C114" s="2201"/>
      <c r="D114" s="276" t="s">
        <v>214</v>
      </c>
      <c r="E114" s="14" t="s">
        <v>1185</v>
      </c>
      <c r="F114" s="1209"/>
      <c r="G114" s="1209"/>
      <c r="H114" s="2698" t="s">
        <v>1186</v>
      </c>
      <c r="I114" s="2698"/>
      <c r="J114" s="2698"/>
      <c r="K114" s="2678">
        <f>'R.FILE GOC'!K114</f>
        <v>0</v>
      </c>
      <c r="L114" s="2678"/>
      <c r="M114" s="1814"/>
      <c r="N114" s="2699" t="s">
        <v>1364</v>
      </c>
      <c r="O114" s="2699"/>
      <c r="P114" s="2699"/>
      <c r="Q114" s="2122">
        <f>'R.FILE GOC'!Q114</f>
        <v>0</v>
      </c>
      <c r="R114" s="2122"/>
      <c r="S114" s="1296"/>
      <c r="T114" s="347"/>
      <c r="AD114" s="12"/>
      <c r="AE114" s="1296"/>
      <c r="AF114" s="347"/>
      <c r="AP114" s="12"/>
      <c r="AQ114" s="12" t="s">
        <v>565</v>
      </c>
    </row>
  </sheetData>
  <sheetProtection formatCells="0" formatColumns="0" formatRows="0" insertColumns="0" insertRows="0" insertHyperlinks="0" deleteColumns="0" deleteRows="0" selectLockedCells="1" sort="0" autoFilter="0" pivotTables="0"/>
  <mergeCells count="310">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 ref="H108:J108"/>
    <mergeCell ref="N108:P108"/>
    <mergeCell ref="Q108:R108"/>
    <mergeCell ref="H109:J109"/>
    <mergeCell ref="N109:P109"/>
    <mergeCell ref="Q109:R109"/>
    <mergeCell ref="H110:J110"/>
    <mergeCell ref="K110:L110"/>
    <mergeCell ref="N110:P110"/>
    <mergeCell ref="Q110:R110"/>
    <mergeCell ref="K108:M108"/>
    <mergeCell ref="K109:M109"/>
    <mergeCell ref="H105:J105"/>
    <mergeCell ref="K105:L105"/>
    <mergeCell ref="N105:P105"/>
    <mergeCell ref="Q105:R105"/>
    <mergeCell ref="H106:J106"/>
    <mergeCell ref="K106:L106"/>
    <mergeCell ref="N106:P106"/>
    <mergeCell ref="Q106:R106"/>
    <mergeCell ref="H107:J107"/>
    <mergeCell ref="N107:P107"/>
    <mergeCell ref="Q107:R107"/>
    <mergeCell ref="K107:M10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H75:J75"/>
    <mergeCell ref="K75:L75"/>
    <mergeCell ref="N75:P75"/>
    <mergeCell ref="Q75:R75"/>
    <mergeCell ref="H76:J76"/>
    <mergeCell ref="K76:L76"/>
    <mergeCell ref="N76:P76"/>
    <mergeCell ref="Q76:R76"/>
    <mergeCell ref="H77:J77"/>
    <mergeCell ref="K77:L77"/>
    <mergeCell ref="N77:P77"/>
    <mergeCell ref="Q77:R77"/>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41:C41"/>
    <mergeCell ref="B42:C42"/>
    <mergeCell ref="C43:C45"/>
    <mergeCell ref="Z39:AD39"/>
    <mergeCell ref="AF39:AJ39"/>
    <mergeCell ref="AL39:AP39"/>
    <mergeCell ref="J40:L40"/>
    <mergeCell ref="P40:R40"/>
    <mergeCell ref="V40:X40"/>
    <mergeCell ref="AB40:AD40"/>
    <mergeCell ref="AH40:AJ40"/>
    <mergeCell ref="AN40:AP40"/>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63:C63"/>
    <mergeCell ref="B64:C64"/>
    <mergeCell ref="B65:C65"/>
    <mergeCell ref="B66:C66"/>
    <mergeCell ref="B67:C67"/>
    <mergeCell ref="B68:C68"/>
    <mergeCell ref="B57:C57"/>
    <mergeCell ref="B58:C58"/>
    <mergeCell ref="B59:C59"/>
    <mergeCell ref="B60:C60"/>
    <mergeCell ref="B61:C61"/>
    <mergeCell ref="B62:C62"/>
    <mergeCell ref="B76:C76"/>
    <mergeCell ref="B77:C77"/>
    <mergeCell ref="B78:C78"/>
    <mergeCell ref="B79:C79"/>
    <mergeCell ref="B80:C80"/>
    <mergeCell ref="B81:C81"/>
    <mergeCell ref="B69:C69"/>
    <mergeCell ref="B70:C70"/>
    <mergeCell ref="B71:C71"/>
    <mergeCell ref="B72:C72"/>
    <mergeCell ref="B74:C74"/>
    <mergeCell ref="B75:C75"/>
    <mergeCell ref="B87:C88"/>
    <mergeCell ref="D87:D88"/>
    <mergeCell ref="E87:E88"/>
    <mergeCell ref="H87:L87"/>
    <mergeCell ref="N87:R87"/>
    <mergeCell ref="J88:L88"/>
    <mergeCell ref="P88:R88"/>
    <mergeCell ref="B83:C83"/>
    <mergeCell ref="H83:L83"/>
    <mergeCell ref="N83:R83"/>
    <mergeCell ref="B84:C84"/>
    <mergeCell ref="H84:L84"/>
    <mergeCell ref="N84:R84"/>
    <mergeCell ref="B95:C95"/>
    <mergeCell ref="B96:C96"/>
    <mergeCell ref="B97:C97"/>
    <mergeCell ref="B100:C100"/>
    <mergeCell ref="B101:C101"/>
    <mergeCell ref="B89:C89"/>
    <mergeCell ref="B90:C90"/>
    <mergeCell ref="B91:C91"/>
    <mergeCell ref="B92:C92"/>
    <mergeCell ref="B93:C93"/>
    <mergeCell ref="B94:C94"/>
    <mergeCell ref="B109:C109"/>
    <mergeCell ref="B110:C110"/>
    <mergeCell ref="B111:C111"/>
    <mergeCell ref="B112:C112"/>
    <mergeCell ref="B113:C113"/>
    <mergeCell ref="B114:C114"/>
    <mergeCell ref="B102:C102"/>
    <mergeCell ref="B104:C104"/>
    <mergeCell ref="B105:C105"/>
    <mergeCell ref="B106:C106"/>
    <mergeCell ref="B107:C107"/>
    <mergeCell ref="B108:C108"/>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W58:W59"/>
    <mergeCell ref="AF36:AH36"/>
    <mergeCell ref="AI36:AJ36"/>
    <mergeCell ref="AL36:AN36"/>
    <mergeCell ref="AO36:AP36"/>
    <mergeCell ref="H36:J36"/>
    <mergeCell ref="K36:L36"/>
    <mergeCell ref="N36:P36"/>
    <mergeCell ref="Q36:R36"/>
    <mergeCell ref="T36:V36"/>
    <mergeCell ref="W36:X36"/>
    <mergeCell ref="Z52:AB52"/>
    <mergeCell ref="AC52:AD52"/>
    <mergeCell ref="AF52:AH52"/>
    <mergeCell ref="AI52:AJ52"/>
    <mergeCell ref="AL52:AN52"/>
    <mergeCell ref="AO52:AP52"/>
    <mergeCell ref="H52:J52"/>
    <mergeCell ref="K52:L52"/>
    <mergeCell ref="N52:P52"/>
    <mergeCell ref="Q52:R52"/>
    <mergeCell ref="T52:V52"/>
    <mergeCell ref="W52:X52"/>
    <mergeCell ref="T50:V50"/>
  </mergeCells>
  <phoneticPr fontId="6" type="noConversion"/>
  <conditionalFormatting sqref="H6:H7 H26 AL6:AL7 AF6:AF7 Z6:Z7 T6:T7 N6:N7 N26 T26 Z26 AF26 AL26 H42 N42 T42 Z42 AF42 AL42">
    <cfRule type="expression" dxfId="145" priority="494">
      <formula>H6&lt;10</formula>
    </cfRule>
    <cfRule type="expression" dxfId="144" priority="495">
      <formula>H6&gt;15</formula>
    </cfRule>
  </conditionalFormatting>
  <conditionalFormatting sqref="H11 H27 AL8 AL11 AF8 AF11 Z8 Z11 T8 T11 N8 N11 H8 N27 T27 Z27 AF27 AL27 H43 N43 T43 Z43 AF43 AL43">
    <cfRule type="expression" dxfId="143" priority="492">
      <formula>H8&lt;40</formula>
    </cfRule>
    <cfRule type="expression" dxfId="142" priority="493">
      <formula>H8&gt;60</formula>
    </cfRule>
  </conditionalFormatting>
  <conditionalFormatting sqref="H28 AL9 AL12 AF9 AF12 Z9 Z12 T9 T12 N9 N12 H9 H12 N28 T28 Z28 AF28 AL28 H44 N44 T44 Z44 AF44 AL44">
    <cfRule type="expression" dxfId="141" priority="490">
      <formula>H9&lt;5.2</formula>
    </cfRule>
    <cfRule type="expression" dxfId="140" priority="491">
      <formula>H9&gt;7.8</formula>
    </cfRule>
  </conditionalFormatting>
  <conditionalFormatting sqref="H29 AL10 AL13 AF10 AF13 Z10 Z13 T10 T13 N10 N13 H10 H13 N29 T29 Z29 AF29 AL29 H45 N45 T45 Z45 AF45 AL45">
    <cfRule type="expression" dxfId="139" priority="489">
      <formula>H10&gt;0.4</formula>
    </cfRule>
  </conditionalFormatting>
  <conditionalFormatting sqref="H30 AL14 AF14 Z14 T14 N14 H14 N30 T30 Z30 AF30 AL30 H46 N46 T46 Z46 AF46 AL46">
    <cfRule type="expression" dxfId="138" priority="487">
      <formula>H14&lt;0.8</formula>
    </cfRule>
    <cfRule type="expression" dxfId="137" priority="488">
      <formula>H14&gt;1.2</formula>
    </cfRule>
  </conditionalFormatting>
  <conditionalFormatting sqref="H31 AL15 AF15 Z15 T15 N15 H15 N31 T31 Z31 AF31 AL31 H47 N47 T47 Z47 AF47 AL47">
    <cfRule type="expression" dxfId="136" priority="485">
      <formula>H15&lt;8</formula>
    </cfRule>
    <cfRule type="expression" dxfId="135" priority="486">
      <formula>H15&gt;10</formula>
    </cfRule>
  </conditionalFormatting>
  <conditionalFormatting sqref="H25 N25 T25 Z25 AF25 AL25 H41 N41 T41 Z41 AF41 AL41">
    <cfRule type="expression" dxfId="134" priority="483">
      <formula>H25&lt;30</formula>
    </cfRule>
    <cfRule type="expression" dxfId="133" priority="484">
      <formula>H25&gt;50</formula>
    </cfRule>
  </conditionalFormatting>
  <conditionalFormatting sqref="N60 H60">
    <cfRule type="expression" dxfId="132" priority="481">
      <formula>H60&lt;5</formula>
    </cfRule>
    <cfRule type="expression" dxfId="131" priority="482">
      <formula>H60&gt;15</formula>
    </cfRule>
  </conditionalFormatting>
  <conditionalFormatting sqref="N61 H61">
    <cfRule type="expression" dxfId="130" priority="480">
      <formula>H61&gt;1.5</formula>
    </cfRule>
  </conditionalFormatting>
  <conditionalFormatting sqref="N62 H62">
    <cfRule type="expression" dxfId="129" priority="478">
      <formula>H62&lt;20</formula>
    </cfRule>
    <cfRule type="expression" dxfId="128" priority="479">
      <formula>H62&gt;25</formula>
    </cfRule>
  </conditionalFormatting>
  <conditionalFormatting sqref="N63 H63">
    <cfRule type="expression" dxfId="127" priority="476">
      <formula>H63&lt;6</formula>
    </cfRule>
    <cfRule type="expression" dxfId="126" priority="477">
      <formula>H63&gt;9</formula>
    </cfRule>
  </conditionalFormatting>
  <conditionalFormatting sqref="N64 H64">
    <cfRule type="expression" dxfId="125" priority="474">
      <formula>H64&lt;7</formula>
    </cfRule>
    <cfRule type="expression" dxfId="124" priority="475">
      <formula>H64&gt;10</formula>
    </cfRule>
  </conditionalFormatting>
  <conditionalFormatting sqref="N65:N66 H65:H66">
    <cfRule type="expression" dxfId="123" priority="472">
      <formula>H65&lt;5.3</formula>
    </cfRule>
    <cfRule type="expression" dxfId="122" priority="473">
      <formula>H65&gt;6</formula>
    </cfRule>
  </conditionalFormatting>
  <conditionalFormatting sqref="H67 H69">
    <cfRule type="expression" dxfId="121" priority="470">
      <formula>H67&lt;12</formula>
    </cfRule>
    <cfRule type="expression" dxfId="120" priority="471">
      <formula>H67&gt;18</formula>
    </cfRule>
  </conditionalFormatting>
  <conditionalFormatting sqref="H68 H70">
    <cfRule type="expression" dxfId="119" priority="468">
      <formula>H68&lt;8</formula>
    </cfRule>
    <cfRule type="expression" dxfId="118" priority="469">
      <formula>H68&gt;16</formula>
    </cfRule>
  </conditionalFormatting>
  <conditionalFormatting sqref="N89:N90 H89:H90">
    <cfRule type="expression" dxfId="117" priority="466">
      <formula>H89&lt;20</formula>
    </cfRule>
    <cfRule type="expression" dxfId="116" priority="467">
      <formula>H89&gt;30</formula>
    </cfRule>
  </conditionalFormatting>
  <conditionalFormatting sqref="N91 H91">
    <cfRule type="expression" dxfId="115" priority="464">
      <formula>H91&lt;210</formula>
    </cfRule>
    <cfRule type="expression" dxfId="114" priority="465">
      <formula>H91&gt;290</formula>
    </cfRule>
  </conditionalFormatting>
  <conditionalFormatting sqref="N92 N94 N96 H92 H94 H96">
    <cfRule type="expression" dxfId="113" priority="462">
      <formula>H92&lt;120</formula>
    </cfRule>
    <cfRule type="expression" dxfId="112" priority="463">
      <formula>H92&gt;150</formula>
    </cfRule>
  </conditionalFormatting>
  <conditionalFormatting sqref="N93 N95 N97 H93 H95 H97">
    <cfRule type="expression" dxfId="111" priority="460">
      <formula>H93&lt;1</formula>
    </cfRule>
    <cfRule type="expression" dxfId="110" priority="461">
      <formula>H93&gt;5</formula>
    </cfRule>
  </conditionalFormatting>
  <conditionalFormatting sqref="N98 H98">
    <cfRule type="expression" dxfId="109" priority="458">
      <formula>H98&lt;8</formula>
    </cfRule>
    <cfRule type="expression" dxfId="108" priority="459">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107" priority="457">
      <formula>H6&lt;1</formula>
    </cfRule>
  </conditionalFormatting>
  <conditionalFormatting sqref="H30 AL14 AF14 Z14 T14 N14 H14 N30 T30 Z30 AF30 AL30 H46 N46 T46 Z46 AF46 AL46">
    <cfRule type="expression" dxfId="106" priority="456">
      <formula>H14&lt;0.1</formula>
    </cfRule>
  </conditionalFormatting>
  <conditionalFormatting sqref="H18:L19 N18:R19 T18:X19 Z18:AD19 AF18:AJ19 AL18:AP19 H35:L35 N35:R35 T35:X35 Z35:AD35 AF35:AJ35 AL35:AP35 H51:L51 N51:R51 T51:X51 Z51:AD51 AF51:AJ51 AL51:AP51">
    <cfRule type="expression" dxfId="105" priority="454">
      <formula>H18&lt;65</formula>
    </cfRule>
    <cfRule type="expression" dxfId="104" priority="455">
      <formula>H18&gt;85</formula>
    </cfRule>
  </conditionalFormatting>
  <conditionalFormatting sqref="H20:L20 N20:R20 T20:X20 Z20:AD20 AF20:AJ20 AL20:AP20 H36:L36 N36:R36 T36:X36 Z36:AD36 AF36:AJ36 AL36:AP36 H52:L52 N52:R52 T52:X52 Z52:AD52 AF52:AJ52 AL52:AP52">
    <cfRule type="expression" dxfId="103" priority="452">
      <formula>H20&lt;80</formula>
    </cfRule>
    <cfRule type="expression" dxfId="102" priority="453">
      <formula>H20&gt;90</formula>
    </cfRule>
  </conditionalFormatting>
  <conditionalFormatting sqref="H34 K34 N34 Q34 T34 W34 Z34 AC34 AF34 AI34 AL34 AO34 H50 K50 N50 Q50 T50 W50 Z50 AC50 AF50 AI50 AL50 AO50 H113 K113 N113 Q113">
    <cfRule type="expression" dxfId="101" priority="354">
      <formula>H34&lt;55</formula>
    </cfRule>
    <cfRule type="expression" dxfId="100" priority="355">
      <formula>H34&gt;65</formula>
    </cfRule>
  </conditionalFormatting>
  <conditionalFormatting sqref="K75:L77 N75:R77 H75:H77">
    <cfRule type="expression" dxfId="99" priority="282">
      <formula>H75&lt;51</formula>
    </cfRule>
    <cfRule type="expression" dxfId="98" priority="283">
      <formula>H75&gt;59</formula>
    </cfRule>
  </conditionalFormatting>
  <conditionalFormatting sqref="K78:L78 H78 N78:R78">
    <cfRule type="expression" dxfId="97" priority="276">
      <formula>H78&lt;30</formula>
    </cfRule>
    <cfRule type="expression" dxfId="96" priority="277">
      <formula>H78&gt;40</formula>
    </cfRule>
  </conditionalFormatting>
  <conditionalFormatting sqref="K79:L80 N79:R80 H79:H80">
    <cfRule type="expression" dxfId="95" priority="273">
      <formula>H79&lt;26</formula>
    </cfRule>
    <cfRule type="expression" dxfId="94" priority="274">
      <formula>H79&gt;32</formula>
    </cfRule>
  </conditionalFormatting>
  <conditionalFormatting sqref="K81 Q81">
    <cfRule type="expression" dxfId="93" priority="252">
      <formula>K81&lt;170</formula>
    </cfRule>
    <cfRule type="expression" dxfId="92" priority="253">
      <formula>K81&gt;220</formula>
    </cfRule>
  </conditionalFormatting>
  <conditionalFormatting sqref="H57 N57">
    <cfRule type="expression" dxfId="91" priority="57">
      <formula>H57&lt;10</formula>
    </cfRule>
    <cfRule type="expression" dxfId="90" priority="58">
      <formula>H57&gt;20</formula>
    </cfRule>
  </conditionalFormatting>
  <conditionalFormatting sqref="H58:I59 N58:N59">
    <cfRule type="expression" dxfId="89" priority="56" stopIfTrue="1">
      <formula>H58&lt;40</formula>
    </cfRule>
  </conditionalFormatting>
  <conditionalFormatting sqref="H58:I59 N58:N59">
    <cfRule type="expression" dxfId="88" priority="55" stopIfTrue="1">
      <formula>H58&gt;60</formula>
    </cfRule>
  </conditionalFormatting>
  <conditionalFormatting sqref="H99 N99">
    <cfRule type="expression" dxfId="87" priority="51">
      <formula>H99&lt;6</formula>
    </cfRule>
    <cfRule type="expression" dxfId="86" priority="52">
      <formula>H99&gt;8</formula>
    </cfRule>
  </conditionalFormatting>
  <conditionalFormatting sqref="H102 N102">
    <cfRule type="expression" dxfId="85" priority="49">
      <formula>H102&lt;5.4</formula>
    </cfRule>
    <cfRule type="expression" dxfId="84" priority="50">
      <formula>H102&gt;5.8</formula>
    </cfRule>
  </conditionalFormatting>
  <conditionalFormatting sqref="H105:H106 K105:K106 N105:N106 Q105:Q106">
    <cfRule type="expression" dxfId="83" priority="43">
      <formula>H105&lt;45</formula>
    </cfRule>
    <cfRule type="expression" dxfId="82" priority="44">
      <formula>H105&gt;65</formula>
    </cfRule>
  </conditionalFormatting>
  <conditionalFormatting sqref="H110 K110 N110 Q110">
    <cfRule type="expression" dxfId="81" priority="39">
      <formula>H110&lt;30</formula>
    </cfRule>
    <cfRule type="expression" dxfId="80" priority="40">
      <formula>H110&gt;60</formula>
    </cfRule>
  </conditionalFormatting>
  <conditionalFormatting sqref="K114 Q114">
    <cfRule type="expression" dxfId="79" priority="35">
      <formula>K114&lt;100</formula>
    </cfRule>
    <cfRule type="expression" dxfId="78" priority="36">
      <formula>K114&gt;110</formula>
    </cfRule>
  </conditionalFormatting>
  <conditionalFormatting sqref="H107:H109 K107:K109 N107:N109 Q107:Q109">
    <cfRule type="expression" dxfId="77" priority="7">
      <formula>H107&lt;18</formula>
    </cfRule>
    <cfRule type="expression" dxfId="76" priority="8">
      <formula>H107&gt;25</formula>
    </cfRule>
  </conditionalFormatting>
  <hyperlinks>
    <hyperlink ref="AS6" r:id="rId1"/>
    <hyperlink ref="AS8" r:id="rId2"/>
    <hyperlink ref="AS27" r:id="rId3"/>
    <hyperlink ref="AS43" r:id="rId4"/>
    <hyperlink ref="AS41" r:id="rId5"/>
    <hyperlink ref="AS25" r:id="rId6"/>
    <hyperlink ref="AS26" r:id="rId7"/>
    <hyperlink ref="AS42" r:id="rId8"/>
    <hyperlink ref="AS11" r:id="rId9"/>
    <hyperlink ref="AS9" r:id="rId10"/>
    <hyperlink ref="AS28" r:id="rId11"/>
    <hyperlink ref="AS44" r:id="rId12"/>
    <hyperlink ref="AS12" r:id="rId13"/>
    <hyperlink ref="AS13" r:id="rId14"/>
    <hyperlink ref="AS29" r:id="rId15"/>
    <hyperlink ref="AS45" r:id="rId16"/>
    <hyperlink ref="AS10" r:id="rId17"/>
    <hyperlink ref="W58:W59" r:id="rId18" display="D:\2. Data hoa nghiem\1. PP HÓA NGHIỆM CÁC BỒN-XLBM\HALO-PPPT_CT-21A-XB-XT,XM-1F.pdf"/>
    <hyperlink ref="W92" r:id="rId19"/>
    <hyperlink ref="W93" r:id="rId20"/>
    <hyperlink ref="W98" r:id="rId21"/>
    <hyperlink ref="W89" r:id="rId22"/>
    <hyperlink ref="W91" r:id="rId23"/>
  </hyperlinks>
  <printOptions horizontalCentered="1"/>
  <pageMargins left="0.26" right="0.16" top="0.3" bottom="0.45" header="0.17" footer="0.27559055118110237"/>
  <pageSetup paperSize="9" scale="38" orientation="portrait" verticalDpi="300" r:id="rId24"/>
  <headerFooter alignWithMargins="0"/>
  <drawing r:id="rId25"/>
</worksheet>
</file>

<file path=xl/worksheets/sheet44.xml><?xml version="1.0" encoding="utf-8"?>
<worksheet xmlns="http://schemas.openxmlformats.org/spreadsheetml/2006/main" xmlns:r="http://schemas.openxmlformats.org/officeDocument/2006/relationships">
  <sheetPr codeName="Sheet33">
    <tabColor rgb="FF00B050"/>
  </sheetPr>
  <dimension ref="A1:Y128"/>
  <sheetViews>
    <sheetView topLeftCell="A12" zoomScale="70" zoomScaleNormal="70" workbookViewId="0">
      <selection activeCell="O104" sqref="O104:Y104"/>
    </sheetView>
  </sheetViews>
  <sheetFormatPr defaultRowHeight="18"/>
  <cols>
    <col min="1" max="1" width="3.375" style="680" customWidth="1"/>
    <col min="2" max="2" width="22.25" style="680" customWidth="1"/>
    <col min="3" max="4" width="5" style="680" customWidth="1"/>
    <col min="5" max="5" width="8.125" style="680" customWidth="1"/>
    <col min="6" max="6" width="15.75" style="738" customWidth="1"/>
    <col min="7" max="7" width="12" style="680" hidden="1" customWidth="1"/>
    <col min="8" max="8" width="8.75" style="680" hidden="1" customWidth="1"/>
    <col min="9" max="9" width="9.125" style="739" hidden="1" customWidth="1"/>
    <col min="10" max="10" width="11.25" style="739" hidden="1" customWidth="1"/>
    <col min="11" max="11" width="2.5" style="739" hidden="1" customWidth="1"/>
    <col min="12" max="12" width="9.5" style="740" hidden="1" customWidth="1"/>
    <col min="13" max="13" width="4.75" style="739" hidden="1" customWidth="1"/>
    <col min="14" max="14" width="6.25" style="739" hidden="1" customWidth="1"/>
    <col min="15" max="15" width="8.125" style="739" customWidth="1"/>
    <col min="16" max="16" width="11.25" style="739" hidden="1" customWidth="1"/>
    <col min="17" max="17" width="3" style="739" customWidth="1"/>
    <col min="18" max="18" width="9.25" style="740" customWidth="1"/>
    <col min="19" max="19" width="4.5" style="739" customWidth="1"/>
    <col min="20" max="20" width="9" style="739" hidden="1" customWidth="1"/>
    <col min="21" max="21" width="8.375" style="739" customWidth="1"/>
    <col min="22" max="22" width="9" style="739" hidden="1" customWidth="1"/>
    <col min="23" max="23" width="3.75" style="739" customWidth="1"/>
    <col min="24" max="24" width="8.5" style="740" customWidth="1"/>
    <col min="25" max="25" width="4.75" style="739" customWidth="1"/>
    <col min="26" max="16384" width="9" style="680"/>
  </cols>
  <sheetData>
    <row r="1" spans="1:25" ht="53.25" customHeight="1">
      <c r="A1" s="2750" t="s">
        <v>777</v>
      </c>
      <c r="B1" s="2750"/>
      <c r="C1" s="2750"/>
      <c r="D1" s="2750"/>
      <c r="E1" s="2750"/>
      <c r="F1" s="2750"/>
      <c r="G1" s="2750"/>
      <c r="H1" s="2750"/>
      <c r="I1" s="2750"/>
      <c r="J1" s="2750"/>
      <c r="K1" s="2750"/>
      <c r="L1" s="2750"/>
      <c r="M1" s="2750"/>
      <c r="N1" s="2750"/>
      <c r="O1" s="2750"/>
      <c r="P1" s="2750"/>
      <c r="Q1" s="2750"/>
      <c r="R1" s="2750"/>
      <c r="S1" s="2750"/>
      <c r="T1" s="2750"/>
      <c r="U1" s="2750"/>
      <c r="V1" s="2750"/>
      <c r="W1" s="2750"/>
      <c r="X1" s="2750"/>
      <c r="Y1" s="2750"/>
    </row>
    <row r="2" spans="1:25" ht="28.5" customHeight="1">
      <c r="A2" s="681"/>
      <c r="B2" s="681"/>
      <c r="C2" s="681"/>
      <c r="D2" s="681"/>
      <c r="E2" s="682"/>
      <c r="F2" s="683"/>
      <c r="G2" s="682"/>
      <c r="H2" s="682"/>
      <c r="I2" s="682"/>
      <c r="J2" s="682"/>
      <c r="K2" s="682"/>
      <c r="L2" s="1297"/>
      <c r="M2" s="682"/>
      <c r="N2" s="682"/>
      <c r="O2" s="682"/>
      <c r="P2" s="682"/>
      <c r="Q2" s="682"/>
      <c r="R2" s="684"/>
      <c r="S2" s="682"/>
      <c r="T2" s="682"/>
      <c r="U2" s="682"/>
      <c r="V2" s="682"/>
      <c r="W2" s="682"/>
      <c r="X2" s="1297"/>
      <c r="Y2" s="682"/>
    </row>
    <row r="3" spans="1:25" s="688" customFormat="1" ht="30.75" customHeight="1">
      <c r="A3" s="2751" t="s">
        <v>418</v>
      </c>
      <c r="B3" s="2752"/>
      <c r="C3" s="1612"/>
      <c r="D3" s="1612"/>
      <c r="E3" s="2724" t="str">
        <f>'1.xi den'!G3</f>
        <v>2023/03/21</v>
      </c>
      <c r="F3" s="2725"/>
      <c r="G3" s="685"/>
      <c r="H3" s="686"/>
      <c r="I3" s="686"/>
      <c r="J3" s="686"/>
      <c r="K3" s="686"/>
      <c r="L3" s="686"/>
      <c r="M3" s="686"/>
      <c r="N3" s="686"/>
      <c r="O3" s="686" t="s">
        <v>778</v>
      </c>
      <c r="P3" s="686"/>
      <c r="Q3" s="686"/>
      <c r="R3" s="686"/>
      <c r="S3" s="686"/>
      <c r="T3" s="686"/>
      <c r="U3" s="686"/>
      <c r="V3" s="686"/>
      <c r="W3" s="686"/>
      <c r="X3" s="686"/>
      <c r="Y3" s="687"/>
    </row>
    <row r="4" spans="1:25" ht="30.75" customHeight="1">
      <c r="A4" s="2726" t="s">
        <v>7</v>
      </c>
      <c r="B4" s="2253" t="s">
        <v>779</v>
      </c>
      <c r="C4" s="2254"/>
      <c r="D4" s="2729"/>
      <c r="E4" s="2734" t="s">
        <v>780</v>
      </c>
      <c r="F4" s="2737" t="s">
        <v>781</v>
      </c>
      <c r="G4" s="689"/>
      <c r="H4" s="690"/>
      <c r="I4" s="2740" t="s">
        <v>782</v>
      </c>
      <c r="J4" s="2741"/>
      <c r="K4" s="2741"/>
      <c r="L4" s="2741"/>
      <c r="M4" s="2741"/>
      <c r="N4" s="691"/>
      <c r="O4" s="2740" t="s">
        <v>1401</v>
      </c>
      <c r="P4" s="2741"/>
      <c r="Q4" s="2741"/>
      <c r="R4" s="2741"/>
      <c r="S4" s="2741"/>
      <c r="T4" s="691"/>
      <c r="U4" s="2740" t="s">
        <v>1402</v>
      </c>
      <c r="V4" s="2741"/>
      <c r="W4" s="2741"/>
      <c r="X4" s="2741"/>
      <c r="Y4" s="2741"/>
    </row>
    <row r="5" spans="1:25" ht="30.75" customHeight="1">
      <c r="A5" s="2727"/>
      <c r="B5" s="2730"/>
      <c r="C5" s="2731"/>
      <c r="D5" s="2732"/>
      <c r="E5" s="2735"/>
      <c r="F5" s="2738"/>
      <c r="G5" s="692" t="s">
        <v>457</v>
      </c>
      <c r="H5" s="693"/>
      <c r="I5" s="2716" t="s">
        <v>783</v>
      </c>
      <c r="J5" s="695" t="s">
        <v>784</v>
      </c>
      <c r="K5" s="2718" t="s">
        <v>1</v>
      </c>
      <c r="L5" s="2718"/>
      <c r="M5" s="2719"/>
      <c r="N5" s="694"/>
      <c r="O5" s="2716" t="s">
        <v>783</v>
      </c>
      <c r="P5" s="695" t="s">
        <v>784</v>
      </c>
      <c r="Q5" s="2718" t="s">
        <v>1</v>
      </c>
      <c r="R5" s="2718"/>
      <c r="S5" s="2719"/>
      <c r="T5" s="693"/>
      <c r="U5" s="2716" t="s">
        <v>783</v>
      </c>
      <c r="V5" s="695" t="s">
        <v>784</v>
      </c>
      <c r="W5" s="2718" t="s">
        <v>1</v>
      </c>
      <c r="X5" s="2718"/>
      <c r="Y5" s="2719"/>
    </row>
    <row r="6" spans="1:25" ht="30.75" customHeight="1">
      <c r="A6" s="2728"/>
      <c r="B6" s="2255"/>
      <c r="C6" s="2256"/>
      <c r="D6" s="2733"/>
      <c r="E6" s="2736"/>
      <c r="F6" s="2739"/>
      <c r="G6" s="692"/>
      <c r="H6" s="693"/>
      <c r="I6" s="2717"/>
      <c r="J6" s="696"/>
      <c r="K6" s="2720"/>
      <c r="L6" s="2720"/>
      <c r="M6" s="2721"/>
      <c r="N6" s="694"/>
      <c r="O6" s="2717"/>
      <c r="P6" s="696"/>
      <c r="Q6" s="2720"/>
      <c r="R6" s="2720"/>
      <c r="S6" s="2721"/>
      <c r="T6" s="693"/>
      <c r="U6" s="2717"/>
      <c r="V6" s="696"/>
      <c r="W6" s="2720"/>
      <c r="X6" s="2720"/>
      <c r="Y6" s="2721"/>
    </row>
    <row r="7" spans="1:25" ht="30.75" customHeight="1">
      <c r="A7" s="697">
        <v>1</v>
      </c>
      <c r="B7" s="2700" t="s">
        <v>785</v>
      </c>
      <c r="C7" s="2701"/>
      <c r="D7" s="2702"/>
      <c r="E7" s="698" t="s">
        <v>466</v>
      </c>
      <c r="F7" s="699" t="s">
        <v>771</v>
      </c>
      <c r="G7" s="700">
        <v>40</v>
      </c>
      <c r="H7" s="701">
        <f>R.HN!C16</f>
        <v>0</v>
      </c>
      <c r="I7" s="707"/>
      <c r="J7" s="707"/>
      <c r="K7" s="708"/>
      <c r="L7" s="1298"/>
      <c r="M7" s="709"/>
      <c r="N7" s="702">
        <f>R.HN!D16</f>
        <v>0</v>
      </c>
      <c r="O7" s="338">
        <f>'R.GUI MAIL'!H25</f>
        <v>0</v>
      </c>
      <c r="P7" s="703"/>
      <c r="Q7" s="704" t="s">
        <v>8</v>
      </c>
      <c r="R7" s="1299">
        <f>'R.GUI MAIL'!K25</f>
        <v>0</v>
      </c>
      <c r="S7" s="705" t="s">
        <v>9</v>
      </c>
      <c r="T7" s="702"/>
      <c r="U7" s="338">
        <f>'R.GUI MAIL'!H41</f>
        <v>0</v>
      </c>
      <c r="V7" s="707"/>
      <c r="W7" s="704" t="s">
        <v>8</v>
      </c>
      <c r="X7" s="1300">
        <f>'R.GUI MAIL'!K41</f>
        <v>0</v>
      </c>
      <c r="Y7" s="705" t="s">
        <v>1403</v>
      </c>
    </row>
    <row r="8" spans="1:25" ht="30.75" customHeight="1">
      <c r="A8" s="697">
        <v>2</v>
      </c>
      <c r="B8" s="2700" t="s">
        <v>460</v>
      </c>
      <c r="C8" s="2701"/>
      <c r="D8" s="2702"/>
      <c r="E8" s="706" t="s">
        <v>3</v>
      </c>
      <c r="F8" s="699" t="s">
        <v>461</v>
      </c>
      <c r="G8" s="700">
        <v>22</v>
      </c>
      <c r="H8" s="701">
        <f>R.HN!C17</f>
        <v>0</v>
      </c>
      <c r="I8" s="338">
        <f>'R.GUI MAIL'!H6</f>
        <v>0</v>
      </c>
      <c r="J8" s="703"/>
      <c r="K8" s="704" t="s">
        <v>8</v>
      </c>
      <c r="L8" s="1299">
        <f>'R.GUI MAIL'!K6</f>
        <v>0</v>
      </c>
      <c r="M8" s="705" t="s">
        <v>10</v>
      </c>
      <c r="N8" s="702">
        <f>R.HN!D17</f>
        <v>0</v>
      </c>
      <c r="O8" s="338">
        <f>'R.GUI MAIL'!H26</f>
        <v>0</v>
      </c>
      <c r="P8" s="703"/>
      <c r="Q8" s="704" t="s">
        <v>8</v>
      </c>
      <c r="R8" s="1299">
        <f>'R.GUI MAIL'!K26</f>
        <v>0</v>
      </c>
      <c r="S8" s="705" t="s">
        <v>10</v>
      </c>
      <c r="T8" s="702"/>
      <c r="U8" s="338">
        <f>'R.GUI MAIL'!H42</f>
        <v>0</v>
      </c>
      <c r="V8" s="703"/>
      <c r="W8" s="704" t="s">
        <v>8</v>
      </c>
      <c r="X8" s="1299">
        <f>'R.GUI MAIL'!K42</f>
        <v>0</v>
      </c>
      <c r="Y8" s="705" t="str">
        <f>'R.GUI MAIL'!L41</f>
        <v>kg</v>
      </c>
    </row>
    <row r="9" spans="1:25" ht="24.75" hidden="1" customHeight="1">
      <c r="A9" s="697">
        <v>3</v>
      </c>
      <c r="B9" s="2707" t="s">
        <v>424</v>
      </c>
      <c r="C9" s="2708"/>
      <c r="D9" s="2709"/>
      <c r="E9" s="706" t="s">
        <v>3</v>
      </c>
      <c r="F9" s="699" t="s">
        <v>461</v>
      </c>
      <c r="G9" s="700"/>
      <c r="H9" s="701"/>
      <c r="I9" s="1253">
        <f>'R.GUI MAIL'!H7</f>
        <v>0</v>
      </c>
      <c r="J9" s="703"/>
      <c r="K9" s="704" t="s">
        <v>8</v>
      </c>
      <c r="L9" s="1299">
        <f>'R.GUI MAIL'!K7</f>
        <v>292.1875</v>
      </c>
      <c r="M9" s="705" t="s">
        <v>10</v>
      </c>
      <c r="N9" s="702"/>
      <c r="O9" s="707"/>
      <c r="P9" s="707"/>
      <c r="Q9" s="708"/>
      <c r="R9" s="1298"/>
      <c r="S9" s="709"/>
      <c r="T9" s="710"/>
      <c r="U9" s="1253">
        <f>'R.GUI MAIL'!H42</f>
        <v>0</v>
      </c>
      <c r="V9" s="703"/>
      <c r="W9" s="704" t="s">
        <v>8</v>
      </c>
      <c r="X9" s="1299">
        <f>'R.GUI MAIL'!K42</f>
        <v>0</v>
      </c>
      <c r="Y9" s="705" t="str">
        <f>'R.GUI MAIL'!L42</f>
        <v>L</v>
      </c>
    </row>
    <row r="10" spans="1:25" ht="30.75" customHeight="1">
      <c r="A10" s="697">
        <v>4</v>
      </c>
      <c r="B10" s="2713" t="s">
        <v>786</v>
      </c>
      <c r="C10" s="1301" t="s">
        <v>787</v>
      </c>
      <c r="D10" s="1302">
        <f>R.HN!$C$12</f>
        <v>3</v>
      </c>
      <c r="E10" s="2749" t="s">
        <v>466</v>
      </c>
      <c r="F10" s="699" t="s">
        <v>773</v>
      </c>
      <c r="G10" s="700">
        <v>50</v>
      </c>
      <c r="H10" s="701">
        <f>R.HN!C18</f>
        <v>0</v>
      </c>
      <c r="I10" s="338">
        <f>'R.GUI MAIL'!H8</f>
        <v>0</v>
      </c>
      <c r="J10" s="703"/>
      <c r="K10" s="704" t="s">
        <v>8</v>
      </c>
      <c r="L10" s="1299">
        <f>'R.GUI MAIL'!K8</f>
        <v>0</v>
      </c>
      <c r="M10" s="705" t="s">
        <v>9</v>
      </c>
      <c r="N10" s="702">
        <f>R.HN!D18</f>
        <v>0</v>
      </c>
      <c r="O10" s="338">
        <f>'R.GUI MAIL'!H27</f>
        <v>0</v>
      </c>
      <c r="P10" s="703"/>
      <c r="Q10" s="704" t="s">
        <v>8</v>
      </c>
      <c r="R10" s="1299">
        <f>'R.GUI MAIL'!K27</f>
        <v>0</v>
      </c>
      <c r="S10" s="705" t="s">
        <v>9</v>
      </c>
      <c r="T10" s="702"/>
      <c r="U10" s="338">
        <f>'R.GUI MAIL'!H43</f>
        <v>0</v>
      </c>
      <c r="V10" s="703"/>
      <c r="W10" s="704" t="s">
        <v>8</v>
      </c>
      <c r="X10" s="1299">
        <f>'R.GUI MAIL'!K43</f>
        <v>0</v>
      </c>
      <c r="Y10" s="705" t="str">
        <f>'R.GUI MAIL'!L43</f>
        <v>kg</v>
      </c>
    </row>
    <row r="11" spans="1:25" ht="30.75" customHeight="1">
      <c r="A11" s="697">
        <v>5</v>
      </c>
      <c r="B11" s="2714"/>
      <c r="C11" s="1303"/>
      <c r="D11" s="1304"/>
      <c r="E11" s="2749"/>
      <c r="F11" s="699" t="s">
        <v>769</v>
      </c>
      <c r="G11" s="711">
        <v>6</v>
      </c>
      <c r="H11" s="701">
        <f>R.HN!C19</f>
        <v>0</v>
      </c>
      <c r="I11" s="338">
        <f>'R.GUI MAIL'!H9</f>
        <v>0</v>
      </c>
      <c r="J11" s="703"/>
      <c r="K11" s="704" t="s">
        <v>8</v>
      </c>
      <c r="L11" s="1299">
        <f>'R.GUI MAIL'!K9</f>
        <v>0</v>
      </c>
      <c r="M11" s="705" t="s">
        <v>9</v>
      </c>
      <c r="N11" s="702">
        <f>R.HN!D19</f>
        <v>0</v>
      </c>
      <c r="O11" s="338">
        <f>'R.GUI MAIL'!H28</f>
        <v>0</v>
      </c>
      <c r="P11" s="703"/>
      <c r="Q11" s="704"/>
      <c r="R11" s="1299">
        <f>'R.GUI MAIL'!K28</f>
        <v>0</v>
      </c>
      <c r="S11" s="705" t="s">
        <v>9</v>
      </c>
      <c r="T11" s="702"/>
      <c r="U11" s="338">
        <f>'R.GUI MAIL'!H44</f>
        <v>0</v>
      </c>
      <c r="V11" s="703"/>
      <c r="W11" s="704" t="s">
        <v>8</v>
      </c>
      <c r="X11" s="1299">
        <f>'R.GUI MAIL'!K44</f>
        <v>0</v>
      </c>
      <c r="Y11" s="705" t="str">
        <f>'R.GUI MAIL'!L44</f>
        <v>kg</v>
      </c>
    </row>
    <row r="12" spans="1:25" ht="30.75" customHeight="1">
      <c r="A12" s="697">
        <v>6</v>
      </c>
      <c r="B12" s="2714"/>
      <c r="C12" s="1303"/>
      <c r="D12" s="1304"/>
      <c r="E12" s="2749"/>
      <c r="F12" s="699" t="s">
        <v>651</v>
      </c>
      <c r="G12" s="711">
        <v>0.4</v>
      </c>
      <c r="H12" s="701">
        <f>R.HN!C20</f>
        <v>0</v>
      </c>
      <c r="I12" s="463">
        <f>'R.GUI MAIL'!H10</f>
        <v>0</v>
      </c>
      <c r="J12" s="703"/>
      <c r="K12" s="704" t="s">
        <v>8</v>
      </c>
      <c r="L12" s="1299">
        <f>'R.GUI MAIL'!K10</f>
        <v>0</v>
      </c>
      <c r="M12" s="705" t="s">
        <v>9</v>
      </c>
      <c r="N12" s="702">
        <f>R.HN!D20</f>
        <v>0</v>
      </c>
      <c r="O12" s="463">
        <f>'R.GUI MAIL'!H29</f>
        <v>0</v>
      </c>
      <c r="P12" s="712"/>
      <c r="Q12" s="713"/>
      <c r="R12" s="1299">
        <f>'R.GUI MAIL'!K29</f>
        <v>0</v>
      </c>
      <c r="S12" s="714" t="s">
        <v>9</v>
      </c>
      <c r="T12" s="715"/>
      <c r="U12" s="463">
        <f>'R.GUI MAIL'!H45</f>
        <v>0</v>
      </c>
      <c r="V12" s="703"/>
      <c r="W12" s="704" t="s">
        <v>8</v>
      </c>
      <c r="X12" s="1299">
        <f>'R.GUI MAIL'!K45</f>
        <v>0</v>
      </c>
      <c r="Y12" s="705">
        <f>'R.GUI MAIL'!L45</f>
        <v>0</v>
      </c>
    </row>
    <row r="13" spans="1:25" ht="30.75" hidden="1" customHeight="1">
      <c r="A13" s="697">
        <v>7</v>
      </c>
      <c r="B13" s="2713" t="s">
        <v>786</v>
      </c>
      <c r="C13" s="1301" t="s">
        <v>787</v>
      </c>
      <c r="D13" s="1302">
        <f>R.HN!$C$13</f>
        <v>4</v>
      </c>
      <c r="E13" s="2715" t="s">
        <v>466</v>
      </c>
      <c r="F13" s="699" t="s">
        <v>773</v>
      </c>
      <c r="G13" s="700">
        <v>50</v>
      </c>
      <c r="H13" s="701" t="e">
        <f>R.HN!#REF!</f>
        <v>#REF!</v>
      </c>
      <c r="I13" s="338">
        <f>'R.GUI MAIL'!H11</f>
        <v>0</v>
      </c>
      <c r="J13" s="728"/>
      <c r="K13" s="704" t="s">
        <v>8</v>
      </c>
      <c r="L13" s="1299">
        <f>'R.GUI MAIL'!K11</f>
        <v>0</v>
      </c>
      <c r="M13" s="705" t="s">
        <v>9</v>
      </c>
      <c r="N13" s="702" t="e">
        <f>R.HN!#REF!</f>
        <v>#REF!</v>
      </c>
      <c r="O13" s="707"/>
      <c r="P13" s="707"/>
      <c r="Q13" s="708"/>
      <c r="R13" s="1298"/>
      <c r="S13" s="709"/>
      <c r="T13" s="702"/>
      <c r="U13" s="707"/>
      <c r="V13" s="707"/>
      <c r="W13" s="708"/>
      <c r="X13" s="1298"/>
      <c r="Y13" s="709"/>
    </row>
    <row r="14" spans="1:25" ht="30.75" hidden="1" customHeight="1">
      <c r="A14" s="697">
        <v>8</v>
      </c>
      <c r="B14" s="2714"/>
      <c r="C14" s="1303"/>
      <c r="D14" s="1304"/>
      <c r="E14" s="2715"/>
      <c r="F14" s="699" t="s">
        <v>769</v>
      </c>
      <c r="G14" s="711">
        <v>6</v>
      </c>
      <c r="H14" s="701" t="e">
        <f>R.HN!#REF!</f>
        <v>#REF!</v>
      </c>
      <c r="I14" s="338">
        <f>'R.GUI MAIL'!H12</f>
        <v>0</v>
      </c>
      <c r="J14" s="703"/>
      <c r="K14" s="704" t="s">
        <v>8</v>
      </c>
      <c r="L14" s="1299">
        <f>'R.GUI MAIL'!K12</f>
        <v>0</v>
      </c>
      <c r="M14" s="705" t="s">
        <v>9</v>
      </c>
      <c r="N14" s="702" t="e">
        <f>R.HN!#REF!</f>
        <v>#REF!</v>
      </c>
      <c r="O14" s="707"/>
      <c r="P14" s="707"/>
      <c r="Q14" s="708"/>
      <c r="R14" s="1298"/>
      <c r="S14" s="709"/>
      <c r="T14" s="702"/>
      <c r="U14" s="707"/>
      <c r="V14" s="707"/>
      <c r="W14" s="708"/>
      <c r="X14" s="1298"/>
      <c r="Y14" s="709"/>
    </row>
    <row r="15" spans="1:25" ht="30.75" hidden="1" customHeight="1">
      <c r="A15" s="697">
        <v>9</v>
      </c>
      <c r="B15" s="2714"/>
      <c r="C15" s="1303"/>
      <c r="D15" s="1304"/>
      <c r="E15" s="2715"/>
      <c r="F15" s="699" t="s">
        <v>651</v>
      </c>
      <c r="G15" s="711">
        <v>0.4</v>
      </c>
      <c r="H15" s="701" t="e">
        <f>R.HN!#REF!</f>
        <v>#REF!</v>
      </c>
      <c r="I15" s="463">
        <f>'R.GUI MAIL'!H13</f>
        <v>0</v>
      </c>
      <c r="J15" s="728"/>
      <c r="K15" s="704" t="s">
        <v>8</v>
      </c>
      <c r="L15" s="1299">
        <f>'R.GUI MAIL'!K13</f>
        <v>0</v>
      </c>
      <c r="M15" s="705" t="s">
        <v>9</v>
      </c>
      <c r="N15" s="702" t="e">
        <f>R.HN!#REF!</f>
        <v>#REF!</v>
      </c>
      <c r="O15" s="716"/>
      <c r="P15" s="716"/>
      <c r="Q15" s="717"/>
      <c r="R15" s="1298"/>
      <c r="S15" s="718"/>
      <c r="T15" s="715"/>
      <c r="U15" s="716"/>
      <c r="V15" s="716"/>
      <c r="W15" s="717"/>
      <c r="X15" s="1298"/>
      <c r="Y15" s="718"/>
    </row>
    <row r="16" spans="1:25" ht="30.75" customHeight="1">
      <c r="A16" s="697">
        <v>10</v>
      </c>
      <c r="B16" s="2707" t="s">
        <v>788</v>
      </c>
      <c r="C16" s="2708"/>
      <c r="D16" s="2709"/>
      <c r="E16" s="697" t="s">
        <v>466</v>
      </c>
      <c r="F16" s="719" t="s">
        <v>476</v>
      </c>
      <c r="G16" s="711">
        <v>2</v>
      </c>
      <c r="H16" s="701">
        <f>R.HN!C21</f>
        <v>0</v>
      </c>
      <c r="I16" s="338">
        <f>'R.GUI MAIL'!H14</f>
        <v>0</v>
      </c>
      <c r="J16" s="703"/>
      <c r="K16" s="704" t="s">
        <v>8</v>
      </c>
      <c r="L16" s="1299">
        <f>'R.GUI MAIL'!K14</f>
        <v>0</v>
      </c>
      <c r="M16" s="705" t="s">
        <v>9</v>
      </c>
      <c r="N16" s="702">
        <f>R.HN!D21</f>
        <v>0</v>
      </c>
      <c r="O16" s="338">
        <f>'R.GUI MAIL'!H30</f>
        <v>0</v>
      </c>
      <c r="P16" s="703"/>
      <c r="Q16" s="704" t="s">
        <v>8</v>
      </c>
      <c r="R16" s="1299">
        <f>'R.GUI MAIL'!K30</f>
        <v>0</v>
      </c>
      <c r="S16" s="705" t="s">
        <v>9</v>
      </c>
      <c r="T16" s="702"/>
      <c r="U16" s="338">
        <f>'R.GUI MAIL'!H46</f>
        <v>0</v>
      </c>
      <c r="V16" s="703"/>
      <c r="W16" s="704" t="s">
        <v>8</v>
      </c>
      <c r="X16" s="1299">
        <f>'R.GUI MAIL'!K46</f>
        <v>0</v>
      </c>
      <c r="Y16" s="705" t="str">
        <f>'R.GUI MAIL'!L46</f>
        <v>kg</v>
      </c>
    </row>
    <row r="17" spans="1:25" ht="30.75" customHeight="1">
      <c r="A17" s="697">
        <v>11</v>
      </c>
      <c r="B17" s="2710"/>
      <c r="C17" s="2711"/>
      <c r="D17" s="2712"/>
      <c r="E17" s="697" t="s">
        <v>5</v>
      </c>
      <c r="F17" s="1305" t="s">
        <v>657</v>
      </c>
      <c r="G17" s="720">
        <v>9</v>
      </c>
      <c r="H17" s="701">
        <f>R.HN!C22</f>
        <v>0</v>
      </c>
      <c r="I17" s="338">
        <f>'R.GUI MAIL'!H15</f>
        <v>0</v>
      </c>
      <c r="J17" s="703"/>
      <c r="K17" s="704" t="s">
        <v>8</v>
      </c>
      <c r="L17" s="1299">
        <f>'R.GUI MAIL'!K15</f>
        <v>0</v>
      </c>
      <c r="M17" s="705"/>
      <c r="N17" s="702">
        <f>R.HN!D22</f>
        <v>0</v>
      </c>
      <c r="O17" s="338">
        <f>'R.GUI MAIL'!H31</f>
        <v>0</v>
      </c>
      <c r="P17" s="703"/>
      <c r="Q17" s="704"/>
      <c r="R17" s="1299">
        <f>'R.GUI MAIL'!K31</f>
        <v>0</v>
      </c>
      <c r="S17" s="705"/>
      <c r="T17" s="702"/>
      <c r="U17" s="338">
        <f>'R.GUI MAIL'!H47</f>
        <v>0</v>
      </c>
      <c r="V17" s="703"/>
      <c r="W17" s="704" t="s">
        <v>8</v>
      </c>
      <c r="X17" s="1299">
        <f>'R.GUI MAIL'!K47</f>
        <v>0</v>
      </c>
      <c r="Y17" s="705"/>
    </row>
    <row r="18" spans="1:25" ht="30.75" customHeight="1">
      <c r="A18" s="721"/>
      <c r="B18" s="722"/>
      <c r="C18" s="722"/>
      <c r="D18" s="722"/>
      <c r="E18" s="722" t="s">
        <v>2</v>
      </c>
      <c r="F18" s="722"/>
      <c r="G18" s="722"/>
      <c r="H18" s="722"/>
      <c r="I18" s="722"/>
      <c r="J18" s="722"/>
      <c r="K18" s="722"/>
      <c r="L18" s="722"/>
      <c r="M18" s="722"/>
      <c r="N18" s="722"/>
      <c r="O18" s="722"/>
      <c r="P18" s="722"/>
      <c r="Q18" s="722"/>
      <c r="R18" s="722"/>
      <c r="S18" s="722"/>
      <c r="T18" s="722"/>
      <c r="U18" s="722"/>
      <c r="V18" s="722"/>
      <c r="W18" s="722"/>
      <c r="X18" s="722"/>
      <c r="Y18" s="1306"/>
    </row>
    <row r="19" spans="1:25" ht="30.75" customHeight="1">
      <c r="A19" s="723" t="s">
        <v>57</v>
      </c>
      <c r="B19" s="2700" t="s">
        <v>789</v>
      </c>
      <c r="C19" s="2701"/>
      <c r="D19" s="2702"/>
      <c r="E19" s="724" t="s">
        <v>790</v>
      </c>
      <c r="F19" s="724" t="s">
        <v>791</v>
      </c>
      <c r="G19" s="725" t="s">
        <v>782</v>
      </c>
      <c r="H19" s="726"/>
      <c r="I19" s="2703" t="s">
        <v>48</v>
      </c>
      <c r="J19" s="2704"/>
      <c r="K19" s="2704"/>
      <c r="L19" s="2705" t="s">
        <v>65</v>
      </c>
      <c r="M19" s="2706"/>
      <c r="N19" s="691"/>
      <c r="O19" s="2703" t="s">
        <v>48</v>
      </c>
      <c r="P19" s="2704"/>
      <c r="Q19" s="2704"/>
      <c r="R19" s="2705" t="s">
        <v>65</v>
      </c>
      <c r="S19" s="2706"/>
      <c r="T19" s="691"/>
      <c r="U19" s="2703" t="s">
        <v>48</v>
      </c>
      <c r="V19" s="2704"/>
      <c r="W19" s="2704"/>
      <c r="X19" s="2705" t="s">
        <v>65</v>
      </c>
      <c r="Y19" s="2706"/>
    </row>
    <row r="20" spans="1:25" ht="30.75" customHeight="1">
      <c r="A20" s="723">
        <v>1</v>
      </c>
      <c r="B20" s="2700" t="s">
        <v>792</v>
      </c>
      <c r="C20" s="2701"/>
      <c r="D20" s="2702"/>
      <c r="E20" s="727" t="s">
        <v>793</v>
      </c>
      <c r="F20" s="719" t="s">
        <v>1187</v>
      </c>
      <c r="G20" s="725"/>
      <c r="H20" s="726"/>
      <c r="I20" s="2745"/>
      <c r="J20" s="2746"/>
      <c r="K20" s="2746"/>
      <c r="L20" s="2746"/>
      <c r="M20" s="2747"/>
      <c r="N20" s="1850"/>
      <c r="O20" s="2748">
        <f>'R.GUI MAIL'!H34</f>
        <v>0</v>
      </c>
      <c r="P20" s="2748"/>
      <c r="Q20" s="2748"/>
      <c r="R20" s="2748">
        <f>'R.GUI MAIL'!K34</f>
        <v>0</v>
      </c>
      <c r="S20" s="2748"/>
      <c r="T20" s="2748"/>
      <c r="U20" s="2748">
        <f>'R.GUI MAIL'!H50</f>
        <v>0</v>
      </c>
      <c r="V20" s="2748"/>
      <c r="W20" s="2748"/>
      <c r="X20" s="2748">
        <f>'R.GUI MAIL'!K50</f>
        <v>0</v>
      </c>
      <c r="Y20" s="2748"/>
    </row>
    <row r="21" spans="1:25" ht="30.75" customHeight="1">
      <c r="A21" s="723">
        <v>2</v>
      </c>
      <c r="B21" s="2700" t="s">
        <v>794</v>
      </c>
      <c r="C21" s="2701"/>
      <c r="D21" s="2702"/>
      <c r="E21" s="727" t="s">
        <v>793</v>
      </c>
      <c r="F21" s="719" t="s">
        <v>795</v>
      </c>
      <c r="G21" s="728" t="str">
        <f>'[6]file goc'!G62</f>
        <v>7:00</v>
      </c>
      <c r="H21" s="728"/>
      <c r="I21" s="2742">
        <f>'R.GUI MAIL'!H18</f>
        <v>0</v>
      </c>
      <c r="J21" s="2744"/>
      <c r="K21" s="2744"/>
      <c r="L21" s="2742">
        <f>'R.GUI MAIL'!K18</f>
        <v>0</v>
      </c>
      <c r="M21" s="2744"/>
      <c r="N21" s="1851"/>
      <c r="O21" s="2742">
        <f>'R.GUI MAIL'!H35</f>
        <v>0</v>
      </c>
      <c r="P21" s="2744"/>
      <c r="Q21" s="2744"/>
      <c r="R21" s="2742">
        <f>'R.GUI MAIL'!K35</f>
        <v>0</v>
      </c>
      <c r="S21" s="2743"/>
      <c r="T21" s="1850"/>
      <c r="U21" s="2742">
        <f>'R.GUI MAIL'!H51</f>
        <v>0</v>
      </c>
      <c r="V21" s="2744"/>
      <c r="W21" s="2743"/>
      <c r="X21" s="2742">
        <f>'R.GUI MAIL'!K51</f>
        <v>0</v>
      </c>
      <c r="Y21" s="2743"/>
    </row>
    <row r="22" spans="1:25" ht="30.75" hidden="1" customHeight="1">
      <c r="A22" s="723">
        <v>3</v>
      </c>
      <c r="B22" s="2700" t="s">
        <v>796</v>
      </c>
      <c r="C22" s="2701"/>
      <c r="D22" s="2702"/>
      <c r="E22" s="727" t="s">
        <v>793</v>
      </c>
      <c r="F22" s="719" t="s">
        <v>795</v>
      </c>
      <c r="G22" s="729" t="str">
        <f>'[6]file goc'!G63</f>
        <v>濃度 g/L</v>
      </c>
      <c r="H22" s="728"/>
      <c r="I22" s="2742">
        <f>'R.GUI MAIL'!H19</f>
        <v>0</v>
      </c>
      <c r="J22" s="2744"/>
      <c r="K22" s="2744"/>
      <c r="L22" s="2742">
        <f>'R.GUI MAIL'!K19</f>
        <v>0</v>
      </c>
      <c r="M22" s="2744"/>
      <c r="N22" s="1850"/>
      <c r="O22" s="1852"/>
      <c r="P22" s="1853"/>
      <c r="Q22" s="1853"/>
      <c r="R22" s="1854"/>
      <c r="S22" s="1855"/>
      <c r="T22" s="1850"/>
      <c r="U22" s="1856"/>
      <c r="V22" s="1856"/>
      <c r="W22" s="1856"/>
      <c r="X22" s="1856"/>
      <c r="Y22" s="1856"/>
    </row>
    <row r="23" spans="1:25" ht="30.75" customHeight="1">
      <c r="A23" s="723">
        <v>6</v>
      </c>
      <c r="B23" s="2700" t="s">
        <v>797</v>
      </c>
      <c r="C23" s="2701"/>
      <c r="D23" s="2702"/>
      <c r="E23" s="727" t="s">
        <v>793</v>
      </c>
      <c r="F23" s="719" t="s">
        <v>798</v>
      </c>
      <c r="G23" s="729">
        <f>'[6]file goc'!G66</f>
        <v>0</v>
      </c>
      <c r="H23" s="728"/>
      <c r="I23" s="2742">
        <f>'R.GUI MAIL'!H20</f>
        <v>0</v>
      </c>
      <c r="J23" s="2744"/>
      <c r="K23" s="2744"/>
      <c r="L23" s="2742">
        <f>'R.GUI MAIL'!K20</f>
        <v>0</v>
      </c>
      <c r="M23" s="2744"/>
      <c r="N23" s="1850"/>
      <c r="O23" s="2742">
        <f>'R.GUI MAIL'!H36</f>
        <v>0</v>
      </c>
      <c r="P23" s="2744"/>
      <c r="Q23" s="2744"/>
      <c r="R23" s="2742">
        <f>'R.GUI MAIL'!K36</f>
        <v>0</v>
      </c>
      <c r="S23" s="2743"/>
      <c r="T23" s="1850"/>
      <c r="U23" s="2742">
        <f>'R.GUI MAIL'!H52</f>
        <v>0</v>
      </c>
      <c r="V23" s="2744"/>
      <c r="W23" s="2743"/>
      <c r="X23" s="2742">
        <f>'R.GUI MAIL'!K52</f>
        <v>0</v>
      </c>
      <c r="Y23" s="2743"/>
    </row>
    <row r="24" spans="1:25" s="688" customFormat="1" ht="30.75" customHeight="1">
      <c r="A24" s="2722" t="s">
        <v>419</v>
      </c>
      <c r="B24" s="2723"/>
      <c r="C24" s="1611"/>
      <c r="D24" s="1611"/>
      <c r="E24" s="2724" t="str">
        <f>$E$3</f>
        <v>2023/03/21</v>
      </c>
      <c r="F24" s="2725"/>
      <c r="G24" s="730" t="s">
        <v>799</v>
      </c>
      <c r="H24" s="731"/>
      <c r="I24" s="686"/>
      <c r="J24" s="686"/>
      <c r="K24" s="686"/>
      <c r="L24" s="686"/>
      <c r="M24" s="686"/>
      <c r="N24" s="686"/>
      <c r="O24" s="686" t="s">
        <v>778</v>
      </c>
      <c r="P24" s="686"/>
      <c r="Q24" s="686"/>
      <c r="R24" s="686"/>
      <c r="S24" s="686"/>
      <c r="T24" s="686"/>
      <c r="U24" s="686"/>
      <c r="V24" s="686"/>
      <c r="W24" s="686"/>
      <c r="X24" s="686"/>
      <c r="Y24" s="687"/>
    </row>
    <row r="25" spans="1:25" ht="30.75" customHeight="1">
      <c r="A25" s="2726" t="s">
        <v>7</v>
      </c>
      <c r="B25" s="2253" t="s">
        <v>779</v>
      </c>
      <c r="C25" s="2254"/>
      <c r="D25" s="2729"/>
      <c r="E25" s="2734" t="s">
        <v>780</v>
      </c>
      <c r="F25" s="2737" t="s">
        <v>781</v>
      </c>
      <c r="G25" s="689"/>
      <c r="H25" s="690"/>
      <c r="I25" s="2740" t="s">
        <v>782</v>
      </c>
      <c r="J25" s="2741"/>
      <c r="K25" s="2741"/>
      <c r="L25" s="2741"/>
      <c r="M25" s="2741"/>
      <c r="N25" s="691"/>
      <c r="O25" s="2740" t="s">
        <v>1401</v>
      </c>
      <c r="P25" s="2741"/>
      <c r="Q25" s="2741"/>
      <c r="R25" s="2741"/>
      <c r="S25" s="2741"/>
      <c r="T25" s="691"/>
      <c r="U25" s="2740" t="s">
        <v>1402</v>
      </c>
      <c r="V25" s="2741"/>
      <c r="W25" s="2741"/>
      <c r="X25" s="2741"/>
      <c r="Y25" s="2741"/>
    </row>
    <row r="26" spans="1:25" ht="30.75" customHeight="1">
      <c r="A26" s="2727"/>
      <c r="B26" s="2730"/>
      <c r="C26" s="2731"/>
      <c r="D26" s="2732"/>
      <c r="E26" s="2735"/>
      <c r="F26" s="2738"/>
      <c r="G26" s="692" t="s">
        <v>457</v>
      </c>
      <c r="H26" s="693"/>
      <c r="I26" s="2716" t="s">
        <v>783</v>
      </c>
      <c r="J26" s="695" t="s">
        <v>784</v>
      </c>
      <c r="K26" s="2718" t="s">
        <v>1</v>
      </c>
      <c r="L26" s="2718"/>
      <c r="M26" s="2719"/>
      <c r="N26" s="694"/>
      <c r="O26" s="2716" t="s">
        <v>783</v>
      </c>
      <c r="P26" s="695" t="s">
        <v>784</v>
      </c>
      <c r="Q26" s="2718" t="s">
        <v>1</v>
      </c>
      <c r="R26" s="2718"/>
      <c r="S26" s="2719"/>
      <c r="T26" s="693"/>
      <c r="U26" s="2716" t="s">
        <v>783</v>
      </c>
      <c r="V26" s="695" t="s">
        <v>784</v>
      </c>
      <c r="W26" s="2718" t="s">
        <v>1</v>
      </c>
      <c r="X26" s="2718"/>
      <c r="Y26" s="2719"/>
    </row>
    <row r="27" spans="1:25" ht="30.75" customHeight="1">
      <c r="A27" s="2728"/>
      <c r="B27" s="2255"/>
      <c r="C27" s="2256"/>
      <c r="D27" s="2733"/>
      <c r="E27" s="2736"/>
      <c r="F27" s="2739"/>
      <c r="G27" s="692"/>
      <c r="H27" s="693"/>
      <c r="I27" s="2717"/>
      <c r="J27" s="696"/>
      <c r="K27" s="2720"/>
      <c r="L27" s="2720"/>
      <c r="M27" s="2721"/>
      <c r="N27" s="694"/>
      <c r="O27" s="2717"/>
      <c r="P27" s="696"/>
      <c r="Q27" s="2720"/>
      <c r="R27" s="2720"/>
      <c r="S27" s="2721"/>
      <c r="T27" s="693"/>
      <c r="U27" s="2717"/>
      <c r="V27" s="696"/>
      <c r="W27" s="2720"/>
      <c r="X27" s="2720"/>
      <c r="Y27" s="2721"/>
    </row>
    <row r="28" spans="1:25" ht="30.75" customHeight="1">
      <c r="A28" s="697">
        <v>1</v>
      </c>
      <c r="B28" s="2700" t="s">
        <v>785</v>
      </c>
      <c r="C28" s="2701"/>
      <c r="D28" s="2702"/>
      <c r="E28" s="698" t="s">
        <v>466</v>
      </c>
      <c r="F28" s="699" t="s">
        <v>771</v>
      </c>
      <c r="G28" s="700">
        <v>40</v>
      </c>
      <c r="H28" s="701" t="e">
        <f>R.HN!#REF!</f>
        <v>#REF!</v>
      </c>
      <c r="I28" s="707"/>
      <c r="J28" s="707"/>
      <c r="K28" s="708"/>
      <c r="L28" s="1298"/>
      <c r="M28" s="709"/>
      <c r="N28" s="702" t="e">
        <f>R.HN!#REF!</f>
        <v>#REF!</v>
      </c>
      <c r="O28" s="338">
        <f>'R.GUI MAIL'!N25</f>
        <v>0</v>
      </c>
      <c r="P28" s="703"/>
      <c r="Q28" s="704" t="s">
        <v>8</v>
      </c>
      <c r="R28" s="1299">
        <f>'R.GUI MAIL'!Q25</f>
        <v>0</v>
      </c>
      <c r="S28" s="705" t="s">
        <v>9</v>
      </c>
      <c r="T28" s="702"/>
      <c r="U28" s="338">
        <f>'R.GUI MAIL'!N41</f>
        <v>0</v>
      </c>
      <c r="V28" s="703"/>
      <c r="W28" s="704" t="s">
        <v>8</v>
      </c>
      <c r="X28" s="1300">
        <f>'R.GUI MAIL'!Q41</f>
        <v>0</v>
      </c>
      <c r="Y28" s="705" t="s">
        <v>9</v>
      </c>
    </row>
    <row r="29" spans="1:25" ht="30.75" customHeight="1">
      <c r="A29" s="697">
        <v>2</v>
      </c>
      <c r="B29" s="2700" t="s">
        <v>460</v>
      </c>
      <c r="C29" s="2701"/>
      <c r="D29" s="2702"/>
      <c r="E29" s="706" t="s">
        <v>3</v>
      </c>
      <c r="F29" s="699" t="s">
        <v>461</v>
      </c>
      <c r="G29" s="700">
        <v>22</v>
      </c>
      <c r="H29" s="701" t="e">
        <f>R.HN!#REF!</f>
        <v>#REF!</v>
      </c>
      <c r="I29" s="338">
        <f>'R.GUI MAIL'!N6</f>
        <v>0</v>
      </c>
      <c r="J29" s="703"/>
      <c r="K29" s="704" t="s">
        <v>8</v>
      </c>
      <c r="L29" s="1299">
        <f>'R.GUI MAIL'!Q6</f>
        <v>0</v>
      </c>
      <c r="M29" s="705" t="s">
        <v>10</v>
      </c>
      <c r="N29" s="702" t="e">
        <f>R.HN!#REF!</f>
        <v>#REF!</v>
      </c>
      <c r="O29" s="338">
        <f>'R.GUI MAIL'!N26</f>
        <v>0</v>
      </c>
      <c r="P29" s="703"/>
      <c r="Q29" s="704" t="s">
        <v>8</v>
      </c>
      <c r="R29" s="1299">
        <f>'R.GUI MAIL'!Q26</f>
        <v>0</v>
      </c>
      <c r="S29" s="705" t="s">
        <v>10</v>
      </c>
      <c r="T29" s="702"/>
      <c r="U29" s="338">
        <f>'R.GUI MAIL'!N42</f>
        <v>0</v>
      </c>
      <c r="V29" s="703"/>
      <c r="W29" s="704" t="s">
        <v>8</v>
      </c>
      <c r="X29" s="1299">
        <f>'R.GUI MAIL'!Q42</f>
        <v>0</v>
      </c>
      <c r="Y29" s="705" t="s">
        <v>10</v>
      </c>
    </row>
    <row r="30" spans="1:25" ht="30.75" hidden="1" customHeight="1">
      <c r="A30" s="697">
        <v>3</v>
      </c>
      <c r="B30" s="2707" t="s">
        <v>424</v>
      </c>
      <c r="C30" s="2708"/>
      <c r="D30" s="2709"/>
      <c r="E30" s="706" t="s">
        <v>3</v>
      </c>
      <c r="F30" s="699" t="s">
        <v>461</v>
      </c>
      <c r="G30" s="700"/>
      <c r="H30" s="701"/>
      <c r="I30" s="1253">
        <f>'R.GUI MAIL'!N7</f>
        <v>0</v>
      </c>
      <c r="J30" s="703"/>
      <c r="K30" s="704" t="s">
        <v>8</v>
      </c>
      <c r="L30" s="1299">
        <f>'R.GUI MAIL'!Q7</f>
        <v>292.1875</v>
      </c>
      <c r="M30" s="705" t="s">
        <v>10</v>
      </c>
      <c r="N30" s="702"/>
      <c r="O30" s="707"/>
      <c r="P30" s="707"/>
      <c r="Q30" s="708"/>
      <c r="R30" s="1298"/>
      <c r="S30" s="709"/>
      <c r="T30" s="710"/>
      <c r="U30" s="1253">
        <f>'R.GUI MAIL'!N42</f>
        <v>0</v>
      </c>
      <c r="V30" s="703"/>
      <c r="W30" s="704" t="s">
        <v>8</v>
      </c>
      <c r="X30" s="1299">
        <f>'R.GUI MAIL'!Q42</f>
        <v>0</v>
      </c>
      <c r="Y30" s="705" t="s">
        <v>10</v>
      </c>
    </row>
    <row r="31" spans="1:25" ht="30.75" customHeight="1">
      <c r="A31" s="697">
        <v>4</v>
      </c>
      <c r="B31" s="2713" t="s">
        <v>786</v>
      </c>
      <c r="C31" s="1301" t="s">
        <v>787</v>
      </c>
      <c r="D31" s="1302">
        <f>R.HN!D12</f>
        <v>3</v>
      </c>
      <c r="E31" s="2715" t="s">
        <v>466</v>
      </c>
      <c r="F31" s="699" t="s">
        <v>773</v>
      </c>
      <c r="G31" s="700">
        <v>50</v>
      </c>
      <c r="H31" s="701">
        <f>R.HN!C27</f>
        <v>0</v>
      </c>
      <c r="I31" s="338">
        <f>'R.GUI MAIL'!N8</f>
        <v>0</v>
      </c>
      <c r="J31" s="703"/>
      <c r="K31" s="704" t="s">
        <v>8</v>
      </c>
      <c r="L31" s="1299">
        <f>'R.GUI MAIL'!Q8</f>
        <v>0</v>
      </c>
      <c r="M31" s="705" t="s">
        <v>9</v>
      </c>
      <c r="N31" s="702">
        <f>R.HN!D27</f>
        <v>0</v>
      </c>
      <c r="O31" s="338">
        <f>'R.GUI MAIL'!N27</f>
        <v>0</v>
      </c>
      <c r="P31" s="703"/>
      <c r="Q31" s="704" t="s">
        <v>8</v>
      </c>
      <c r="R31" s="1299">
        <f>'R.GUI MAIL'!Q27</f>
        <v>0</v>
      </c>
      <c r="S31" s="705" t="s">
        <v>9</v>
      </c>
      <c r="T31" s="702"/>
      <c r="U31" s="338">
        <f>'R.GUI MAIL'!N43</f>
        <v>0</v>
      </c>
      <c r="V31" s="703"/>
      <c r="W31" s="704" t="s">
        <v>8</v>
      </c>
      <c r="X31" s="1299">
        <f>'R.GUI MAIL'!Q43</f>
        <v>0</v>
      </c>
      <c r="Y31" s="705" t="s">
        <v>9</v>
      </c>
    </row>
    <row r="32" spans="1:25" ht="30.75" customHeight="1">
      <c r="A32" s="697">
        <v>5</v>
      </c>
      <c r="B32" s="2714"/>
      <c r="C32" s="1303"/>
      <c r="D32" s="1304"/>
      <c r="E32" s="2715"/>
      <c r="F32" s="699" t="s">
        <v>769</v>
      </c>
      <c r="G32" s="711">
        <v>6</v>
      </c>
      <c r="H32" s="701">
        <f>R.HN!C28</f>
        <v>0</v>
      </c>
      <c r="I32" s="338">
        <f>'R.GUI MAIL'!N9</f>
        <v>0</v>
      </c>
      <c r="J32" s="703"/>
      <c r="K32" s="704" t="s">
        <v>8</v>
      </c>
      <c r="L32" s="1299">
        <f>'R.GUI MAIL'!Q9</f>
        <v>0</v>
      </c>
      <c r="M32" s="705" t="s">
        <v>9</v>
      </c>
      <c r="N32" s="702">
        <f>R.HN!D28</f>
        <v>0</v>
      </c>
      <c r="O32" s="338">
        <f>'R.GUI MAIL'!N28</f>
        <v>0</v>
      </c>
      <c r="P32" s="703"/>
      <c r="Q32" s="704"/>
      <c r="R32" s="1299">
        <f>'R.GUI MAIL'!Q28</f>
        <v>0</v>
      </c>
      <c r="S32" s="705" t="s">
        <v>9</v>
      </c>
      <c r="T32" s="702"/>
      <c r="U32" s="338">
        <f>'R.GUI MAIL'!N44</f>
        <v>0</v>
      </c>
      <c r="V32" s="703"/>
      <c r="W32" s="704"/>
      <c r="X32" s="1299">
        <f>'R.GUI MAIL'!Q44</f>
        <v>0</v>
      </c>
      <c r="Y32" s="705" t="s">
        <v>9</v>
      </c>
    </row>
    <row r="33" spans="1:25" ht="30.75" customHeight="1">
      <c r="A33" s="697">
        <v>6</v>
      </c>
      <c r="B33" s="2714"/>
      <c r="C33" s="1303"/>
      <c r="D33" s="1304"/>
      <c r="E33" s="2715"/>
      <c r="F33" s="699" t="s">
        <v>651</v>
      </c>
      <c r="G33" s="711">
        <v>0.4</v>
      </c>
      <c r="H33" s="701">
        <f>R.HN!C29</f>
        <v>0</v>
      </c>
      <c r="I33" s="463">
        <f>'R.GUI MAIL'!N10</f>
        <v>0</v>
      </c>
      <c r="J33" s="703"/>
      <c r="K33" s="704" t="s">
        <v>8</v>
      </c>
      <c r="L33" s="1299">
        <f>'R.GUI MAIL'!Q10</f>
        <v>0</v>
      </c>
      <c r="M33" s="705" t="s">
        <v>9</v>
      </c>
      <c r="N33" s="702">
        <f>R.HN!D29</f>
        <v>0</v>
      </c>
      <c r="O33" s="463">
        <f>'R.GUI MAIL'!N29</f>
        <v>0</v>
      </c>
      <c r="P33" s="712"/>
      <c r="Q33" s="713"/>
      <c r="R33" s="1299">
        <f>'R.GUI MAIL'!Q29</f>
        <v>0</v>
      </c>
      <c r="S33" s="714" t="s">
        <v>9</v>
      </c>
      <c r="T33" s="715"/>
      <c r="U33" s="463">
        <f>'R.GUI MAIL'!N45</f>
        <v>0</v>
      </c>
      <c r="V33" s="703"/>
      <c r="W33" s="704"/>
      <c r="X33" s="1299">
        <f>'R.GUI MAIL'!Q45</f>
        <v>0</v>
      </c>
      <c r="Y33" s="705" t="s">
        <v>9</v>
      </c>
    </row>
    <row r="34" spans="1:25" ht="30.75" hidden="1" customHeight="1">
      <c r="A34" s="697">
        <v>7</v>
      </c>
      <c r="B34" s="2713" t="s">
        <v>786</v>
      </c>
      <c r="C34" s="1301" t="s">
        <v>787</v>
      </c>
      <c r="D34" s="1302">
        <f>R.HN!D13</f>
        <v>4</v>
      </c>
      <c r="E34" s="2715" t="s">
        <v>466</v>
      </c>
      <c r="F34" s="699" t="s">
        <v>773</v>
      </c>
      <c r="G34" s="700">
        <v>50</v>
      </c>
      <c r="H34" s="701">
        <f>R.HN!C30</f>
        <v>0</v>
      </c>
      <c r="I34" s="338">
        <f>'R.GUI MAIL'!N11</f>
        <v>0</v>
      </c>
      <c r="J34" s="728"/>
      <c r="K34" s="704" t="s">
        <v>8</v>
      </c>
      <c r="L34" s="1299">
        <f>'R.GUI MAIL'!Q11</f>
        <v>0</v>
      </c>
      <c r="M34" s="705" t="s">
        <v>9</v>
      </c>
      <c r="N34" s="702">
        <f>R.HN!D30</f>
        <v>0</v>
      </c>
      <c r="O34" s="707"/>
      <c r="P34" s="707"/>
      <c r="Q34" s="708"/>
      <c r="R34" s="1298"/>
      <c r="S34" s="709"/>
      <c r="T34" s="702"/>
      <c r="U34" s="707"/>
      <c r="V34" s="707"/>
      <c r="W34" s="708"/>
      <c r="X34" s="1298"/>
      <c r="Y34" s="709"/>
    </row>
    <row r="35" spans="1:25" ht="30.75" hidden="1" customHeight="1">
      <c r="A35" s="697">
        <v>8</v>
      </c>
      <c r="B35" s="2714"/>
      <c r="C35" s="1303"/>
      <c r="D35" s="1304"/>
      <c r="E35" s="2715"/>
      <c r="F35" s="699" t="s">
        <v>769</v>
      </c>
      <c r="G35" s="711">
        <v>6</v>
      </c>
      <c r="H35" s="701">
        <f>R.HN!C31</f>
        <v>0</v>
      </c>
      <c r="I35" s="338">
        <f>'R.GUI MAIL'!N12</f>
        <v>0</v>
      </c>
      <c r="J35" s="703"/>
      <c r="K35" s="704" t="s">
        <v>8</v>
      </c>
      <c r="L35" s="1299">
        <f>'R.GUI MAIL'!Q12</f>
        <v>0</v>
      </c>
      <c r="M35" s="705" t="s">
        <v>9</v>
      </c>
      <c r="N35" s="702">
        <f>R.HN!D31</f>
        <v>0</v>
      </c>
      <c r="O35" s="707"/>
      <c r="P35" s="707"/>
      <c r="Q35" s="708"/>
      <c r="R35" s="1298"/>
      <c r="S35" s="709"/>
      <c r="T35" s="702"/>
      <c r="U35" s="707"/>
      <c r="V35" s="707"/>
      <c r="W35" s="708"/>
      <c r="X35" s="1298"/>
      <c r="Y35" s="709"/>
    </row>
    <row r="36" spans="1:25" ht="30.75" hidden="1" customHeight="1">
      <c r="A36" s="697">
        <v>9</v>
      </c>
      <c r="B36" s="2714"/>
      <c r="C36" s="1303"/>
      <c r="D36" s="1304"/>
      <c r="E36" s="2715"/>
      <c r="F36" s="699" t="s">
        <v>651</v>
      </c>
      <c r="G36" s="711">
        <v>0.4</v>
      </c>
      <c r="H36" s="701">
        <f>R.HN!C32</f>
        <v>0</v>
      </c>
      <c r="I36" s="463">
        <f>'R.GUI MAIL'!N13</f>
        <v>0</v>
      </c>
      <c r="J36" s="728"/>
      <c r="K36" s="704" t="s">
        <v>8</v>
      </c>
      <c r="L36" s="1299">
        <f>'R.GUI MAIL'!Q13</f>
        <v>0</v>
      </c>
      <c r="M36" s="705" t="s">
        <v>9</v>
      </c>
      <c r="N36" s="702">
        <f>R.HN!D32</f>
        <v>0</v>
      </c>
      <c r="O36" s="716"/>
      <c r="P36" s="716"/>
      <c r="Q36" s="717"/>
      <c r="R36" s="1298"/>
      <c r="S36" s="718"/>
      <c r="T36" s="715"/>
      <c r="U36" s="716"/>
      <c r="V36" s="716"/>
      <c r="W36" s="717"/>
      <c r="X36" s="1298"/>
      <c r="Y36" s="718"/>
    </row>
    <row r="37" spans="1:25" ht="30.75" customHeight="1">
      <c r="A37" s="697">
        <v>10</v>
      </c>
      <c r="B37" s="2707" t="s">
        <v>788</v>
      </c>
      <c r="C37" s="2708"/>
      <c r="D37" s="2709"/>
      <c r="E37" s="697" t="s">
        <v>466</v>
      </c>
      <c r="F37" s="719" t="s">
        <v>476</v>
      </c>
      <c r="G37" s="711">
        <v>2</v>
      </c>
      <c r="H37" s="701">
        <f>R.HN!C33</f>
        <v>0</v>
      </c>
      <c r="I37" s="338">
        <f>'R.GUI MAIL'!N14</f>
        <v>0</v>
      </c>
      <c r="J37" s="703"/>
      <c r="K37" s="704" t="s">
        <v>8</v>
      </c>
      <c r="L37" s="1307">
        <f>'R.GUI MAIL'!Q14</f>
        <v>0</v>
      </c>
      <c r="M37" s="705" t="s">
        <v>9</v>
      </c>
      <c r="N37" s="702">
        <f>R.HN!D33</f>
        <v>0</v>
      </c>
      <c r="O37" s="338">
        <f>'R.GUI MAIL'!N30</f>
        <v>0</v>
      </c>
      <c r="P37" s="703"/>
      <c r="Q37" s="704" t="s">
        <v>8</v>
      </c>
      <c r="R37" s="1299">
        <f>'R.GUI MAIL'!Q30</f>
        <v>0</v>
      </c>
      <c r="S37" s="705" t="s">
        <v>9</v>
      </c>
      <c r="T37" s="702"/>
      <c r="U37" s="338">
        <f>'R.GUI MAIL'!N46</f>
        <v>0</v>
      </c>
      <c r="V37" s="703"/>
      <c r="W37" s="704" t="s">
        <v>8</v>
      </c>
      <c r="X37" s="1299">
        <f>'R.GUI MAIL'!Q46</f>
        <v>0</v>
      </c>
      <c r="Y37" s="705" t="s">
        <v>9</v>
      </c>
    </row>
    <row r="38" spans="1:25" ht="30.75" customHeight="1">
      <c r="A38" s="697">
        <v>11</v>
      </c>
      <c r="B38" s="2710"/>
      <c r="C38" s="2711"/>
      <c r="D38" s="2712"/>
      <c r="E38" s="698" t="s">
        <v>5</v>
      </c>
      <c r="F38" s="1305" t="s">
        <v>657</v>
      </c>
      <c r="G38" s="732">
        <v>9</v>
      </c>
      <c r="H38" s="733">
        <f>R.HN!C34</f>
        <v>0</v>
      </c>
      <c r="I38" s="338">
        <f>'R.GUI MAIL'!N15</f>
        <v>0</v>
      </c>
      <c r="J38" s="735"/>
      <c r="K38" s="736"/>
      <c r="L38" s="1308"/>
      <c r="M38" s="737"/>
      <c r="N38" s="734">
        <f>R.HN!D34</f>
        <v>0</v>
      </c>
      <c r="O38" s="338">
        <f>'R.GUI MAIL'!N31</f>
        <v>0</v>
      </c>
      <c r="P38" s="735"/>
      <c r="Q38" s="736"/>
      <c r="R38" s="1308"/>
      <c r="S38" s="737"/>
      <c r="T38" s="734"/>
      <c r="U38" s="338">
        <f>'R.GUI MAIL'!N47</f>
        <v>0</v>
      </c>
      <c r="V38" s="735"/>
      <c r="W38" s="736"/>
      <c r="X38" s="1299"/>
      <c r="Y38" s="737"/>
    </row>
    <row r="39" spans="1:25" ht="30.75" customHeight="1">
      <c r="A39" s="721"/>
      <c r="B39" s="722"/>
      <c r="C39" s="722"/>
      <c r="D39" s="722"/>
      <c r="E39" s="722" t="s">
        <v>2</v>
      </c>
      <c r="F39" s="722"/>
      <c r="G39" s="722"/>
      <c r="H39" s="722"/>
      <c r="I39" s="722"/>
      <c r="J39" s="722"/>
      <c r="K39" s="722"/>
      <c r="L39" s="722"/>
      <c r="M39" s="722"/>
      <c r="N39" s="722"/>
      <c r="O39" s="722"/>
      <c r="P39" s="722"/>
      <c r="Q39" s="722"/>
      <c r="R39" s="722"/>
      <c r="S39" s="722"/>
      <c r="T39" s="722"/>
      <c r="U39" s="722"/>
      <c r="V39" s="722"/>
      <c r="W39" s="722"/>
      <c r="X39" s="722"/>
      <c r="Y39" s="1306"/>
    </row>
    <row r="40" spans="1:25" ht="30.75" customHeight="1">
      <c r="A40" s="723" t="s">
        <v>57</v>
      </c>
      <c r="B40" s="2700" t="s">
        <v>789</v>
      </c>
      <c r="C40" s="2701"/>
      <c r="D40" s="2702"/>
      <c r="E40" s="724" t="s">
        <v>790</v>
      </c>
      <c r="F40" s="724" t="s">
        <v>791</v>
      </c>
      <c r="G40" s="725" t="s">
        <v>782</v>
      </c>
      <c r="H40" s="726"/>
      <c r="I40" s="2703" t="s">
        <v>48</v>
      </c>
      <c r="J40" s="2704"/>
      <c r="K40" s="2704"/>
      <c r="L40" s="2705" t="s">
        <v>65</v>
      </c>
      <c r="M40" s="2706"/>
      <c r="N40" s="691"/>
      <c r="O40" s="2703" t="s">
        <v>48</v>
      </c>
      <c r="P40" s="2704"/>
      <c r="Q40" s="2704"/>
      <c r="R40" s="2705" t="s">
        <v>65</v>
      </c>
      <c r="S40" s="2706"/>
      <c r="T40" s="691"/>
      <c r="U40" s="2703" t="s">
        <v>48</v>
      </c>
      <c r="V40" s="2704"/>
      <c r="W40" s="2704"/>
      <c r="X40" s="2705" t="s">
        <v>65</v>
      </c>
      <c r="Y40" s="2706"/>
    </row>
    <row r="41" spans="1:25" ht="30.75" customHeight="1">
      <c r="A41" s="723">
        <v>1</v>
      </c>
      <c r="B41" s="2700" t="s">
        <v>792</v>
      </c>
      <c r="C41" s="2701"/>
      <c r="D41" s="2702"/>
      <c r="E41" s="727" t="s">
        <v>793</v>
      </c>
      <c r="F41" s="719" t="s">
        <v>1187</v>
      </c>
      <c r="G41" s="725"/>
      <c r="H41" s="726"/>
      <c r="I41" s="1857"/>
      <c r="J41" s="1858"/>
      <c r="K41" s="1858"/>
      <c r="L41" s="1859"/>
      <c r="M41" s="1860"/>
      <c r="N41" s="1861"/>
      <c r="O41" s="2678">
        <f>'R.GUI MAIL'!N34</f>
        <v>0</v>
      </c>
      <c r="P41" s="2678"/>
      <c r="Q41" s="2678"/>
      <c r="R41" s="2678">
        <f>'R.GUI MAIL'!Q34</f>
        <v>0</v>
      </c>
      <c r="S41" s="2678"/>
      <c r="T41" s="2678"/>
      <c r="U41" s="2678">
        <f>'R.GUI MAIL'!N50</f>
        <v>0</v>
      </c>
      <c r="V41" s="2678"/>
      <c r="W41" s="2678"/>
      <c r="X41" s="2678">
        <f>'R.GUI MAIL'!Q50</f>
        <v>0</v>
      </c>
      <c r="Y41" s="2678"/>
    </row>
    <row r="42" spans="1:25" ht="30.75" customHeight="1">
      <c r="A42" s="723">
        <v>2</v>
      </c>
      <c r="B42" s="2700" t="s">
        <v>794</v>
      </c>
      <c r="C42" s="2701"/>
      <c r="D42" s="2702"/>
      <c r="E42" s="727" t="s">
        <v>793</v>
      </c>
      <c r="F42" s="719" t="s">
        <v>795</v>
      </c>
      <c r="G42" s="728" t="e">
        <f>'[6]file goc'!G91</f>
        <v>#REF!</v>
      </c>
      <c r="H42" s="728"/>
      <c r="I42" s="2676">
        <f>'R.GUI MAIL'!N18</f>
        <v>0</v>
      </c>
      <c r="J42" s="2677"/>
      <c r="K42" s="2677"/>
      <c r="L42" s="2676">
        <f>'R.GUI MAIL'!Q18</f>
        <v>0</v>
      </c>
      <c r="M42" s="2677"/>
      <c r="N42" s="1813"/>
      <c r="O42" s="2676">
        <f>'R.GUI MAIL'!N35</f>
        <v>0</v>
      </c>
      <c r="P42" s="2677"/>
      <c r="Q42" s="2677"/>
      <c r="R42" s="2676">
        <f>'R.GUI MAIL'!Q35</f>
        <v>0</v>
      </c>
      <c r="S42" s="2697"/>
      <c r="T42" s="1861"/>
      <c r="U42" s="2676">
        <f>'R.GUI MAIL'!N51</f>
        <v>0</v>
      </c>
      <c r="V42" s="2677"/>
      <c r="W42" s="2697"/>
      <c r="X42" s="2676">
        <f>'R.GUI MAIL'!Q51</f>
        <v>0</v>
      </c>
      <c r="Y42" s="2697"/>
    </row>
    <row r="43" spans="1:25" ht="30.75" hidden="1" customHeight="1">
      <c r="A43" s="723">
        <v>3</v>
      </c>
      <c r="B43" s="2700" t="s">
        <v>796</v>
      </c>
      <c r="C43" s="2701"/>
      <c r="D43" s="2702"/>
      <c r="E43" s="727" t="s">
        <v>793</v>
      </c>
      <c r="F43" s="719" t="s">
        <v>795</v>
      </c>
      <c r="G43" s="729" t="str">
        <f>'[6]file goc'!G92</f>
        <v>7:00</v>
      </c>
      <c r="H43" s="728"/>
      <c r="I43" s="2676">
        <f>'R.GUI MAIL'!N19</f>
        <v>0</v>
      </c>
      <c r="J43" s="2677"/>
      <c r="K43" s="2677"/>
      <c r="L43" s="2676">
        <f>'R.GUI MAIL'!Q19</f>
        <v>0</v>
      </c>
      <c r="M43" s="2697"/>
      <c r="N43" s="1861"/>
      <c r="O43" s="1862"/>
      <c r="P43" s="1863"/>
      <c r="Q43" s="1863"/>
      <c r="R43" s="1864"/>
      <c r="S43" s="1865"/>
      <c r="T43" s="1861"/>
      <c r="U43" s="1866"/>
      <c r="V43" s="1866"/>
      <c r="W43" s="1866"/>
      <c r="X43" s="1866"/>
      <c r="Y43" s="1866"/>
    </row>
    <row r="44" spans="1:25" ht="30.75" customHeight="1">
      <c r="A44" s="723">
        <v>6</v>
      </c>
      <c r="B44" s="2700" t="s">
        <v>797</v>
      </c>
      <c r="C44" s="2701"/>
      <c r="D44" s="2702"/>
      <c r="E44" s="727" t="s">
        <v>793</v>
      </c>
      <c r="F44" s="719" t="s">
        <v>798</v>
      </c>
      <c r="G44" s="729">
        <f>'[6]file goc'!G95</f>
        <v>0</v>
      </c>
      <c r="H44" s="728"/>
      <c r="I44" s="2676">
        <f>'R.GUI MAIL'!N20</f>
        <v>0</v>
      </c>
      <c r="J44" s="2677"/>
      <c r="K44" s="2677"/>
      <c r="L44" s="2676">
        <f>'R.GUI MAIL'!Q20</f>
        <v>0</v>
      </c>
      <c r="M44" s="2697"/>
      <c r="N44" s="1861"/>
      <c r="O44" s="2676">
        <f>'R.GUI MAIL'!N36</f>
        <v>0</v>
      </c>
      <c r="P44" s="2677"/>
      <c r="Q44" s="2677"/>
      <c r="R44" s="2676">
        <f>'R.GUI MAIL'!Q36</f>
        <v>0</v>
      </c>
      <c r="S44" s="2697"/>
      <c r="T44" s="1861"/>
      <c r="U44" s="2676">
        <f>'R.GUI MAIL'!N52</f>
        <v>0</v>
      </c>
      <c r="V44" s="2677"/>
      <c r="W44" s="2697"/>
      <c r="X44" s="2676">
        <f>'R.GUI MAIL'!Q52</f>
        <v>0</v>
      </c>
      <c r="Y44" s="2697"/>
    </row>
    <row r="45" spans="1:25" s="688" customFormat="1" ht="30.75" customHeight="1">
      <c r="A45" s="2722" t="s">
        <v>420</v>
      </c>
      <c r="B45" s="2723"/>
      <c r="C45" s="1611"/>
      <c r="D45" s="1611"/>
      <c r="E45" s="2724" t="str">
        <f>$E$3</f>
        <v>2023/03/21</v>
      </c>
      <c r="F45" s="2725"/>
      <c r="G45" s="730"/>
      <c r="H45" s="731"/>
      <c r="I45" s="686"/>
      <c r="J45" s="686"/>
      <c r="K45" s="686"/>
      <c r="L45" s="686"/>
      <c r="M45" s="686"/>
      <c r="N45" s="686"/>
      <c r="O45" s="686" t="s">
        <v>778</v>
      </c>
      <c r="P45" s="686"/>
      <c r="Q45" s="686"/>
      <c r="R45" s="686"/>
      <c r="S45" s="686"/>
      <c r="T45" s="686"/>
      <c r="U45" s="686"/>
      <c r="V45" s="686"/>
      <c r="W45" s="686"/>
      <c r="X45" s="686"/>
      <c r="Y45" s="687"/>
    </row>
    <row r="46" spans="1:25" ht="30.75" customHeight="1">
      <c r="A46" s="2726" t="s">
        <v>7</v>
      </c>
      <c r="B46" s="2253" t="s">
        <v>779</v>
      </c>
      <c r="C46" s="2254"/>
      <c r="D46" s="2729"/>
      <c r="E46" s="2734" t="s">
        <v>780</v>
      </c>
      <c r="F46" s="2737" t="s">
        <v>781</v>
      </c>
      <c r="G46" s="689"/>
      <c r="H46" s="690"/>
      <c r="I46" s="2740" t="s">
        <v>782</v>
      </c>
      <c r="J46" s="2741"/>
      <c r="K46" s="2741"/>
      <c r="L46" s="2741"/>
      <c r="M46" s="2741"/>
      <c r="N46" s="691"/>
      <c r="O46" s="2740" t="s">
        <v>1401</v>
      </c>
      <c r="P46" s="2741"/>
      <c r="Q46" s="2741"/>
      <c r="R46" s="2741"/>
      <c r="S46" s="2741"/>
      <c r="T46" s="691"/>
      <c r="U46" s="2740" t="s">
        <v>1402</v>
      </c>
      <c r="V46" s="2741"/>
      <c r="W46" s="2741"/>
      <c r="X46" s="2741"/>
      <c r="Y46" s="2741"/>
    </row>
    <row r="47" spans="1:25" ht="30.75" customHeight="1">
      <c r="A47" s="2727"/>
      <c r="B47" s="2730"/>
      <c r="C47" s="2731"/>
      <c r="D47" s="2732"/>
      <c r="E47" s="2735"/>
      <c r="F47" s="2738"/>
      <c r="G47" s="692" t="s">
        <v>457</v>
      </c>
      <c r="H47" s="693"/>
      <c r="I47" s="2716" t="s">
        <v>783</v>
      </c>
      <c r="J47" s="695" t="s">
        <v>784</v>
      </c>
      <c r="K47" s="2718" t="s">
        <v>1</v>
      </c>
      <c r="L47" s="2718"/>
      <c r="M47" s="2719"/>
      <c r="N47" s="694"/>
      <c r="O47" s="2716" t="s">
        <v>783</v>
      </c>
      <c r="P47" s="695" t="s">
        <v>784</v>
      </c>
      <c r="Q47" s="2718" t="s">
        <v>1</v>
      </c>
      <c r="R47" s="2718"/>
      <c r="S47" s="2719"/>
      <c r="T47" s="693"/>
      <c r="U47" s="2716" t="s">
        <v>783</v>
      </c>
      <c r="V47" s="695" t="s">
        <v>784</v>
      </c>
      <c r="W47" s="2718" t="s">
        <v>1</v>
      </c>
      <c r="X47" s="2718"/>
      <c r="Y47" s="2719"/>
    </row>
    <row r="48" spans="1:25" ht="30.75" customHeight="1">
      <c r="A48" s="2728"/>
      <c r="B48" s="2255"/>
      <c r="C48" s="2256"/>
      <c r="D48" s="2733"/>
      <c r="E48" s="2736"/>
      <c r="F48" s="2739"/>
      <c r="G48" s="692"/>
      <c r="H48" s="693"/>
      <c r="I48" s="2717"/>
      <c r="J48" s="696"/>
      <c r="K48" s="2720"/>
      <c r="L48" s="2720"/>
      <c r="M48" s="2721"/>
      <c r="N48" s="694"/>
      <c r="O48" s="2717"/>
      <c r="P48" s="696"/>
      <c r="Q48" s="2720"/>
      <c r="R48" s="2720"/>
      <c r="S48" s="2721"/>
      <c r="T48" s="693"/>
      <c r="U48" s="2717"/>
      <c r="V48" s="696"/>
      <c r="W48" s="2720"/>
      <c r="X48" s="2720"/>
      <c r="Y48" s="2721"/>
    </row>
    <row r="49" spans="1:25" ht="30.75" customHeight="1">
      <c r="A49" s="697">
        <v>1</v>
      </c>
      <c r="B49" s="2700" t="s">
        <v>785</v>
      </c>
      <c r="C49" s="2701"/>
      <c r="D49" s="2702"/>
      <c r="E49" s="698" t="s">
        <v>466</v>
      </c>
      <c r="F49" s="699" t="s">
        <v>771</v>
      </c>
      <c r="G49" s="700">
        <v>40</v>
      </c>
      <c r="H49" s="701">
        <f>R.HN!C52</f>
        <v>0</v>
      </c>
      <c r="I49" s="707"/>
      <c r="J49" s="707"/>
      <c r="K49" s="708"/>
      <c r="L49" s="1298"/>
      <c r="M49" s="709"/>
      <c r="N49" s="702">
        <f>R.HN!D52</f>
        <v>0</v>
      </c>
      <c r="O49" s="338">
        <f>'R.GUI MAIL'!T25</f>
        <v>0</v>
      </c>
      <c r="P49" s="703"/>
      <c r="Q49" s="704" t="s">
        <v>8</v>
      </c>
      <c r="R49" s="1299">
        <f>'R.GUI MAIL'!W25</f>
        <v>0</v>
      </c>
      <c r="S49" s="705" t="s">
        <v>9</v>
      </c>
      <c r="T49" s="702"/>
      <c r="U49" s="338">
        <f>'R.GUI MAIL'!T41</f>
        <v>0</v>
      </c>
      <c r="V49" s="703"/>
      <c r="W49" s="704" t="s">
        <v>8</v>
      </c>
      <c r="X49" s="1300">
        <f>'R.GUI MAIL'!W41</f>
        <v>0</v>
      </c>
      <c r="Y49" s="705" t="s">
        <v>9</v>
      </c>
    </row>
    <row r="50" spans="1:25" ht="30.75" customHeight="1">
      <c r="A50" s="697">
        <v>2</v>
      </c>
      <c r="B50" s="2700" t="s">
        <v>460</v>
      </c>
      <c r="C50" s="2701"/>
      <c r="D50" s="2702"/>
      <c r="E50" s="706" t="s">
        <v>3</v>
      </c>
      <c r="F50" s="699" t="s">
        <v>461</v>
      </c>
      <c r="G50" s="700">
        <v>22</v>
      </c>
      <c r="H50" s="701">
        <f>R.HN!C53</f>
        <v>0</v>
      </c>
      <c r="I50" s="338">
        <f>'R.GUI MAIL'!T6</f>
        <v>0</v>
      </c>
      <c r="J50" s="703"/>
      <c r="K50" s="704" t="s">
        <v>8</v>
      </c>
      <c r="L50" s="1299">
        <f>'R.GUI MAIL'!W6</f>
        <v>0</v>
      </c>
      <c r="M50" s="705" t="s">
        <v>10</v>
      </c>
      <c r="N50" s="702">
        <f>R.HN!D53</f>
        <v>0</v>
      </c>
      <c r="O50" s="338">
        <f>'R.GUI MAIL'!T26</f>
        <v>0</v>
      </c>
      <c r="P50" s="703"/>
      <c r="Q50" s="704" t="s">
        <v>8</v>
      </c>
      <c r="R50" s="1299">
        <f>'R.GUI MAIL'!W26</f>
        <v>0</v>
      </c>
      <c r="S50" s="705" t="s">
        <v>10</v>
      </c>
      <c r="T50" s="702"/>
      <c r="U50" s="338">
        <f>'R.GUI MAIL'!T42</f>
        <v>0</v>
      </c>
      <c r="V50" s="703"/>
      <c r="W50" s="704" t="s">
        <v>8</v>
      </c>
      <c r="X50" s="1299">
        <f>'R.GUI MAIL'!W42</f>
        <v>0</v>
      </c>
      <c r="Y50" s="705" t="s">
        <v>10</v>
      </c>
    </row>
    <row r="51" spans="1:25" ht="30.75" hidden="1" customHeight="1">
      <c r="A51" s="697">
        <v>3</v>
      </c>
      <c r="B51" s="2707" t="s">
        <v>424</v>
      </c>
      <c r="C51" s="2708"/>
      <c r="D51" s="2709"/>
      <c r="E51" s="706" t="s">
        <v>3</v>
      </c>
      <c r="F51" s="699" t="s">
        <v>461</v>
      </c>
      <c r="G51" s="700"/>
      <c r="H51" s="701"/>
      <c r="I51" s="1253">
        <f>'R.GUI MAIL'!T7</f>
        <v>0</v>
      </c>
      <c r="J51" s="703"/>
      <c r="K51" s="704" t="s">
        <v>8</v>
      </c>
      <c r="L51" s="1299">
        <f>'R.GUI MAIL'!W7</f>
        <v>292.1875</v>
      </c>
      <c r="M51" s="705" t="s">
        <v>10</v>
      </c>
      <c r="N51" s="702"/>
      <c r="O51" s="707"/>
      <c r="P51" s="707"/>
      <c r="Q51" s="708"/>
      <c r="R51" s="1298"/>
      <c r="S51" s="709"/>
      <c r="T51" s="710"/>
      <c r="U51" s="1253">
        <f>'R.GUI MAIL'!T42</f>
        <v>0</v>
      </c>
      <c r="V51" s="703"/>
      <c r="W51" s="704" t="s">
        <v>8</v>
      </c>
      <c r="X51" s="1299">
        <f>'R.GUI MAIL'!W42</f>
        <v>0</v>
      </c>
      <c r="Y51" s="705" t="s">
        <v>10</v>
      </c>
    </row>
    <row r="52" spans="1:25" ht="30.75" customHeight="1">
      <c r="A52" s="697">
        <v>4</v>
      </c>
      <c r="B52" s="2713" t="s">
        <v>786</v>
      </c>
      <c r="C52" s="1301" t="s">
        <v>787</v>
      </c>
      <c r="D52" s="1302">
        <f>R.HN!E12</f>
        <v>3</v>
      </c>
      <c r="E52" s="2715" t="s">
        <v>466</v>
      </c>
      <c r="F52" s="699" t="s">
        <v>773</v>
      </c>
      <c r="G52" s="700">
        <v>50</v>
      </c>
      <c r="H52" s="701">
        <f>R.HN!C54</f>
        <v>0</v>
      </c>
      <c r="I52" s="338">
        <f>'R.GUI MAIL'!T8</f>
        <v>0</v>
      </c>
      <c r="J52" s="703"/>
      <c r="K52" s="704" t="s">
        <v>8</v>
      </c>
      <c r="L52" s="1299">
        <f>'R.GUI MAIL'!W8</f>
        <v>0</v>
      </c>
      <c r="M52" s="705" t="s">
        <v>9</v>
      </c>
      <c r="N52" s="702">
        <f>R.HN!D54</f>
        <v>0</v>
      </c>
      <c r="O52" s="338">
        <f>'R.GUI MAIL'!T27</f>
        <v>0</v>
      </c>
      <c r="P52" s="703"/>
      <c r="Q52" s="704" t="s">
        <v>8</v>
      </c>
      <c r="R52" s="1299">
        <f>'R.GUI MAIL'!W27</f>
        <v>0</v>
      </c>
      <c r="S52" s="705" t="s">
        <v>9</v>
      </c>
      <c r="T52" s="702"/>
      <c r="U52" s="338">
        <f>'R.GUI MAIL'!T43</f>
        <v>0</v>
      </c>
      <c r="V52" s="703"/>
      <c r="W52" s="704" t="s">
        <v>8</v>
      </c>
      <c r="X52" s="1299">
        <f>'R.GUI MAIL'!W43</f>
        <v>0</v>
      </c>
      <c r="Y52" s="705" t="s">
        <v>9</v>
      </c>
    </row>
    <row r="53" spans="1:25" ht="30.75" customHeight="1">
      <c r="A53" s="697">
        <v>5</v>
      </c>
      <c r="B53" s="2714"/>
      <c r="C53" s="1303"/>
      <c r="D53" s="1304"/>
      <c r="E53" s="2715"/>
      <c r="F53" s="699" t="s">
        <v>769</v>
      </c>
      <c r="G53" s="711">
        <v>6</v>
      </c>
      <c r="H53" s="701">
        <f>R.HN!C55</f>
        <v>0</v>
      </c>
      <c r="I53" s="338">
        <f>'R.GUI MAIL'!T9</f>
        <v>0</v>
      </c>
      <c r="J53" s="703"/>
      <c r="K53" s="704" t="s">
        <v>8</v>
      </c>
      <c r="L53" s="1299">
        <f>'R.GUI MAIL'!W9</f>
        <v>0</v>
      </c>
      <c r="M53" s="705" t="s">
        <v>9</v>
      </c>
      <c r="N53" s="702">
        <f>R.HN!D55</f>
        <v>0</v>
      </c>
      <c r="O53" s="338">
        <f>'R.GUI MAIL'!T28</f>
        <v>0</v>
      </c>
      <c r="P53" s="703"/>
      <c r="Q53" s="704"/>
      <c r="R53" s="1299">
        <f>'R.GUI MAIL'!W28</f>
        <v>0</v>
      </c>
      <c r="S53" s="705" t="s">
        <v>9</v>
      </c>
      <c r="T53" s="702"/>
      <c r="U53" s="338">
        <f>'R.GUI MAIL'!T44</f>
        <v>0</v>
      </c>
      <c r="V53" s="703"/>
      <c r="W53" s="704"/>
      <c r="X53" s="1299">
        <f>'R.GUI MAIL'!W44</f>
        <v>0</v>
      </c>
      <c r="Y53" s="705" t="s">
        <v>9</v>
      </c>
    </row>
    <row r="54" spans="1:25" ht="30.75" customHeight="1">
      <c r="A54" s="697">
        <v>6</v>
      </c>
      <c r="B54" s="2714"/>
      <c r="C54" s="1303"/>
      <c r="D54" s="1304"/>
      <c r="E54" s="2715"/>
      <c r="F54" s="699" t="s">
        <v>651</v>
      </c>
      <c r="G54" s="711">
        <v>0.4</v>
      </c>
      <c r="H54" s="701">
        <f>R.HN!C56</f>
        <v>0</v>
      </c>
      <c r="I54" s="463">
        <f>'R.GUI MAIL'!T10</f>
        <v>0</v>
      </c>
      <c r="J54" s="703"/>
      <c r="K54" s="704" t="s">
        <v>8</v>
      </c>
      <c r="L54" s="1299">
        <f>'R.GUI MAIL'!W10</f>
        <v>0</v>
      </c>
      <c r="M54" s="705" t="s">
        <v>9</v>
      </c>
      <c r="N54" s="702">
        <f>R.HN!D56</f>
        <v>0</v>
      </c>
      <c r="O54" s="463">
        <f>'R.GUI MAIL'!T29</f>
        <v>0</v>
      </c>
      <c r="P54" s="712"/>
      <c r="Q54" s="713"/>
      <c r="R54" s="1299">
        <f>'R.GUI MAIL'!W29</f>
        <v>0</v>
      </c>
      <c r="S54" s="714" t="s">
        <v>9</v>
      </c>
      <c r="T54" s="715"/>
      <c r="U54" s="463">
        <f>'R.GUI MAIL'!T45</f>
        <v>0</v>
      </c>
      <c r="V54" s="703"/>
      <c r="W54" s="704"/>
      <c r="X54" s="1299">
        <f>'R.GUI MAIL'!W45</f>
        <v>0</v>
      </c>
      <c r="Y54" s="705" t="s">
        <v>9</v>
      </c>
    </row>
    <row r="55" spans="1:25" ht="30.75" hidden="1" customHeight="1">
      <c r="A55" s="697">
        <v>7</v>
      </c>
      <c r="B55" s="2713" t="s">
        <v>786</v>
      </c>
      <c r="C55" s="1301" t="s">
        <v>787</v>
      </c>
      <c r="D55" s="1302">
        <f>R.HN!E13</f>
        <v>4</v>
      </c>
      <c r="E55" s="2715" t="s">
        <v>466</v>
      </c>
      <c r="F55" s="699" t="s">
        <v>773</v>
      </c>
      <c r="G55" s="700">
        <v>50</v>
      </c>
      <c r="H55" s="701">
        <f>R.HN!C57</f>
        <v>0</v>
      </c>
      <c r="I55" s="338">
        <f>'R.GUI MAIL'!T11</f>
        <v>0</v>
      </c>
      <c r="J55" s="728"/>
      <c r="K55" s="704" t="s">
        <v>8</v>
      </c>
      <c r="L55" s="1299">
        <f>'R.GUI MAIL'!W11</f>
        <v>0</v>
      </c>
      <c r="M55" s="705" t="s">
        <v>9</v>
      </c>
      <c r="N55" s="702">
        <f>R.HN!D57</f>
        <v>0</v>
      </c>
      <c r="O55" s="707"/>
      <c r="P55" s="707"/>
      <c r="Q55" s="708"/>
      <c r="R55" s="1298"/>
      <c r="S55" s="709"/>
      <c r="T55" s="702"/>
      <c r="U55" s="707"/>
      <c r="V55" s="707"/>
      <c r="W55" s="708"/>
      <c r="X55" s="1298"/>
      <c r="Y55" s="709"/>
    </row>
    <row r="56" spans="1:25" ht="30.75" hidden="1" customHeight="1">
      <c r="A56" s="697">
        <v>8</v>
      </c>
      <c r="B56" s="2714"/>
      <c r="C56" s="1303"/>
      <c r="D56" s="1304"/>
      <c r="E56" s="2715"/>
      <c r="F56" s="699" t="s">
        <v>769</v>
      </c>
      <c r="G56" s="711">
        <v>6</v>
      </c>
      <c r="H56" s="701">
        <f>R.HN!C58</f>
        <v>0</v>
      </c>
      <c r="I56" s="338">
        <f>'R.GUI MAIL'!T12</f>
        <v>0</v>
      </c>
      <c r="J56" s="703"/>
      <c r="K56" s="704" t="s">
        <v>8</v>
      </c>
      <c r="L56" s="1299">
        <f>'R.GUI MAIL'!W12</f>
        <v>0</v>
      </c>
      <c r="M56" s="705" t="s">
        <v>9</v>
      </c>
      <c r="N56" s="702">
        <f>R.HN!D58</f>
        <v>0</v>
      </c>
      <c r="O56" s="707"/>
      <c r="P56" s="707"/>
      <c r="Q56" s="708"/>
      <c r="R56" s="1298"/>
      <c r="S56" s="709"/>
      <c r="T56" s="702"/>
      <c r="U56" s="707"/>
      <c r="V56" s="707"/>
      <c r="W56" s="708"/>
      <c r="X56" s="1298"/>
      <c r="Y56" s="709"/>
    </row>
    <row r="57" spans="1:25" ht="30.75" hidden="1" customHeight="1">
      <c r="A57" s="697">
        <v>9</v>
      </c>
      <c r="B57" s="2714"/>
      <c r="C57" s="1303"/>
      <c r="D57" s="1304"/>
      <c r="E57" s="2715"/>
      <c r="F57" s="699" t="s">
        <v>651</v>
      </c>
      <c r="G57" s="711">
        <v>0.4</v>
      </c>
      <c r="H57" s="701">
        <f>R.HN!C59</f>
        <v>0</v>
      </c>
      <c r="I57" s="463">
        <f>'R.GUI MAIL'!T13</f>
        <v>0</v>
      </c>
      <c r="J57" s="728"/>
      <c r="K57" s="704" t="s">
        <v>8</v>
      </c>
      <c r="L57" s="1299">
        <f>'R.GUI MAIL'!W13</f>
        <v>0</v>
      </c>
      <c r="M57" s="705" t="s">
        <v>9</v>
      </c>
      <c r="N57" s="702">
        <f>R.HN!D59</f>
        <v>0</v>
      </c>
      <c r="O57" s="716"/>
      <c r="P57" s="716"/>
      <c r="Q57" s="717"/>
      <c r="R57" s="1298"/>
      <c r="S57" s="718"/>
      <c r="T57" s="715"/>
      <c r="U57" s="716"/>
      <c r="V57" s="716"/>
      <c r="W57" s="717"/>
      <c r="X57" s="1298"/>
      <c r="Y57" s="718"/>
    </row>
    <row r="58" spans="1:25" ht="30.75" customHeight="1">
      <c r="A58" s="697">
        <v>10</v>
      </c>
      <c r="B58" s="2707" t="s">
        <v>788</v>
      </c>
      <c r="C58" s="2708"/>
      <c r="D58" s="2709"/>
      <c r="E58" s="697" t="s">
        <v>466</v>
      </c>
      <c r="F58" s="719" t="s">
        <v>476</v>
      </c>
      <c r="G58" s="711">
        <v>2</v>
      </c>
      <c r="H58" s="701">
        <f>R.HN!C41</f>
        <v>0</v>
      </c>
      <c r="I58" s="338">
        <f>'R.GUI MAIL'!T14</f>
        <v>0</v>
      </c>
      <c r="J58" s="703"/>
      <c r="K58" s="704" t="s">
        <v>8</v>
      </c>
      <c r="L58" s="1307">
        <f>'R.GUI MAIL'!W14</f>
        <v>0</v>
      </c>
      <c r="M58" s="705" t="s">
        <v>9</v>
      </c>
      <c r="N58" s="702">
        <f>R.HN!D41</f>
        <v>0</v>
      </c>
      <c r="O58" s="338">
        <f>'R.GUI MAIL'!T30</f>
        <v>0</v>
      </c>
      <c r="P58" s="703"/>
      <c r="Q58" s="704" t="s">
        <v>8</v>
      </c>
      <c r="R58" s="1299">
        <f>'R.GUI MAIL'!W30</f>
        <v>0</v>
      </c>
      <c r="S58" s="705" t="s">
        <v>9</v>
      </c>
      <c r="T58" s="702"/>
      <c r="U58" s="338">
        <f>'R.GUI MAIL'!T46</f>
        <v>0</v>
      </c>
      <c r="V58" s="703"/>
      <c r="W58" s="704" t="s">
        <v>8</v>
      </c>
      <c r="X58" s="1299">
        <f>'R.GUI MAIL'!W46</f>
        <v>0</v>
      </c>
      <c r="Y58" s="705" t="s">
        <v>9</v>
      </c>
    </row>
    <row r="59" spans="1:25" ht="30.75" customHeight="1">
      <c r="A59" s="697">
        <v>11</v>
      </c>
      <c r="B59" s="2710"/>
      <c r="C59" s="2711"/>
      <c r="D59" s="2712"/>
      <c r="E59" s="697" t="s">
        <v>5</v>
      </c>
      <c r="F59" s="1305" t="s">
        <v>657</v>
      </c>
      <c r="G59" s="720">
        <v>9</v>
      </c>
      <c r="H59" s="701">
        <f>R.HN!C42</f>
        <v>0</v>
      </c>
      <c r="I59" s="338">
        <f>'R.GUI MAIL'!T15</f>
        <v>0</v>
      </c>
      <c r="J59" s="703"/>
      <c r="K59" s="704"/>
      <c r="L59" s="1299"/>
      <c r="M59" s="705"/>
      <c r="N59" s="702">
        <f>R.HN!D42</f>
        <v>0</v>
      </c>
      <c r="O59" s="338">
        <f>'R.GUI MAIL'!T31</f>
        <v>0</v>
      </c>
      <c r="P59" s="703"/>
      <c r="Q59" s="704"/>
      <c r="R59" s="1299"/>
      <c r="S59" s="705"/>
      <c r="T59" s="702"/>
      <c r="U59" s="338">
        <f>'R.GUI MAIL'!T47</f>
        <v>0</v>
      </c>
      <c r="V59" s="703"/>
      <c r="W59" s="704"/>
      <c r="X59" s="1299"/>
      <c r="Y59" s="705"/>
    </row>
    <row r="60" spans="1:25" ht="30.75" customHeight="1">
      <c r="A60" s="721"/>
      <c r="B60" s="722"/>
      <c r="C60" s="722"/>
      <c r="D60" s="722"/>
      <c r="E60" s="722" t="s">
        <v>2</v>
      </c>
      <c r="F60" s="722"/>
      <c r="G60" s="722"/>
      <c r="H60" s="722"/>
      <c r="I60" s="722"/>
      <c r="J60" s="722"/>
      <c r="K60" s="722"/>
      <c r="L60" s="722"/>
      <c r="M60" s="722"/>
      <c r="N60" s="722"/>
      <c r="O60" s="722"/>
      <c r="P60" s="722"/>
      <c r="Q60" s="722"/>
      <c r="R60" s="722"/>
      <c r="S60" s="722"/>
      <c r="T60" s="722"/>
      <c r="U60" s="722"/>
      <c r="V60" s="722"/>
      <c r="W60" s="722"/>
      <c r="X60" s="722"/>
      <c r="Y60" s="1306"/>
    </row>
    <row r="61" spans="1:25" ht="30.75" customHeight="1">
      <c r="A61" s="723" t="s">
        <v>57</v>
      </c>
      <c r="B61" s="2700" t="s">
        <v>789</v>
      </c>
      <c r="C61" s="2701"/>
      <c r="D61" s="2702"/>
      <c r="E61" s="724" t="s">
        <v>790</v>
      </c>
      <c r="F61" s="724" t="s">
        <v>791</v>
      </c>
      <c r="G61" s="725" t="s">
        <v>782</v>
      </c>
      <c r="H61" s="726"/>
      <c r="I61" s="2703" t="s">
        <v>48</v>
      </c>
      <c r="J61" s="2704"/>
      <c r="K61" s="2704"/>
      <c r="L61" s="2705" t="s">
        <v>65</v>
      </c>
      <c r="M61" s="2706"/>
      <c r="N61" s="691"/>
      <c r="O61" s="2703" t="s">
        <v>48</v>
      </c>
      <c r="P61" s="2704"/>
      <c r="Q61" s="2704"/>
      <c r="R61" s="2705" t="s">
        <v>65</v>
      </c>
      <c r="S61" s="2706"/>
      <c r="T61" s="691"/>
      <c r="U61" s="2703" t="s">
        <v>48</v>
      </c>
      <c r="V61" s="2704"/>
      <c r="W61" s="2704"/>
      <c r="X61" s="2705" t="s">
        <v>65</v>
      </c>
      <c r="Y61" s="2706"/>
    </row>
    <row r="62" spans="1:25" ht="30.75" customHeight="1">
      <c r="A62" s="723">
        <v>1</v>
      </c>
      <c r="B62" s="2700" t="s">
        <v>792</v>
      </c>
      <c r="C62" s="2701"/>
      <c r="D62" s="2702"/>
      <c r="E62" s="727" t="s">
        <v>793</v>
      </c>
      <c r="F62" s="719" t="s">
        <v>1187</v>
      </c>
      <c r="G62" s="725"/>
      <c r="H62" s="726"/>
      <c r="I62" s="1862"/>
      <c r="J62" s="1863"/>
      <c r="K62" s="1863"/>
      <c r="L62" s="1859"/>
      <c r="M62" s="1860"/>
      <c r="N62" s="1861"/>
      <c r="O62" s="2678">
        <f>'R.GUI MAIL'!T34</f>
        <v>0</v>
      </c>
      <c r="P62" s="2678"/>
      <c r="Q62" s="2678"/>
      <c r="R62" s="2678">
        <f>'R.GUI MAIL'!W34</f>
        <v>0</v>
      </c>
      <c r="S62" s="2678"/>
      <c r="T62" s="2678"/>
      <c r="U62" s="2678">
        <f>'R.GUI MAIL'!T50</f>
        <v>0</v>
      </c>
      <c r="V62" s="2678"/>
      <c r="W62" s="2678"/>
      <c r="X62" s="2678">
        <f>'R.GUI MAIL'!W50</f>
        <v>0</v>
      </c>
      <c r="Y62" s="2678"/>
    </row>
    <row r="63" spans="1:25" ht="30.75" customHeight="1">
      <c r="A63" s="723">
        <v>2</v>
      </c>
      <c r="B63" s="2700" t="s">
        <v>794</v>
      </c>
      <c r="C63" s="2701"/>
      <c r="D63" s="2702"/>
      <c r="E63" s="727" t="s">
        <v>793</v>
      </c>
      <c r="F63" s="719" t="s">
        <v>795</v>
      </c>
      <c r="G63" s="728" t="e">
        <f>'[6]file goc'!G125</f>
        <v>#REF!</v>
      </c>
      <c r="H63" s="728"/>
      <c r="I63" s="2676">
        <f>'R.GUI MAIL'!T18</f>
        <v>0</v>
      </c>
      <c r="J63" s="2677"/>
      <c r="K63" s="2677"/>
      <c r="L63" s="2676">
        <f>'R.GUI MAIL'!W18</f>
        <v>0</v>
      </c>
      <c r="M63" s="2677"/>
      <c r="N63" s="1813"/>
      <c r="O63" s="2676">
        <f>'R.GUI MAIL'!T35</f>
        <v>0</v>
      </c>
      <c r="P63" s="2677"/>
      <c r="Q63" s="2677"/>
      <c r="R63" s="2676">
        <f>'R.GUI MAIL'!W35</f>
        <v>0</v>
      </c>
      <c r="S63" s="2697"/>
      <c r="T63" s="1861"/>
      <c r="U63" s="2676">
        <f>'R.GUI MAIL'!T51</f>
        <v>0</v>
      </c>
      <c r="V63" s="2677"/>
      <c r="W63" s="2697"/>
      <c r="X63" s="2676">
        <f>'R.GUI MAIL'!W51</f>
        <v>0</v>
      </c>
      <c r="Y63" s="2697"/>
    </row>
    <row r="64" spans="1:25" ht="30.75" hidden="1" customHeight="1">
      <c r="A64" s="723">
        <v>3</v>
      </c>
      <c r="B64" s="2700" t="s">
        <v>796</v>
      </c>
      <c r="C64" s="2701"/>
      <c r="D64" s="2702"/>
      <c r="E64" s="727" t="s">
        <v>793</v>
      </c>
      <c r="F64" s="719" t="s">
        <v>795</v>
      </c>
      <c r="G64" s="729" t="e">
        <f>'[6]file goc'!G126</f>
        <v>#REF!</v>
      </c>
      <c r="H64" s="728"/>
      <c r="I64" s="2676">
        <f>'R.GUI MAIL'!T19</f>
        <v>0</v>
      </c>
      <c r="J64" s="2677"/>
      <c r="K64" s="2677"/>
      <c r="L64" s="2676">
        <f>'R.GUI MAIL'!W19</f>
        <v>0</v>
      </c>
      <c r="M64" s="2697"/>
      <c r="N64" s="1861"/>
      <c r="O64" s="1862"/>
      <c r="P64" s="1863"/>
      <c r="Q64" s="1863"/>
      <c r="R64" s="1864"/>
      <c r="S64" s="1865"/>
      <c r="T64" s="1861"/>
      <c r="U64" s="1866"/>
      <c r="V64" s="1866"/>
      <c r="W64" s="1866"/>
      <c r="X64" s="1866"/>
      <c r="Y64" s="1866"/>
    </row>
    <row r="65" spans="1:25" ht="30.75" customHeight="1">
      <c r="A65" s="723">
        <v>6</v>
      </c>
      <c r="B65" s="2700" t="s">
        <v>797</v>
      </c>
      <c r="C65" s="2701"/>
      <c r="D65" s="2702"/>
      <c r="E65" s="727" t="s">
        <v>793</v>
      </c>
      <c r="F65" s="719" t="s">
        <v>798</v>
      </c>
      <c r="G65" s="729" t="e">
        <f>'[6]file goc'!G129</f>
        <v>#REF!</v>
      </c>
      <c r="H65" s="728"/>
      <c r="I65" s="2676">
        <f>'R.GUI MAIL'!T20</f>
        <v>0</v>
      </c>
      <c r="J65" s="2677"/>
      <c r="K65" s="2677"/>
      <c r="L65" s="2676">
        <f>'R.GUI MAIL'!W20</f>
        <v>0</v>
      </c>
      <c r="M65" s="2697"/>
      <c r="N65" s="1861"/>
      <c r="O65" s="2676">
        <f>'R.GUI MAIL'!T36</f>
        <v>0</v>
      </c>
      <c r="P65" s="2677"/>
      <c r="Q65" s="2677"/>
      <c r="R65" s="2676">
        <f>'R.GUI MAIL'!W36</f>
        <v>0</v>
      </c>
      <c r="S65" s="2697"/>
      <c r="T65" s="1861"/>
      <c r="U65" s="2676">
        <f>'R.GUI MAIL'!T52</f>
        <v>0</v>
      </c>
      <c r="V65" s="2677"/>
      <c r="W65" s="2697"/>
      <c r="X65" s="2676">
        <f>'R.GUI MAIL'!W52</f>
        <v>0</v>
      </c>
      <c r="Y65" s="2697"/>
    </row>
    <row r="66" spans="1:25" s="688" customFormat="1" ht="30.75" customHeight="1">
      <c r="A66" s="2722" t="s">
        <v>421</v>
      </c>
      <c r="B66" s="2723"/>
      <c r="C66" s="1611"/>
      <c r="D66" s="1611"/>
      <c r="E66" s="2724" t="str">
        <f>$E$3</f>
        <v>2023/03/21</v>
      </c>
      <c r="F66" s="2725"/>
      <c r="G66" s="730"/>
      <c r="H66" s="731"/>
      <c r="I66" s="686"/>
      <c r="J66" s="686"/>
      <c r="K66" s="686"/>
      <c r="L66" s="686"/>
      <c r="M66" s="686"/>
      <c r="N66" s="686"/>
      <c r="O66" s="686" t="s">
        <v>778</v>
      </c>
      <c r="P66" s="686"/>
      <c r="Q66" s="686"/>
      <c r="R66" s="686"/>
      <c r="S66" s="686"/>
      <c r="T66" s="686"/>
      <c r="U66" s="686"/>
      <c r="V66" s="686"/>
      <c r="W66" s="686"/>
      <c r="X66" s="686"/>
      <c r="Y66" s="687"/>
    </row>
    <row r="67" spans="1:25" ht="30.75" customHeight="1">
      <c r="A67" s="2726" t="s">
        <v>7</v>
      </c>
      <c r="B67" s="2253" t="s">
        <v>779</v>
      </c>
      <c r="C67" s="2254"/>
      <c r="D67" s="2729"/>
      <c r="E67" s="2734" t="s">
        <v>780</v>
      </c>
      <c r="F67" s="2737" t="s">
        <v>781</v>
      </c>
      <c r="G67" s="689"/>
      <c r="H67" s="690"/>
      <c r="I67" s="2740" t="s">
        <v>782</v>
      </c>
      <c r="J67" s="2741"/>
      <c r="K67" s="2741"/>
      <c r="L67" s="2741"/>
      <c r="M67" s="2741"/>
      <c r="N67" s="691"/>
      <c r="O67" s="2740" t="s">
        <v>1401</v>
      </c>
      <c r="P67" s="2741"/>
      <c r="Q67" s="2741"/>
      <c r="R67" s="2741"/>
      <c r="S67" s="2741"/>
      <c r="T67" s="691"/>
      <c r="U67" s="2740" t="s">
        <v>1402</v>
      </c>
      <c r="V67" s="2741"/>
      <c r="W67" s="2741"/>
      <c r="X67" s="2741"/>
      <c r="Y67" s="2741"/>
    </row>
    <row r="68" spans="1:25" ht="30.75" customHeight="1">
      <c r="A68" s="2727"/>
      <c r="B68" s="2730"/>
      <c r="C68" s="2731"/>
      <c r="D68" s="2732"/>
      <c r="E68" s="2735"/>
      <c r="F68" s="2738"/>
      <c r="G68" s="692" t="s">
        <v>457</v>
      </c>
      <c r="H68" s="693"/>
      <c r="I68" s="2716" t="s">
        <v>783</v>
      </c>
      <c r="J68" s="695" t="s">
        <v>784</v>
      </c>
      <c r="K68" s="2718" t="s">
        <v>1</v>
      </c>
      <c r="L68" s="2718"/>
      <c r="M68" s="2719"/>
      <c r="N68" s="694"/>
      <c r="O68" s="2716" t="s">
        <v>783</v>
      </c>
      <c r="P68" s="695" t="s">
        <v>784</v>
      </c>
      <c r="Q68" s="2718" t="s">
        <v>1</v>
      </c>
      <c r="R68" s="2718"/>
      <c r="S68" s="2719"/>
      <c r="T68" s="693"/>
      <c r="U68" s="2716" t="s">
        <v>783</v>
      </c>
      <c r="V68" s="695" t="s">
        <v>784</v>
      </c>
      <c r="W68" s="2718" t="s">
        <v>1</v>
      </c>
      <c r="X68" s="2718"/>
      <c r="Y68" s="2719"/>
    </row>
    <row r="69" spans="1:25" ht="30.75" customHeight="1">
      <c r="A69" s="2728"/>
      <c r="B69" s="2255"/>
      <c r="C69" s="2256"/>
      <c r="D69" s="2733"/>
      <c r="E69" s="2736"/>
      <c r="F69" s="2739"/>
      <c r="G69" s="692"/>
      <c r="H69" s="693"/>
      <c r="I69" s="2717"/>
      <c r="J69" s="696"/>
      <c r="K69" s="2720"/>
      <c r="L69" s="2720"/>
      <c r="M69" s="2721"/>
      <c r="N69" s="694"/>
      <c r="O69" s="2717"/>
      <c r="P69" s="696"/>
      <c r="Q69" s="2720"/>
      <c r="R69" s="2720"/>
      <c r="S69" s="2721"/>
      <c r="T69" s="693"/>
      <c r="U69" s="2717"/>
      <c r="V69" s="696"/>
      <c r="W69" s="2720"/>
      <c r="X69" s="2720"/>
      <c r="Y69" s="2721"/>
    </row>
    <row r="70" spans="1:25" ht="30.75" customHeight="1">
      <c r="A70" s="697">
        <v>1</v>
      </c>
      <c r="B70" s="2700" t="s">
        <v>785</v>
      </c>
      <c r="C70" s="2701"/>
      <c r="D70" s="2702"/>
      <c r="E70" s="698" t="s">
        <v>466</v>
      </c>
      <c r="F70" s="699" t="s">
        <v>771</v>
      </c>
      <c r="G70" s="700">
        <v>40</v>
      </c>
      <c r="H70" s="701">
        <f>R.HN!C73</f>
        <v>0</v>
      </c>
      <c r="I70" s="707"/>
      <c r="J70" s="716"/>
      <c r="K70" s="717"/>
      <c r="L70" s="1298"/>
      <c r="M70" s="718"/>
      <c r="N70" s="702">
        <f>R.HN!D73</f>
        <v>0</v>
      </c>
      <c r="O70" s="338">
        <f>'R.GUI MAIL'!Z25</f>
        <v>0</v>
      </c>
      <c r="P70" s="703"/>
      <c r="Q70" s="704" t="s">
        <v>8</v>
      </c>
      <c r="R70" s="1299">
        <f>'R.GUI MAIL'!AC25</f>
        <v>0</v>
      </c>
      <c r="S70" s="705" t="s">
        <v>9</v>
      </c>
      <c r="T70" s="702"/>
      <c r="U70" s="338">
        <f>'R.GUI MAIL'!Z41</f>
        <v>0</v>
      </c>
      <c r="V70" s="703"/>
      <c r="W70" s="704" t="s">
        <v>8</v>
      </c>
      <c r="X70" s="1300">
        <f>'R.GUI MAIL'!AC41</f>
        <v>0</v>
      </c>
      <c r="Y70" s="705" t="s">
        <v>9</v>
      </c>
    </row>
    <row r="71" spans="1:25" ht="30.75" customHeight="1">
      <c r="A71" s="697">
        <v>2</v>
      </c>
      <c r="B71" s="2700" t="s">
        <v>460</v>
      </c>
      <c r="C71" s="2701"/>
      <c r="D71" s="2702"/>
      <c r="E71" s="706" t="s">
        <v>3</v>
      </c>
      <c r="F71" s="699" t="s">
        <v>461</v>
      </c>
      <c r="G71" s="700">
        <v>22</v>
      </c>
      <c r="H71" s="701">
        <f>R.HN!C74</f>
        <v>0</v>
      </c>
      <c r="I71" s="338">
        <f>'R.GUI MAIL'!Z6</f>
        <v>0</v>
      </c>
      <c r="J71" s="703"/>
      <c r="K71" s="704" t="s">
        <v>8</v>
      </c>
      <c r="L71" s="1299">
        <f>'R.GUI MAIL'!AC6</f>
        <v>0</v>
      </c>
      <c r="M71" s="1309" t="s">
        <v>10</v>
      </c>
      <c r="N71" s="702">
        <f>R.HN!D74</f>
        <v>0</v>
      </c>
      <c r="O71" s="338">
        <f>'R.GUI MAIL'!Z26</f>
        <v>0</v>
      </c>
      <c r="P71" s="703"/>
      <c r="Q71" s="704" t="s">
        <v>8</v>
      </c>
      <c r="R71" s="1299">
        <f>'R.GUI MAIL'!AC26</f>
        <v>0</v>
      </c>
      <c r="S71" s="705" t="s">
        <v>10</v>
      </c>
      <c r="T71" s="702"/>
      <c r="U71" s="338">
        <f>'R.GUI MAIL'!Z42</f>
        <v>0</v>
      </c>
      <c r="V71" s="703"/>
      <c r="W71" s="704" t="s">
        <v>8</v>
      </c>
      <c r="X71" s="1299">
        <f>'R.GUI MAIL'!AC42</f>
        <v>0</v>
      </c>
      <c r="Y71" s="705" t="s">
        <v>10</v>
      </c>
    </row>
    <row r="72" spans="1:25" ht="30.75" hidden="1" customHeight="1">
      <c r="A72" s="697">
        <v>3</v>
      </c>
      <c r="B72" s="2707" t="s">
        <v>424</v>
      </c>
      <c r="C72" s="2708"/>
      <c r="D72" s="2709"/>
      <c r="E72" s="706" t="s">
        <v>3</v>
      </c>
      <c r="F72" s="699" t="s">
        <v>461</v>
      </c>
      <c r="G72" s="700"/>
      <c r="H72" s="701"/>
      <c r="I72" s="1253">
        <f>'R.GUI MAIL'!Z7</f>
        <v>0</v>
      </c>
      <c r="J72" s="703"/>
      <c r="K72" s="704" t="s">
        <v>8</v>
      </c>
      <c r="L72" s="1299">
        <f>'R.GUI MAIL'!AC7</f>
        <v>292.1875</v>
      </c>
      <c r="M72" s="1309" t="s">
        <v>10</v>
      </c>
      <c r="N72" s="702"/>
      <c r="O72" s="707"/>
      <c r="P72" s="707"/>
      <c r="Q72" s="708"/>
      <c r="R72" s="1298"/>
      <c r="S72" s="709"/>
      <c r="T72" s="710"/>
      <c r="U72" s="1253">
        <f>'R.GUI MAIL'!Z42</f>
        <v>0</v>
      </c>
      <c r="V72" s="703"/>
      <c r="W72" s="704" t="s">
        <v>8</v>
      </c>
      <c r="X72" s="1299">
        <f>'R.GUI MAIL'!AC42</f>
        <v>0</v>
      </c>
      <c r="Y72" s="705" t="s">
        <v>10</v>
      </c>
    </row>
    <row r="73" spans="1:25" ht="30.75" customHeight="1">
      <c r="A73" s="697">
        <v>4</v>
      </c>
      <c r="B73" s="2713" t="s">
        <v>786</v>
      </c>
      <c r="C73" s="1301" t="s">
        <v>787</v>
      </c>
      <c r="D73" s="1302">
        <f>R.HN!F12</f>
        <v>3</v>
      </c>
      <c r="E73" s="2715" t="s">
        <v>466</v>
      </c>
      <c r="F73" s="699" t="s">
        <v>773</v>
      </c>
      <c r="G73" s="700">
        <v>50</v>
      </c>
      <c r="H73" s="701">
        <f>R.HN!C75</f>
        <v>0</v>
      </c>
      <c r="I73" s="338">
        <f>'R.GUI MAIL'!Z8</f>
        <v>0</v>
      </c>
      <c r="J73" s="703"/>
      <c r="K73" s="704" t="s">
        <v>8</v>
      </c>
      <c r="L73" s="1299">
        <f>'R.GUI MAIL'!AC8</f>
        <v>0</v>
      </c>
      <c r="M73" s="1309" t="s">
        <v>9</v>
      </c>
      <c r="N73" s="702">
        <f>R.HN!D75</f>
        <v>0</v>
      </c>
      <c r="O73" s="338">
        <f>'R.GUI MAIL'!Z27</f>
        <v>0</v>
      </c>
      <c r="P73" s="703"/>
      <c r="Q73" s="704" t="s">
        <v>8</v>
      </c>
      <c r="R73" s="1299">
        <f>'R.GUI MAIL'!AC27</f>
        <v>0</v>
      </c>
      <c r="S73" s="705" t="s">
        <v>9</v>
      </c>
      <c r="T73" s="702"/>
      <c r="U73" s="338">
        <f>'R.GUI MAIL'!Z43</f>
        <v>0</v>
      </c>
      <c r="V73" s="703"/>
      <c r="W73" s="704" t="s">
        <v>8</v>
      </c>
      <c r="X73" s="1299">
        <f>'R.GUI MAIL'!AC43</f>
        <v>0</v>
      </c>
      <c r="Y73" s="705" t="s">
        <v>9</v>
      </c>
    </row>
    <row r="74" spans="1:25" ht="30.75" customHeight="1">
      <c r="A74" s="697">
        <v>5</v>
      </c>
      <c r="B74" s="2714"/>
      <c r="C74" s="1303"/>
      <c r="D74" s="1304"/>
      <c r="E74" s="2715"/>
      <c r="F74" s="699" t="s">
        <v>769</v>
      </c>
      <c r="G74" s="711">
        <v>6</v>
      </c>
      <c r="H74" s="701">
        <f>R.HN!C76</f>
        <v>0</v>
      </c>
      <c r="I74" s="338">
        <f>'R.GUI MAIL'!Z9</f>
        <v>0</v>
      </c>
      <c r="J74" s="703"/>
      <c r="K74" s="704" t="s">
        <v>8</v>
      </c>
      <c r="L74" s="1299">
        <f>'R.GUI MAIL'!AC9</f>
        <v>0</v>
      </c>
      <c r="M74" s="1309" t="s">
        <v>9</v>
      </c>
      <c r="N74" s="702">
        <f>R.HN!D76</f>
        <v>0</v>
      </c>
      <c r="O74" s="338">
        <f>'R.GUI MAIL'!Z28</f>
        <v>0</v>
      </c>
      <c r="P74" s="703"/>
      <c r="Q74" s="704"/>
      <c r="R74" s="1299">
        <f>'R.GUI MAIL'!AC28</f>
        <v>0</v>
      </c>
      <c r="S74" s="705" t="s">
        <v>9</v>
      </c>
      <c r="T74" s="702"/>
      <c r="U74" s="338">
        <f>'R.GUI MAIL'!Z44</f>
        <v>0</v>
      </c>
      <c r="V74" s="703"/>
      <c r="W74" s="704"/>
      <c r="X74" s="1299">
        <f>'R.GUI MAIL'!AC44</f>
        <v>0</v>
      </c>
      <c r="Y74" s="705" t="s">
        <v>9</v>
      </c>
    </row>
    <row r="75" spans="1:25" ht="30.75" customHeight="1">
      <c r="A75" s="697">
        <v>6</v>
      </c>
      <c r="B75" s="2714"/>
      <c r="C75" s="1303"/>
      <c r="D75" s="1304"/>
      <c r="E75" s="2715"/>
      <c r="F75" s="699" t="s">
        <v>651</v>
      </c>
      <c r="G75" s="711">
        <v>0.4</v>
      </c>
      <c r="H75" s="701">
        <f>R.HN!C77</f>
        <v>0</v>
      </c>
      <c r="I75" s="463">
        <f>'R.GUI MAIL'!Z10</f>
        <v>0</v>
      </c>
      <c r="J75" s="703"/>
      <c r="K75" s="704" t="s">
        <v>8</v>
      </c>
      <c r="L75" s="1299">
        <f>'R.GUI MAIL'!AC10</f>
        <v>0</v>
      </c>
      <c r="M75" s="1309" t="s">
        <v>9</v>
      </c>
      <c r="N75" s="702">
        <f>R.HN!D77</f>
        <v>0</v>
      </c>
      <c r="O75" s="463">
        <f>'R.GUI MAIL'!Z29</f>
        <v>0</v>
      </c>
      <c r="P75" s="703"/>
      <c r="Q75" s="704"/>
      <c r="R75" s="1299">
        <f>'R.GUI MAIL'!AC29</f>
        <v>0</v>
      </c>
      <c r="S75" s="705" t="s">
        <v>9</v>
      </c>
      <c r="T75" s="702"/>
      <c r="U75" s="463">
        <f>'R.GUI MAIL'!Z45</f>
        <v>0</v>
      </c>
      <c r="V75" s="703"/>
      <c r="W75" s="704"/>
      <c r="X75" s="1299">
        <f>'R.GUI MAIL'!AC45</f>
        <v>0</v>
      </c>
      <c r="Y75" s="705" t="s">
        <v>9</v>
      </c>
    </row>
    <row r="76" spans="1:25" ht="30.75" hidden="1" customHeight="1">
      <c r="A76" s="697">
        <v>7</v>
      </c>
      <c r="B76" s="2713" t="s">
        <v>786</v>
      </c>
      <c r="C76" s="1301" t="s">
        <v>787</v>
      </c>
      <c r="D76" s="1302">
        <f>R.HN!F13</f>
        <v>4</v>
      </c>
      <c r="E76" s="2715" t="s">
        <v>466</v>
      </c>
      <c r="F76" s="699" t="s">
        <v>773</v>
      </c>
      <c r="G76" s="700">
        <v>50</v>
      </c>
      <c r="H76" s="701">
        <f>R.HN!C78</f>
        <v>0</v>
      </c>
      <c r="I76" s="338">
        <f>'R.GUI MAIL'!Z11</f>
        <v>0</v>
      </c>
      <c r="J76" s="728"/>
      <c r="K76" s="704" t="s">
        <v>8</v>
      </c>
      <c r="L76" s="1299">
        <f>'R.GUI MAIL'!AC11</f>
        <v>0</v>
      </c>
      <c r="M76" s="1309" t="s">
        <v>9</v>
      </c>
      <c r="N76" s="702">
        <f>R.HN!D78</f>
        <v>0</v>
      </c>
      <c r="O76" s="707"/>
      <c r="P76" s="716"/>
      <c r="Q76" s="717"/>
      <c r="R76" s="1298"/>
      <c r="S76" s="718"/>
      <c r="T76" s="715"/>
      <c r="U76" s="707"/>
      <c r="V76" s="707"/>
      <c r="W76" s="708"/>
      <c r="X76" s="1298"/>
      <c r="Y76" s="709"/>
    </row>
    <row r="77" spans="1:25" ht="30.75" hidden="1" customHeight="1">
      <c r="A77" s="697">
        <v>8</v>
      </c>
      <c r="B77" s="2714"/>
      <c r="C77" s="1303"/>
      <c r="D77" s="1304"/>
      <c r="E77" s="2715"/>
      <c r="F77" s="699" t="s">
        <v>769</v>
      </c>
      <c r="G77" s="711">
        <v>6</v>
      </c>
      <c r="H77" s="701">
        <f>R.HN!C79</f>
        <v>0</v>
      </c>
      <c r="I77" s="338">
        <f>'R.GUI MAIL'!Z12</f>
        <v>0</v>
      </c>
      <c r="J77" s="703"/>
      <c r="K77" s="704" t="s">
        <v>8</v>
      </c>
      <c r="L77" s="1299">
        <f>'R.GUI MAIL'!AC12</f>
        <v>0</v>
      </c>
      <c r="M77" s="1309" t="s">
        <v>9</v>
      </c>
      <c r="N77" s="702">
        <f>R.HN!D79</f>
        <v>0</v>
      </c>
      <c r="O77" s="707"/>
      <c r="P77" s="716"/>
      <c r="Q77" s="717"/>
      <c r="R77" s="1298"/>
      <c r="S77" s="718"/>
      <c r="T77" s="702"/>
      <c r="U77" s="707"/>
      <c r="V77" s="707"/>
      <c r="W77" s="708"/>
      <c r="X77" s="1298"/>
      <c r="Y77" s="709"/>
    </row>
    <row r="78" spans="1:25" ht="30.75" hidden="1" customHeight="1">
      <c r="A78" s="697">
        <v>9</v>
      </c>
      <c r="B78" s="2714"/>
      <c r="C78" s="1303"/>
      <c r="D78" s="1304"/>
      <c r="E78" s="2715"/>
      <c r="F78" s="699" t="s">
        <v>651</v>
      </c>
      <c r="G78" s="711">
        <v>0.4</v>
      </c>
      <c r="H78" s="701">
        <f>R.HN!C80</f>
        <v>0</v>
      </c>
      <c r="I78" s="463">
        <f>'R.GUI MAIL'!Z13</f>
        <v>0</v>
      </c>
      <c r="J78" s="728"/>
      <c r="K78" s="704" t="s">
        <v>8</v>
      </c>
      <c r="L78" s="1299">
        <f>'R.GUI MAIL'!AC13</f>
        <v>0</v>
      </c>
      <c r="M78" s="1309" t="s">
        <v>9</v>
      </c>
      <c r="N78" s="702">
        <f>R.HN!D80</f>
        <v>0</v>
      </c>
      <c r="O78" s="716"/>
      <c r="P78" s="716"/>
      <c r="Q78" s="717"/>
      <c r="R78" s="1298"/>
      <c r="S78" s="718"/>
      <c r="T78" s="715"/>
      <c r="U78" s="716"/>
      <c r="V78" s="716"/>
      <c r="W78" s="717"/>
      <c r="X78" s="1298"/>
      <c r="Y78" s="718"/>
    </row>
    <row r="79" spans="1:25" ht="30.75" customHeight="1">
      <c r="A79" s="697">
        <v>10</v>
      </c>
      <c r="B79" s="2707" t="s">
        <v>788</v>
      </c>
      <c r="C79" s="2708"/>
      <c r="D79" s="2709"/>
      <c r="E79" s="697" t="s">
        <v>466</v>
      </c>
      <c r="F79" s="719" t="s">
        <v>476</v>
      </c>
      <c r="G79" s="711">
        <v>2</v>
      </c>
      <c r="H79" s="701">
        <f>R.HN!C87</f>
        <v>0</v>
      </c>
      <c r="I79" s="338">
        <f>'R.GUI MAIL'!Z14</f>
        <v>0</v>
      </c>
      <c r="J79" s="703"/>
      <c r="K79" s="704" t="s">
        <v>8</v>
      </c>
      <c r="L79" s="1307">
        <f>'R.GUI MAIL'!AC14</f>
        <v>0</v>
      </c>
      <c r="M79" s="1309" t="s">
        <v>9</v>
      </c>
      <c r="N79" s="702">
        <f>R.HN!D87</f>
        <v>0</v>
      </c>
      <c r="O79" s="338">
        <f>'R.GUI MAIL'!Z30</f>
        <v>0</v>
      </c>
      <c r="P79" s="703"/>
      <c r="Q79" s="704" t="s">
        <v>8</v>
      </c>
      <c r="R79" s="1299">
        <f>'R.GUI MAIL'!AC30</f>
        <v>0</v>
      </c>
      <c r="S79" s="705" t="s">
        <v>9</v>
      </c>
      <c r="T79" s="702"/>
      <c r="U79" s="338">
        <f>'R.GUI MAIL'!Z46</f>
        <v>0</v>
      </c>
      <c r="V79" s="703"/>
      <c r="W79" s="704" t="s">
        <v>8</v>
      </c>
      <c r="X79" s="1299">
        <f>'R.GUI MAIL'!AC46</f>
        <v>0</v>
      </c>
      <c r="Y79" s="705" t="s">
        <v>9</v>
      </c>
    </row>
    <row r="80" spans="1:25" ht="30.75" customHeight="1">
      <c r="A80" s="697">
        <v>11</v>
      </c>
      <c r="B80" s="2710"/>
      <c r="C80" s="2711"/>
      <c r="D80" s="2712"/>
      <c r="E80" s="697" t="s">
        <v>5</v>
      </c>
      <c r="F80" s="1305" t="s">
        <v>657</v>
      </c>
      <c r="G80" s="720">
        <v>9</v>
      </c>
      <c r="H80" s="701">
        <f>R.HN!C88</f>
        <v>0</v>
      </c>
      <c r="I80" s="338">
        <f>'R.GUI MAIL'!Z15</f>
        <v>0</v>
      </c>
      <c r="J80" s="703"/>
      <c r="K80" s="704"/>
      <c r="L80" s="1299"/>
      <c r="M80" s="705"/>
      <c r="N80" s="702">
        <f>R.HN!D88</f>
        <v>0</v>
      </c>
      <c r="O80" s="338">
        <f>'R.GUI MAIL'!Z31</f>
        <v>0</v>
      </c>
      <c r="P80" s="703"/>
      <c r="Q80" s="704"/>
      <c r="R80" s="1299"/>
      <c r="S80" s="705"/>
      <c r="T80" s="702"/>
      <c r="U80" s="338">
        <f>'R.GUI MAIL'!Z47</f>
        <v>0</v>
      </c>
      <c r="V80" s="703"/>
      <c r="W80" s="704"/>
      <c r="X80" s="1299"/>
      <c r="Y80" s="705"/>
    </row>
    <row r="81" spans="1:25" ht="30.75" customHeight="1">
      <c r="A81" s="721"/>
      <c r="B81" s="722"/>
      <c r="C81" s="722"/>
      <c r="D81" s="722"/>
      <c r="E81" s="722" t="s">
        <v>2</v>
      </c>
      <c r="F81" s="722"/>
      <c r="G81" s="722"/>
      <c r="H81" s="722"/>
      <c r="I81" s="722"/>
      <c r="J81" s="722"/>
      <c r="K81" s="722"/>
      <c r="L81" s="722"/>
      <c r="M81" s="722"/>
      <c r="N81" s="722"/>
      <c r="O81" s="722"/>
      <c r="P81" s="722"/>
      <c r="Q81" s="722"/>
      <c r="R81" s="722"/>
      <c r="S81" s="722"/>
      <c r="T81" s="722"/>
      <c r="U81" s="722"/>
      <c r="V81" s="722"/>
      <c r="W81" s="722"/>
      <c r="X81" s="722"/>
      <c r="Y81" s="1306"/>
    </row>
    <row r="82" spans="1:25" ht="30.75" customHeight="1">
      <c r="A82" s="723" t="s">
        <v>57</v>
      </c>
      <c r="B82" s="2700" t="s">
        <v>789</v>
      </c>
      <c r="C82" s="2701"/>
      <c r="D82" s="2702"/>
      <c r="E82" s="724" t="s">
        <v>790</v>
      </c>
      <c r="F82" s="724" t="s">
        <v>791</v>
      </c>
      <c r="G82" s="725" t="s">
        <v>782</v>
      </c>
      <c r="H82" s="726"/>
      <c r="I82" s="2703" t="s">
        <v>48</v>
      </c>
      <c r="J82" s="2704"/>
      <c r="K82" s="2704"/>
      <c r="L82" s="2705" t="s">
        <v>65</v>
      </c>
      <c r="M82" s="2706"/>
      <c r="N82" s="691"/>
      <c r="O82" s="2703" t="s">
        <v>48</v>
      </c>
      <c r="P82" s="2704"/>
      <c r="Q82" s="2704"/>
      <c r="R82" s="2705" t="s">
        <v>65</v>
      </c>
      <c r="S82" s="2706"/>
      <c r="T82" s="691"/>
      <c r="U82" s="2703" t="s">
        <v>48</v>
      </c>
      <c r="V82" s="2704"/>
      <c r="W82" s="2704"/>
      <c r="X82" s="2705" t="s">
        <v>65</v>
      </c>
      <c r="Y82" s="2706"/>
    </row>
    <row r="83" spans="1:25" ht="30.75" customHeight="1">
      <c r="A83" s="723">
        <v>1</v>
      </c>
      <c r="B83" s="2700" t="s">
        <v>792</v>
      </c>
      <c r="C83" s="2701"/>
      <c r="D83" s="2702"/>
      <c r="E83" s="727" t="s">
        <v>793</v>
      </c>
      <c r="F83" s="719" t="s">
        <v>1187</v>
      </c>
      <c r="G83" s="725"/>
      <c r="H83" s="726"/>
      <c r="I83" s="1857"/>
      <c r="J83" s="1858"/>
      <c r="K83" s="1858"/>
      <c r="L83" s="1859"/>
      <c r="M83" s="1860"/>
      <c r="N83" s="1861"/>
      <c r="O83" s="2678">
        <f>'R.GUI MAIL'!Z34</f>
        <v>0</v>
      </c>
      <c r="P83" s="2678"/>
      <c r="Q83" s="2678"/>
      <c r="R83" s="2678">
        <f>'R.GUI MAIL'!AC34</f>
        <v>0</v>
      </c>
      <c r="S83" s="2678"/>
      <c r="T83" s="2678"/>
      <c r="U83" s="2678">
        <f>'R.GUI MAIL'!Z50</f>
        <v>0</v>
      </c>
      <c r="V83" s="2678"/>
      <c r="W83" s="2678"/>
      <c r="X83" s="2678">
        <f>'R.GUI MAIL'!AC50</f>
        <v>0</v>
      </c>
      <c r="Y83" s="2678"/>
    </row>
    <row r="84" spans="1:25" ht="30.75" customHeight="1">
      <c r="A84" s="723">
        <v>2</v>
      </c>
      <c r="B84" s="2700" t="s">
        <v>794</v>
      </c>
      <c r="C84" s="2701"/>
      <c r="D84" s="2702"/>
      <c r="E84" s="727" t="s">
        <v>793</v>
      </c>
      <c r="F84" s="719" t="s">
        <v>795</v>
      </c>
      <c r="G84" s="728" t="e">
        <f>'[6]file goc'!G158</f>
        <v>#REF!</v>
      </c>
      <c r="H84" s="728"/>
      <c r="I84" s="2676">
        <f>'R.GUI MAIL'!Z18</f>
        <v>0</v>
      </c>
      <c r="J84" s="2677"/>
      <c r="K84" s="2677"/>
      <c r="L84" s="2676">
        <f>'R.GUI MAIL'!AC18</f>
        <v>0</v>
      </c>
      <c r="M84" s="2677"/>
      <c r="N84" s="1813"/>
      <c r="O84" s="2676">
        <f>'R.GUI MAIL'!Z35</f>
        <v>0</v>
      </c>
      <c r="P84" s="2677"/>
      <c r="Q84" s="2677"/>
      <c r="R84" s="2676">
        <f>'R.GUI MAIL'!AC35</f>
        <v>0</v>
      </c>
      <c r="S84" s="2697"/>
      <c r="T84" s="1861"/>
      <c r="U84" s="2676">
        <f>'R.GUI MAIL'!Z51</f>
        <v>0</v>
      </c>
      <c r="V84" s="2677"/>
      <c r="W84" s="2697"/>
      <c r="X84" s="2676">
        <f>'R.GUI MAIL'!AC51</f>
        <v>0</v>
      </c>
      <c r="Y84" s="2697"/>
    </row>
    <row r="85" spans="1:25" ht="30.75" hidden="1" customHeight="1">
      <c r="A85" s="723">
        <v>3</v>
      </c>
      <c r="B85" s="2700" t="s">
        <v>796</v>
      </c>
      <c r="C85" s="2701"/>
      <c r="D85" s="2702"/>
      <c r="E85" s="727" t="s">
        <v>793</v>
      </c>
      <c r="F85" s="719" t="s">
        <v>795</v>
      </c>
      <c r="G85" s="729" t="e">
        <f>'[6]file goc'!G159</f>
        <v>#REF!</v>
      </c>
      <c r="H85" s="728"/>
      <c r="I85" s="2676">
        <f>'R.GUI MAIL'!Z19</f>
        <v>0</v>
      </c>
      <c r="J85" s="2677"/>
      <c r="K85" s="2677"/>
      <c r="L85" s="2676">
        <f>'R.GUI MAIL'!AC19</f>
        <v>0</v>
      </c>
      <c r="M85" s="2697"/>
      <c r="N85" s="1861"/>
      <c r="O85" s="1862"/>
      <c r="P85" s="1863"/>
      <c r="Q85" s="1863"/>
      <c r="R85" s="1864"/>
      <c r="S85" s="1865"/>
      <c r="T85" s="1861"/>
      <c r="U85" s="1866"/>
      <c r="V85" s="1866"/>
      <c r="W85" s="1866"/>
      <c r="X85" s="1866"/>
      <c r="Y85" s="1866"/>
    </row>
    <row r="86" spans="1:25" ht="30.75" customHeight="1">
      <c r="A86" s="723">
        <v>6</v>
      </c>
      <c r="B86" s="2700" t="s">
        <v>797</v>
      </c>
      <c r="C86" s="2701"/>
      <c r="D86" s="2702"/>
      <c r="E86" s="727" t="s">
        <v>793</v>
      </c>
      <c r="F86" s="719" t="s">
        <v>798</v>
      </c>
      <c r="G86" s="729" t="e">
        <f>'[6]file goc'!G162</f>
        <v>#REF!</v>
      </c>
      <c r="H86" s="728"/>
      <c r="I86" s="2676">
        <f>'R.GUI MAIL'!Z20</f>
        <v>0</v>
      </c>
      <c r="J86" s="2677"/>
      <c r="K86" s="2677"/>
      <c r="L86" s="2676">
        <f>'R.GUI MAIL'!AC20</f>
        <v>0</v>
      </c>
      <c r="M86" s="2697"/>
      <c r="N86" s="1861"/>
      <c r="O86" s="2676">
        <f>'R.GUI MAIL'!Z36</f>
        <v>0</v>
      </c>
      <c r="P86" s="2677"/>
      <c r="Q86" s="2677"/>
      <c r="R86" s="2676">
        <f>'R.GUI MAIL'!AC36</f>
        <v>0</v>
      </c>
      <c r="S86" s="2697"/>
      <c r="T86" s="1861"/>
      <c r="U86" s="2676">
        <f>'R.GUI MAIL'!Z52</f>
        <v>0</v>
      </c>
      <c r="V86" s="2677"/>
      <c r="W86" s="2697"/>
      <c r="X86" s="2676">
        <f>'R.GUI MAIL'!AC52</f>
        <v>0</v>
      </c>
      <c r="Y86" s="2697"/>
    </row>
    <row r="87" spans="1:25" ht="33" customHeight="1">
      <c r="A87" s="2722" t="s">
        <v>422</v>
      </c>
      <c r="B87" s="2723"/>
      <c r="C87" s="1611"/>
      <c r="D87" s="1611"/>
      <c r="E87" s="2724" t="str">
        <f>$E$3</f>
        <v>2023/03/21</v>
      </c>
      <c r="F87" s="2725"/>
      <c r="G87" s="730"/>
      <c r="H87" s="731"/>
      <c r="I87" s="686"/>
      <c r="J87" s="686"/>
      <c r="K87" s="686"/>
      <c r="L87" s="686"/>
      <c r="M87" s="686"/>
      <c r="N87" s="686"/>
      <c r="O87" s="686" t="s">
        <v>778</v>
      </c>
      <c r="P87" s="686"/>
      <c r="Q87" s="686"/>
      <c r="R87" s="686"/>
      <c r="S87" s="686"/>
      <c r="T87" s="686"/>
      <c r="U87" s="686"/>
      <c r="V87" s="686"/>
      <c r="W87" s="686"/>
      <c r="X87" s="686"/>
      <c r="Y87" s="687"/>
    </row>
    <row r="88" spans="1:25" ht="27" customHeight="1">
      <c r="A88" s="2726" t="s">
        <v>7</v>
      </c>
      <c r="B88" s="2253" t="s">
        <v>779</v>
      </c>
      <c r="C88" s="2254"/>
      <c r="D88" s="2729"/>
      <c r="E88" s="2734" t="s">
        <v>780</v>
      </c>
      <c r="F88" s="2737" t="s">
        <v>781</v>
      </c>
      <c r="G88" s="689"/>
      <c r="H88" s="690"/>
      <c r="I88" s="2740" t="s">
        <v>782</v>
      </c>
      <c r="J88" s="2741"/>
      <c r="K88" s="2741"/>
      <c r="L88" s="2741"/>
      <c r="M88" s="2741"/>
      <c r="N88" s="691"/>
      <c r="O88" s="2740" t="s">
        <v>1401</v>
      </c>
      <c r="P88" s="2741"/>
      <c r="Q88" s="2741"/>
      <c r="R88" s="2741"/>
      <c r="S88" s="2741"/>
      <c r="T88" s="691"/>
      <c r="U88" s="2740" t="s">
        <v>1402</v>
      </c>
      <c r="V88" s="2741"/>
      <c r="W88" s="2741"/>
      <c r="X88" s="2741"/>
      <c r="Y88" s="2741"/>
    </row>
    <row r="89" spans="1:25" ht="17.25">
      <c r="A89" s="2727"/>
      <c r="B89" s="2730"/>
      <c r="C89" s="2731"/>
      <c r="D89" s="2732"/>
      <c r="E89" s="2735"/>
      <c r="F89" s="2738"/>
      <c r="G89" s="692" t="s">
        <v>457</v>
      </c>
      <c r="H89" s="693"/>
      <c r="I89" s="2716" t="s">
        <v>783</v>
      </c>
      <c r="J89" s="695" t="s">
        <v>784</v>
      </c>
      <c r="K89" s="2718" t="s">
        <v>1</v>
      </c>
      <c r="L89" s="2718"/>
      <c r="M89" s="2719"/>
      <c r="N89" s="694"/>
      <c r="O89" s="2716" t="s">
        <v>783</v>
      </c>
      <c r="P89" s="695" t="s">
        <v>784</v>
      </c>
      <c r="Q89" s="2718" t="s">
        <v>1</v>
      </c>
      <c r="R89" s="2718"/>
      <c r="S89" s="2719"/>
      <c r="T89" s="693"/>
      <c r="U89" s="2716" t="s">
        <v>783</v>
      </c>
      <c r="V89" s="695" t="s">
        <v>784</v>
      </c>
      <c r="W89" s="2718" t="s">
        <v>1</v>
      </c>
      <c r="X89" s="2718"/>
      <c r="Y89" s="2719"/>
    </row>
    <row r="90" spans="1:25" ht="17.25">
      <c r="A90" s="2728"/>
      <c r="B90" s="2255"/>
      <c r="C90" s="2256"/>
      <c r="D90" s="2733"/>
      <c r="E90" s="2736"/>
      <c r="F90" s="2739"/>
      <c r="G90" s="692"/>
      <c r="H90" s="693"/>
      <c r="I90" s="2717"/>
      <c r="J90" s="696"/>
      <c r="K90" s="2720"/>
      <c r="L90" s="2720"/>
      <c r="M90" s="2721"/>
      <c r="N90" s="694"/>
      <c r="O90" s="2717"/>
      <c r="P90" s="696"/>
      <c r="Q90" s="2720"/>
      <c r="R90" s="2720"/>
      <c r="S90" s="2721"/>
      <c r="T90" s="693"/>
      <c r="U90" s="2717"/>
      <c r="V90" s="696"/>
      <c r="W90" s="2720"/>
      <c r="X90" s="2720"/>
      <c r="Y90" s="2721"/>
    </row>
    <row r="91" spans="1:25" ht="33.75" customHeight="1">
      <c r="A91" s="697">
        <v>1</v>
      </c>
      <c r="B91" s="2700" t="s">
        <v>785</v>
      </c>
      <c r="C91" s="2701"/>
      <c r="D91" s="2702"/>
      <c r="E91" s="698" t="s">
        <v>466</v>
      </c>
      <c r="F91" s="699" t="s">
        <v>771</v>
      </c>
      <c r="G91" s="700">
        <v>40</v>
      </c>
      <c r="H91" s="701">
        <f>R.HN!C95</f>
        <v>0</v>
      </c>
      <c r="I91" s="707"/>
      <c r="J91" s="716"/>
      <c r="K91" s="717"/>
      <c r="L91" s="1298"/>
      <c r="M91" s="718"/>
      <c r="N91" s="702">
        <f>R.HN!D95</f>
        <v>0</v>
      </c>
      <c r="O91" s="338">
        <f>'R.GUI MAIL'!AF25</f>
        <v>0</v>
      </c>
      <c r="P91" s="703"/>
      <c r="Q91" s="704" t="s">
        <v>8</v>
      </c>
      <c r="R91" s="1299">
        <f>'R.GUI MAIL'!AI25</f>
        <v>0</v>
      </c>
      <c r="S91" s="705" t="s">
        <v>9</v>
      </c>
      <c r="T91" s="702"/>
      <c r="U91" s="338">
        <f>'R.GUI MAIL'!AF41</f>
        <v>0</v>
      </c>
      <c r="V91" s="703"/>
      <c r="W91" s="704" t="s">
        <v>8</v>
      </c>
      <c r="X91" s="1300">
        <f>'R.GUI MAIL'!AI41</f>
        <v>0</v>
      </c>
      <c r="Y91" s="705" t="s">
        <v>9</v>
      </c>
    </row>
    <row r="92" spans="1:25" ht="33.75" customHeight="1">
      <c r="A92" s="697">
        <v>2</v>
      </c>
      <c r="B92" s="2700" t="s">
        <v>460</v>
      </c>
      <c r="C92" s="2701"/>
      <c r="D92" s="2702"/>
      <c r="E92" s="706" t="s">
        <v>3</v>
      </c>
      <c r="F92" s="699" t="s">
        <v>461</v>
      </c>
      <c r="G92" s="700">
        <v>22</v>
      </c>
      <c r="H92" s="701">
        <f>R.HN!C96</f>
        <v>0</v>
      </c>
      <c r="I92" s="338">
        <f>'R.GUI MAIL'!AF6</f>
        <v>0</v>
      </c>
      <c r="J92" s="703"/>
      <c r="K92" s="704" t="s">
        <v>8</v>
      </c>
      <c r="L92" s="1299">
        <f>'R.GUI MAIL'!AI6</f>
        <v>0</v>
      </c>
      <c r="M92" s="1309" t="s">
        <v>10</v>
      </c>
      <c r="N92" s="702">
        <f>R.HN!D96</f>
        <v>0</v>
      </c>
      <c r="O92" s="338">
        <f>'R.GUI MAIL'!AF26</f>
        <v>0</v>
      </c>
      <c r="P92" s="703"/>
      <c r="Q92" s="704" t="s">
        <v>8</v>
      </c>
      <c r="R92" s="1299">
        <f>'R.GUI MAIL'!AI26</f>
        <v>0</v>
      </c>
      <c r="S92" s="705" t="s">
        <v>10</v>
      </c>
      <c r="T92" s="702"/>
      <c r="U92" s="338">
        <f>'R.GUI MAIL'!AF42</f>
        <v>0</v>
      </c>
      <c r="V92" s="338"/>
      <c r="W92" s="1310" t="s">
        <v>8</v>
      </c>
      <c r="X92" s="1299">
        <f>'R.GUI MAIL'!AI42</f>
        <v>0</v>
      </c>
      <c r="Y92" s="1309" t="s">
        <v>10</v>
      </c>
    </row>
    <row r="93" spans="1:25" ht="33.75" hidden="1" customHeight="1">
      <c r="A93" s="697">
        <v>3</v>
      </c>
      <c r="B93" s="2707" t="s">
        <v>424</v>
      </c>
      <c r="C93" s="2708"/>
      <c r="D93" s="2709"/>
      <c r="E93" s="706" t="s">
        <v>3</v>
      </c>
      <c r="F93" s="699" t="s">
        <v>461</v>
      </c>
      <c r="G93" s="700"/>
      <c r="H93" s="701"/>
      <c r="I93" s="1253">
        <f>'R.GUI MAIL'!AF7</f>
        <v>0</v>
      </c>
      <c r="J93" s="703"/>
      <c r="K93" s="704" t="s">
        <v>8</v>
      </c>
      <c r="L93" s="1299">
        <f>'R.GUI MAIL'!AI7</f>
        <v>292.1875</v>
      </c>
      <c r="M93" s="1309" t="s">
        <v>10</v>
      </c>
      <c r="N93" s="702"/>
      <c r="O93" s="707"/>
      <c r="P93" s="707"/>
      <c r="Q93" s="708"/>
      <c r="R93" s="1298"/>
      <c r="S93" s="709"/>
      <c r="T93" s="710"/>
      <c r="U93" s="1253">
        <f>'R.GUI MAIL'!AF42</f>
        <v>0</v>
      </c>
      <c r="V93" s="338"/>
      <c r="W93" s="1310" t="s">
        <v>8</v>
      </c>
      <c r="X93" s="1299">
        <f>'R.GUI MAIL'!AI42</f>
        <v>0</v>
      </c>
      <c r="Y93" s="1309" t="s">
        <v>10</v>
      </c>
    </row>
    <row r="94" spans="1:25" ht="33.75" customHeight="1">
      <c r="A94" s="697">
        <v>4</v>
      </c>
      <c r="B94" s="2713" t="s">
        <v>786</v>
      </c>
      <c r="C94" s="1301" t="s">
        <v>787</v>
      </c>
      <c r="D94" s="1302">
        <f>R.HN!$C$12</f>
        <v>3</v>
      </c>
      <c r="E94" s="2715" t="s">
        <v>466</v>
      </c>
      <c r="F94" s="699" t="s">
        <v>773</v>
      </c>
      <c r="G94" s="700">
        <v>50</v>
      </c>
      <c r="H94" s="701">
        <f>R.HN!C97</f>
        <v>0</v>
      </c>
      <c r="I94" s="338">
        <f>'R.GUI MAIL'!AF8</f>
        <v>0</v>
      </c>
      <c r="J94" s="703"/>
      <c r="K94" s="704" t="s">
        <v>8</v>
      </c>
      <c r="L94" s="1299">
        <f>'R.GUI MAIL'!AI8</f>
        <v>0</v>
      </c>
      <c r="M94" s="1309" t="s">
        <v>9</v>
      </c>
      <c r="N94" s="702">
        <f>R.HN!D97</f>
        <v>0</v>
      </c>
      <c r="O94" s="338">
        <f>'R.GUI MAIL'!AF27</f>
        <v>0</v>
      </c>
      <c r="P94" s="703"/>
      <c r="Q94" s="704" t="s">
        <v>8</v>
      </c>
      <c r="R94" s="1299">
        <f>'R.GUI MAIL'!AI27</f>
        <v>0</v>
      </c>
      <c r="S94" s="705" t="s">
        <v>9</v>
      </c>
      <c r="T94" s="702"/>
      <c r="U94" s="338">
        <f>'R.GUI MAIL'!AF43</f>
        <v>0</v>
      </c>
      <c r="V94" s="338"/>
      <c r="W94" s="1310" t="s">
        <v>8</v>
      </c>
      <c r="X94" s="1299">
        <f>'R.GUI MAIL'!AI43</f>
        <v>0</v>
      </c>
      <c r="Y94" s="1309" t="s">
        <v>9</v>
      </c>
    </row>
    <row r="95" spans="1:25" ht="33.75" customHeight="1">
      <c r="A95" s="697">
        <v>5</v>
      </c>
      <c r="B95" s="2714"/>
      <c r="C95" s="1303"/>
      <c r="D95" s="1304"/>
      <c r="E95" s="2715"/>
      <c r="F95" s="699" t="s">
        <v>769</v>
      </c>
      <c r="G95" s="711">
        <v>6</v>
      </c>
      <c r="H95" s="701">
        <f>R.HN!C98</f>
        <v>0</v>
      </c>
      <c r="I95" s="338">
        <f>'R.GUI MAIL'!AF9</f>
        <v>0</v>
      </c>
      <c r="J95" s="703"/>
      <c r="K95" s="704" t="s">
        <v>8</v>
      </c>
      <c r="L95" s="1299">
        <f>'R.GUI MAIL'!AI9</f>
        <v>0</v>
      </c>
      <c r="M95" s="1309" t="s">
        <v>9</v>
      </c>
      <c r="N95" s="702">
        <f>R.HN!D98</f>
        <v>0</v>
      </c>
      <c r="O95" s="338">
        <f>'R.GUI MAIL'!AF28</f>
        <v>0</v>
      </c>
      <c r="P95" s="703"/>
      <c r="Q95" s="704"/>
      <c r="R95" s="1299">
        <f>'R.GUI MAIL'!AI28</f>
        <v>0</v>
      </c>
      <c r="S95" s="705" t="s">
        <v>9</v>
      </c>
      <c r="T95" s="702"/>
      <c r="U95" s="338">
        <f>'R.GUI MAIL'!AF44</f>
        <v>0</v>
      </c>
      <c r="V95" s="338"/>
      <c r="W95" s="1310"/>
      <c r="X95" s="1299">
        <f>'R.GUI MAIL'!AI44</f>
        <v>0</v>
      </c>
      <c r="Y95" s="1309" t="s">
        <v>9</v>
      </c>
    </row>
    <row r="96" spans="1:25" ht="33.75" customHeight="1">
      <c r="A96" s="697">
        <v>6</v>
      </c>
      <c r="B96" s="2714"/>
      <c r="C96" s="1303"/>
      <c r="D96" s="1304"/>
      <c r="E96" s="2715"/>
      <c r="F96" s="699" t="s">
        <v>651</v>
      </c>
      <c r="G96" s="711">
        <v>0.4</v>
      </c>
      <c r="H96" s="701">
        <f>R.HN!C99</f>
        <v>0</v>
      </c>
      <c r="I96" s="463">
        <f>'R.GUI MAIL'!AF10</f>
        <v>0</v>
      </c>
      <c r="J96" s="703"/>
      <c r="K96" s="704" t="s">
        <v>8</v>
      </c>
      <c r="L96" s="1299">
        <f>'R.GUI MAIL'!AI10</f>
        <v>0</v>
      </c>
      <c r="M96" s="1309" t="s">
        <v>9</v>
      </c>
      <c r="N96" s="702">
        <f>R.HN!D99</f>
        <v>0</v>
      </c>
      <c r="O96" s="463">
        <f>'R.GUI MAIL'!AF29</f>
        <v>0</v>
      </c>
      <c r="P96" s="703"/>
      <c r="Q96" s="704"/>
      <c r="R96" s="1299">
        <f>'R.GUI MAIL'!AI29</f>
        <v>0</v>
      </c>
      <c r="S96" s="705" t="s">
        <v>9</v>
      </c>
      <c r="T96" s="702"/>
      <c r="U96" s="463">
        <f>'R.GUI MAIL'!AF45</f>
        <v>0</v>
      </c>
      <c r="V96" s="338"/>
      <c r="W96" s="1310"/>
      <c r="X96" s="1299">
        <f>'R.GUI MAIL'!AI45</f>
        <v>0</v>
      </c>
      <c r="Y96" s="1309" t="s">
        <v>9</v>
      </c>
    </row>
    <row r="97" spans="1:25" ht="33.75" hidden="1" customHeight="1">
      <c r="A97" s="697">
        <v>7</v>
      </c>
      <c r="B97" s="2713" t="s">
        <v>786</v>
      </c>
      <c r="C97" s="1301" t="s">
        <v>787</v>
      </c>
      <c r="D97" s="1302">
        <f>R.HN!$C$13</f>
        <v>4</v>
      </c>
      <c r="E97" s="2715" t="s">
        <v>466</v>
      </c>
      <c r="F97" s="699" t="s">
        <v>773</v>
      </c>
      <c r="G97" s="700">
        <v>50</v>
      </c>
      <c r="H97" s="701">
        <f>R.HN!C100</f>
        <v>0</v>
      </c>
      <c r="I97" s="338">
        <f>'R.GUI MAIL'!AF11</f>
        <v>0</v>
      </c>
      <c r="J97" s="728"/>
      <c r="K97" s="704" t="s">
        <v>8</v>
      </c>
      <c r="L97" s="1299">
        <f>'R.GUI MAIL'!AI11</f>
        <v>0</v>
      </c>
      <c r="M97" s="1309" t="s">
        <v>9</v>
      </c>
      <c r="N97" s="702">
        <f>R.HN!D100</f>
        <v>0</v>
      </c>
      <c r="O97" s="707"/>
      <c r="P97" s="716"/>
      <c r="Q97" s="717"/>
      <c r="R97" s="1298"/>
      <c r="S97" s="718"/>
      <c r="T97" s="715"/>
      <c r="U97" s="707"/>
      <c r="V97" s="707"/>
      <c r="W97" s="708"/>
      <c r="X97" s="1298"/>
      <c r="Y97" s="709"/>
    </row>
    <row r="98" spans="1:25" ht="33.75" hidden="1" customHeight="1">
      <c r="A98" s="697">
        <v>8</v>
      </c>
      <c r="B98" s="2714"/>
      <c r="C98" s="1303"/>
      <c r="D98" s="1304"/>
      <c r="E98" s="2715"/>
      <c r="F98" s="699" t="s">
        <v>769</v>
      </c>
      <c r="G98" s="711">
        <v>6</v>
      </c>
      <c r="H98" s="701">
        <f>R.HN!C101</f>
        <v>0</v>
      </c>
      <c r="I98" s="338">
        <f>'R.GUI MAIL'!AF12</f>
        <v>0</v>
      </c>
      <c r="J98" s="703"/>
      <c r="K98" s="704" t="s">
        <v>8</v>
      </c>
      <c r="L98" s="1299">
        <f>'R.GUI MAIL'!AI12</f>
        <v>0</v>
      </c>
      <c r="M98" s="1309" t="s">
        <v>9</v>
      </c>
      <c r="N98" s="702">
        <f>R.HN!D101</f>
        <v>0</v>
      </c>
      <c r="O98" s="707"/>
      <c r="P98" s="716"/>
      <c r="Q98" s="717"/>
      <c r="R98" s="1298"/>
      <c r="S98" s="718"/>
      <c r="T98" s="702"/>
      <c r="U98" s="707"/>
      <c r="V98" s="707"/>
      <c r="W98" s="708"/>
      <c r="X98" s="1298"/>
      <c r="Y98" s="709"/>
    </row>
    <row r="99" spans="1:25" ht="33.75" hidden="1" customHeight="1">
      <c r="A99" s="697">
        <v>9</v>
      </c>
      <c r="B99" s="2714"/>
      <c r="C99" s="1303"/>
      <c r="D99" s="1304"/>
      <c r="E99" s="2715"/>
      <c r="F99" s="699" t="s">
        <v>651</v>
      </c>
      <c r="G99" s="711">
        <v>0.4</v>
      </c>
      <c r="H99" s="701">
        <f>R.HN!C102</f>
        <v>0</v>
      </c>
      <c r="I99" s="463">
        <f>'R.GUI MAIL'!AF13</f>
        <v>0</v>
      </c>
      <c r="J99" s="728"/>
      <c r="K99" s="704" t="s">
        <v>8</v>
      </c>
      <c r="L99" s="1299">
        <f>'R.GUI MAIL'!AI13</f>
        <v>0</v>
      </c>
      <c r="M99" s="1309" t="s">
        <v>9</v>
      </c>
      <c r="N99" s="702">
        <f>R.HN!D102</f>
        <v>0</v>
      </c>
      <c r="O99" s="716"/>
      <c r="P99" s="716"/>
      <c r="Q99" s="717"/>
      <c r="R99" s="1298"/>
      <c r="S99" s="718"/>
      <c r="T99" s="715"/>
      <c r="U99" s="716"/>
      <c r="V99" s="716"/>
      <c r="W99" s="717"/>
      <c r="X99" s="1298"/>
      <c r="Y99" s="718"/>
    </row>
    <row r="100" spans="1:25" ht="33.75" customHeight="1">
      <c r="A100" s="697">
        <v>10</v>
      </c>
      <c r="B100" s="2707" t="s">
        <v>788</v>
      </c>
      <c r="C100" s="2708"/>
      <c r="D100" s="2709"/>
      <c r="E100" s="697" t="s">
        <v>466</v>
      </c>
      <c r="F100" s="719" t="s">
        <v>476</v>
      </c>
      <c r="G100" s="711">
        <v>2</v>
      </c>
      <c r="H100" s="701">
        <f>R.HN!C109</f>
        <v>0</v>
      </c>
      <c r="I100" s="338">
        <f>'R.GUI MAIL'!AF14</f>
        <v>0</v>
      </c>
      <c r="J100" s="703"/>
      <c r="K100" s="704" t="s">
        <v>8</v>
      </c>
      <c r="L100" s="1307">
        <f>'R.GUI MAIL'!AI14</f>
        <v>0</v>
      </c>
      <c r="M100" s="1309" t="s">
        <v>9</v>
      </c>
      <c r="N100" s="702">
        <f>R.HN!D109</f>
        <v>0</v>
      </c>
      <c r="O100" s="338">
        <f>'R.GUI MAIL'!AF30</f>
        <v>0</v>
      </c>
      <c r="P100" s="703"/>
      <c r="Q100" s="704" t="s">
        <v>8</v>
      </c>
      <c r="R100" s="1299">
        <f>'R.GUI MAIL'!AI30</f>
        <v>0</v>
      </c>
      <c r="S100" s="705" t="s">
        <v>9</v>
      </c>
      <c r="T100" s="702"/>
      <c r="U100" s="338">
        <f>'R.GUI MAIL'!AF46</f>
        <v>0</v>
      </c>
      <c r="V100" s="338"/>
      <c r="W100" s="1310" t="s">
        <v>8</v>
      </c>
      <c r="X100" s="1299">
        <f>'R.GUI MAIL'!AI46</f>
        <v>0</v>
      </c>
      <c r="Y100" s="1309" t="s">
        <v>9</v>
      </c>
    </row>
    <row r="101" spans="1:25" ht="33.75" customHeight="1">
      <c r="A101" s="697">
        <v>11</v>
      </c>
      <c r="B101" s="2710"/>
      <c r="C101" s="2711"/>
      <c r="D101" s="2712"/>
      <c r="E101" s="697" t="s">
        <v>5</v>
      </c>
      <c r="F101" s="1305" t="s">
        <v>657</v>
      </c>
      <c r="G101" s="720">
        <v>9</v>
      </c>
      <c r="H101" s="701">
        <f>R.HN!C110</f>
        <v>0</v>
      </c>
      <c r="I101" s="338">
        <f>'R.GUI MAIL'!AF15</f>
        <v>0</v>
      </c>
      <c r="J101" s="703"/>
      <c r="K101" s="704"/>
      <c r="L101" s="1299"/>
      <c r="M101" s="705"/>
      <c r="N101" s="702">
        <f>R.HN!D110</f>
        <v>0</v>
      </c>
      <c r="O101" s="338">
        <f>'R.GUI MAIL'!AF31</f>
        <v>0</v>
      </c>
      <c r="P101" s="703"/>
      <c r="Q101" s="704"/>
      <c r="R101" s="1299">
        <f>'R.GUI MAIL'!AI31</f>
        <v>0</v>
      </c>
      <c r="S101" s="705"/>
      <c r="T101" s="702"/>
      <c r="U101" s="338">
        <f>'R.GUI MAIL'!AF47</f>
        <v>0</v>
      </c>
      <c r="V101" s="338"/>
      <c r="W101" s="1310"/>
      <c r="X101" s="1299"/>
      <c r="Y101" s="1309"/>
    </row>
    <row r="102" spans="1:25" ht="33.75" customHeight="1">
      <c r="A102" s="721"/>
      <c r="B102" s="722"/>
      <c r="C102" s="722"/>
      <c r="D102" s="722"/>
      <c r="E102" s="722" t="s">
        <v>2</v>
      </c>
      <c r="F102" s="722"/>
      <c r="G102" s="722"/>
      <c r="H102" s="722"/>
      <c r="I102" s="722"/>
      <c r="J102" s="722"/>
      <c r="K102" s="722"/>
      <c r="L102" s="722"/>
      <c r="M102" s="722"/>
      <c r="N102" s="722"/>
      <c r="O102" s="722"/>
      <c r="P102" s="722"/>
      <c r="Q102" s="722"/>
      <c r="R102" s="722"/>
      <c r="S102" s="722"/>
      <c r="T102" s="722"/>
      <c r="U102" s="722"/>
      <c r="V102" s="722"/>
      <c r="W102" s="722"/>
      <c r="X102" s="722"/>
      <c r="Y102" s="1306"/>
    </row>
    <row r="103" spans="1:25" ht="33.75" customHeight="1">
      <c r="A103" s="723" t="s">
        <v>57</v>
      </c>
      <c r="B103" s="2700" t="s">
        <v>789</v>
      </c>
      <c r="C103" s="2701"/>
      <c r="D103" s="2702"/>
      <c r="E103" s="724" t="s">
        <v>790</v>
      </c>
      <c r="F103" s="724" t="s">
        <v>791</v>
      </c>
      <c r="G103" s="725" t="s">
        <v>782</v>
      </c>
      <c r="H103" s="726"/>
      <c r="I103" s="2703" t="s">
        <v>48</v>
      </c>
      <c r="J103" s="2705"/>
      <c r="K103" s="2705"/>
      <c r="L103" s="2705" t="s">
        <v>65</v>
      </c>
      <c r="M103" s="2706"/>
      <c r="N103" s="691"/>
      <c r="O103" s="2703" t="s">
        <v>48</v>
      </c>
      <c r="P103" s="2705"/>
      <c r="Q103" s="2705"/>
      <c r="R103" s="2705" t="s">
        <v>65</v>
      </c>
      <c r="S103" s="2706"/>
      <c r="T103" s="691"/>
      <c r="U103" s="2703" t="s">
        <v>48</v>
      </c>
      <c r="V103" s="2704"/>
      <c r="W103" s="2704"/>
      <c r="X103" s="2705" t="s">
        <v>65</v>
      </c>
      <c r="Y103" s="2706"/>
    </row>
    <row r="104" spans="1:25" ht="33.75" customHeight="1">
      <c r="A104" s="723">
        <v>1</v>
      </c>
      <c r="B104" s="2700" t="s">
        <v>792</v>
      </c>
      <c r="C104" s="2701"/>
      <c r="D104" s="2702"/>
      <c r="E104" s="727" t="s">
        <v>793</v>
      </c>
      <c r="F104" s="719" t="s">
        <v>1187</v>
      </c>
      <c r="G104" s="725"/>
      <c r="H104" s="726"/>
      <c r="I104" s="1862"/>
      <c r="J104" s="1863"/>
      <c r="K104" s="1863"/>
      <c r="L104" s="1859"/>
      <c r="M104" s="1860"/>
      <c r="N104" s="1861"/>
      <c r="O104" s="2678">
        <f>'R.GUI MAIL'!AF34</f>
        <v>0</v>
      </c>
      <c r="P104" s="2678"/>
      <c r="Q104" s="2678"/>
      <c r="R104" s="2678">
        <f>'R.GUI MAIL'!AI34</f>
        <v>0</v>
      </c>
      <c r="S104" s="2678"/>
      <c r="T104" s="2678"/>
      <c r="U104" s="2678">
        <f>'R.GUI MAIL'!AF50</f>
        <v>0</v>
      </c>
      <c r="V104" s="2678"/>
      <c r="W104" s="2678"/>
      <c r="X104" s="2678">
        <f>'R.GUI MAIL'!AI50</f>
        <v>0</v>
      </c>
      <c r="Y104" s="2678"/>
    </row>
    <row r="105" spans="1:25" ht="33.75" customHeight="1">
      <c r="A105" s="723">
        <v>2</v>
      </c>
      <c r="B105" s="2700" t="s">
        <v>794</v>
      </c>
      <c r="C105" s="2701"/>
      <c r="D105" s="2702"/>
      <c r="E105" s="727" t="s">
        <v>793</v>
      </c>
      <c r="F105" s="719" t="s">
        <v>795</v>
      </c>
      <c r="G105" s="728" t="e">
        <f>'[6]file goc'!G180</f>
        <v>#REF!</v>
      </c>
      <c r="H105" s="728"/>
      <c r="I105" s="2676">
        <f>'R.GUI MAIL'!AF18</f>
        <v>0</v>
      </c>
      <c r="J105" s="2677"/>
      <c r="K105" s="2677"/>
      <c r="L105" s="2676">
        <f>'R.GUI MAIL'!AI18</f>
        <v>0</v>
      </c>
      <c r="M105" s="2677"/>
      <c r="N105" s="1813"/>
      <c r="O105" s="2676">
        <f>'R.GUI MAIL'!AF35</f>
        <v>0</v>
      </c>
      <c r="P105" s="2677"/>
      <c r="Q105" s="2677"/>
      <c r="R105" s="2676">
        <f>'R.GUI MAIL'!AI35</f>
        <v>0</v>
      </c>
      <c r="S105" s="2697"/>
      <c r="T105" s="1861"/>
      <c r="U105" s="2676">
        <f>'R.GUI MAIL'!AF51</f>
        <v>0</v>
      </c>
      <c r="V105" s="2677"/>
      <c r="W105" s="2697"/>
      <c r="X105" s="2676">
        <f>'R.GUI MAIL'!AI51</f>
        <v>0</v>
      </c>
      <c r="Y105" s="2697"/>
    </row>
    <row r="106" spans="1:25" ht="33.75" hidden="1" customHeight="1">
      <c r="A106" s="723">
        <v>3</v>
      </c>
      <c r="B106" s="2700" t="s">
        <v>796</v>
      </c>
      <c r="C106" s="2701"/>
      <c r="D106" s="2702"/>
      <c r="E106" s="727" t="s">
        <v>793</v>
      </c>
      <c r="F106" s="719" t="s">
        <v>795</v>
      </c>
      <c r="G106" s="729" t="e">
        <f>'[6]file goc'!G181</f>
        <v>#REF!</v>
      </c>
      <c r="H106" s="728"/>
      <c r="I106" s="2676">
        <f>'R.GUI MAIL'!AF19</f>
        <v>0</v>
      </c>
      <c r="J106" s="2677"/>
      <c r="K106" s="2677"/>
      <c r="L106" s="2676">
        <f>'R.GUI MAIL'!AI19</f>
        <v>0</v>
      </c>
      <c r="M106" s="2697"/>
      <c r="N106" s="1861"/>
      <c r="O106" s="1862"/>
      <c r="P106" s="1863"/>
      <c r="Q106" s="1863"/>
      <c r="R106" s="1864"/>
      <c r="S106" s="1865"/>
      <c r="T106" s="1861"/>
      <c r="U106" s="1866"/>
      <c r="V106" s="1866"/>
      <c r="W106" s="1866"/>
      <c r="X106" s="1866"/>
      <c r="Y106" s="1866"/>
    </row>
    <row r="107" spans="1:25" ht="33.75" customHeight="1">
      <c r="A107" s="723">
        <v>6</v>
      </c>
      <c r="B107" s="2700" t="s">
        <v>797</v>
      </c>
      <c r="C107" s="2701"/>
      <c r="D107" s="2702"/>
      <c r="E107" s="727" t="s">
        <v>793</v>
      </c>
      <c r="F107" s="719" t="s">
        <v>798</v>
      </c>
      <c r="G107" s="729" t="e">
        <f>'[6]file goc'!G184</f>
        <v>#REF!</v>
      </c>
      <c r="H107" s="728"/>
      <c r="I107" s="2676">
        <f>'R.GUI MAIL'!AF20</f>
        <v>0</v>
      </c>
      <c r="J107" s="2677"/>
      <c r="K107" s="2677"/>
      <c r="L107" s="2676">
        <f>'R.GUI MAIL'!AI20</f>
        <v>0</v>
      </c>
      <c r="M107" s="2697"/>
      <c r="N107" s="1861"/>
      <c r="O107" s="2676">
        <f>'R.GUI MAIL'!AF36</f>
        <v>0</v>
      </c>
      <c r="P107" s="2677"/>
      <c r="Q107" s="2677"/>
      <c r="R107" s="2676">
        <f>'R.GUI MAIL'!AI36</f>
        <v>0</v>
      </c>
      <c r="S107" s="2697"/>
      <c r="T107" s="1861"/>
      <c r="U107" s="2676">
        <f>'R.GUI MAIL'!AF52</f>
        <v>0</v>
      </c>
      <c r="V107" s="2677"/>
      <c r="W107" s="2697"/>
      <c r="X107" s="2676">
        <f>'R.GUI MAIL'!AI52</f>
        <v>0</v>
      </c>
      <c r="Y107" s="2697"/>
    </row>
    <row r="108" spans="1:25" ht="26.25" customHeight="1">
      <c r="A108" s="2722" t="s">
        <v>423</v>
      </c>
      <c r="B108" s="2723"/>
      <c r="C108" s="1611"/>
      <c r="D108" s="1611"/>
      <c r="E108" s="2724" t="str">
        <f>$E$3</f>
        <v>2023/03/21</v>
      </c>
      <c r="F108" s="2725"/>
      <c r="G108" s="730"/>
      <c r="H108" s="731"/>
      <c r="I108" s="686"/>
      <c r="J108" s="686"/>
      <c r="K108" s="686"/>
      <c r="L108" s="686"/>
      <c r="M108" s="686"/>
      <c r="N108" s="686"/>
      <c r="O108" s="686" t="s">
        <v>778</v>
      </c>
      <c r="P108" s="686"/>
      <c r="Q108" s="686"/>
      <c r="R108" s="686"/>
      <c r="S108" s="686"/>
      <c r="T108" s="686"/>
      <c r="U108" s="686"/>
      <c r="V108" s="686"/>
      <c r="W108" s="686"/>
      <c r="X108" s="686"/>
      <c r="Y108" s="687"/>
    </row>
    <row r="109" spans="1:25" ht="27" customHeight="1">
      <c r="A109" s="2726" t="s">
        <v>7</v>
      </c>
      <c r="B109" s="2253" t="s">
        <v>779</v>
      </c>
      <c r="C109" s="2254"/>
      <c r="D109" s="2729"/>
      <c r="E109" s="2734" t="s">
        <v>780</v>
      </c>
      <c r="F109" s="2737" t="s">
        <v>781</v>
      </c>
      <c r="G109" s="689"/>
      <c r="H109" s="690"/>
      <c r="I109" s="2740" t="s">
        <v>782</v>
      </c>
      <c r="J109" s="2741"/>
      <c r="K109" s="2741"/>
      <c r="L109" s="2741"/>
      <c r="M109" s="2741"/>
      <c r="N109" s="691"/>
      <c r="O109" s="2740" t="s">
        <v>1401</v>
      </c>
      <c r="P109" s="2741"/>
      <c r="Q109" s="2741"/>
      <c r="R109" s="2741"/>
      <c r="S109" s="2741"/>
      <c r="T109" s="691"/>
      <c r="U109" s="2740" t="s">
        <v>1402</v>
      </c>
      <c r="V109" s="2741"/>
      <c r="W109" s="2741"/>
      <c r="X109" s="2741"/>
      <c r="Y109" s="2741"/>
    </row>
    <row r="110" spans="1:25" ht="17.25">
      <c r="A110" s="2727"/>
      <c r="B110" s="2730"/>
      <c r="C110" s="2731"/>
      <c r="D110" s="2732"/>
      <c r="E110" s="2735"/>
      <c r="F110" s="2738"/>
      <c r="G110" s="692" t="s">
        <v>457</v>
      </c>
      <c r="H110" s="693"/>
      <c r="I110" s="2716" t="s">
        <v>783</v>
      </c>
      <c r="J110" s="695" t="s">
        <v>784</v>
      </c>
      <c r="K110" s="2718" t="s">
        <v>1</v>
      </c>
      <c r="L110" s="2718"/>
      <c r="M110" s="2719"/>
      <c r="N110" s="694"/>
      <c r="O110" s="2716" t="s">
        <v>783</v>
      </c>
      <c r="P110" s="695" t="s">
        <v>784</v>
      </c>
      <c r="Q110" s="2718" t="s">
        <v>1</v>
      </c>
      <c r="R110" s="2718"/>
      <c r="S110" s="2719"/>
      <c r="T110" s="693"/>
      <c r="U110" s="2716" t="s">
        <v>783</v>
      </c>
      <c r="V110" s="695" t="s">
        <v>784</v>
      </c>
      <c r="W110" s="2718" t="s">
        <v>1</v>
      </c>
      <c r="X110" s="2718"/>
      <c r="Y110" s="2719"/>
    </row>
    <row r="111" spans="1:25" ht="17.25">
      <c r="A111" s="2728"/>
      <c r="B111" s="2255"/>
      <c r="C111" s="2256"/>
      <c r="D111" s="2733"/>
      <c r="E111" s="2736"/>
      <c r="F111" s="2739"/>
      <c r="G111" s="692"/>
      <c r="H111" s="693"/>
      <c r="I111" s="2717"/>
      <c r="J111" s="696"/>
      <c r="K111" s="2720"/>
      <c r="L111" s="2720"/>
      <c r="M111" s="2721"/>
      <c r="N111" s="694"/>
      <c r="O111" s="2717"/>
      <c r="P111" s="696"/>
      <c r="Q111" s="2720"/>
      <c r="R111" s="2720"/>
      <c r="S111" s="2721"/>
      <c r="T111" s="693"/>
      <c r="U111" s="2717"/>
      <c r="V111" s="696"/>
      <c r="W111" s="2720"/>
      <c r="X111" s="2720"/>
      <c r="Y111" s="2721"/>
    </row>
    <row r="112" spans="1:25" ht="33.75" customHeight="1">
      <c r="A112" s="697">
        <v>1</v>
      </c>
      <c r="B112" s="2700" t="s">
        <v>785</v>
      </c>
      <c r="C112" s="2701"/>
      <c r="D112" s="2702"/>
      <c r="E112" s="698" t="s">
        <v>466</v>
      </c>
      <c r="F112" s="699" t="s">
        <v>771</v>
      </c>
      <c r="G112" s="700">
        <v>40</v>
      </c>
      <c r="H112" s="701">
        <f>R.HN!C117</f>
        <v>0</v>
      </c>
      <c r="I112" s="707"/>
      <c r="J112" s="716"/>
      <c r="K112" s="717"/>
      <c r="L112" s="1298"/>
      <c r="M112" s="718"/>
      <c r="N112" s="702">
        <f>R.HN!D117</f>
        <v>0</v>
      </c>
      <c r="O112" s="338">
        <f>'R.GUI MAIL'!AL25</f>
        <v>0</v>
      </c>
      <c r="P112" s="703"/>
      <c r="Q112" s="704" t="s">
        <v>8</v>
      </c>
      <c r="R112" s="1299">
        <f>'R.GUI MAIL'!AO25</f>
        <v>0</v>
      </c>
      <c r="S112" s="705" t="s">
        <v>9</v>
      </c>
      <c r="T112" s="702"/>
      <c r="U112" s="338">
        <f>'R.GUI MAIL'!AL41</f>
        <v>0</v>
      </c>
      <c r="V112" s="703"/>
      <c r="W112" s="704" t="s">
        <v>8</v>
      </c>
      <c r="X112" s="1300">
        <f>'R.GUI MAIL'!AO41</f>
        <v>0</v>
      </c>
      <c r="Y112" s="705" t="s">
        <v>9</v>
      </c>
    </row>
    <row r="113" spans="1:25" ht="33.75" customHeight="1">
      <c r="A113" s="697">
        <v>2</v>
      </c>
      <c r="B113" s="2700" t="s">
        <v>460</v>
      </c>
      <c r="C113" s="2701"/>
      <c r="D113" s="2702"/>
      <c r="E113" s="706" t="s">
        <v>3</v>
      </c>
      <c r="F113" s="699" t="s">
        <v>461</v>
      </c>
      <c r="G113" s="700">
        <v>22</v>
      </c>
      <c r="H113" s="701">
        <f>R.HN!C118</f>
        <v>0</v>
      </c>
      <c r="I113" s="338">
        <f>'R.GUI MAIL'!AL6</f>
        <v>0</v>
      </c>
      <c r="J113" s="703"/>
      <c r="K113" s="704" t="s">
        <v>8</v>
      </c>
      <c r="L113" s="1299">
        <f>'R.GUI MAIL'!AO6</f>
        <v>0</v>
      </c>
      <c r="M113" s="1309" t="s">
        <v>10</v>
      </c>
      <c r="N113" s="702">
        <f>R.HN!D118</f>
        <v>0</v>
      </c>
      <c r="O113" s="338">
        <f>'R.GUI MAIL'!AL26</f>
        <v>0</v>
      </c>
      <c r="P113" s="703"/>
      <c r="Q113" s="704" t="s">
        <v>8</v>
      </c>
      <c r="R113" s="1299">
        <f>'R.GUI MAIL'!AO26</f>
        <v>0</v>
      </c>
      <c r="S113" s="705" t="s">
        <v>10</v>
      </c>
      <c r="T113" s="702"/>
      <c r="U113" s="338">
        <f>'R.GUI MAIL'!AL42</f>
        <v>0</v>
      </c>
      <c r="V113" s="338"/>
      <c r="W113" s="1310" t="s">
        <v>8</v>
      </c>
      <c r="X113" s="1299">
        <f>'R.GUI MAIL'!AO42</f>
        <v>0</v>
      </c>
      <c r="Y113" s="1309" t="s">
        <v>10</v>
      </c>
    </row>
    <row r="114" spans="1:25" ht="33.75" hidden="1" customHeight="1">
      <c r="A114" s="697">
        <v>3</v>
      </c>
      <c r="B114" s="2707" t="s">
        <v>424</v>
      </c>
      <c r="C114" s="2708"/>
      <c r="D114" s="2709"/>
      <c r="E114" s="706" t="s">
        <v>3</v>
      </c>
      <c r="F114" s="699" t="s">
        <v>461</v>
      </c>
      <c r="G114" s="700"/>
      <c r="H114" s="701"/>
      <c r="I114" s="1253">
        <f>'R.GUI MAIL'!AL7</f>
        <v>0</v>
      </c>
      <c r="J114" s="703"/>
      <c r="K114" s="704" t="s">
        <v>8</v>
      </c>
      <c r="L114" s="1299">
        <f>'R.GUI MAIL'!AO7</f>
        <v>292.1875</v>
      </c>
      <c r="M114" s="1309" t="s">
        <v>10</v>
      </c>
      <c r="N114" s="702"/>
      <c r="O114" s="707"/>
      <c r="P114" s="707"/>
      <c r="Q114" s="708"/>
      <c r="R114" s="1298"/>
      <c r="S114" s="709"/>
      <c r="T114" s="710"/>
      <c r="U114" s="1253">
        <f>'R.GUI MAIL'!AL42</f>
        <v>0</v>
      </c>
      <c r="V114" s="338"/>
      <c r="W114" s="1310" t="s">
        <v>8</v>
      </c>
      <c r="X114" s="1299">
        <f>'R.GUI MAIL'!AO42</f>
        <v>0</v>
      </c>
      <c r="Y114" s="1309" t="s">
        <v>10</v>
      </c>
    </row>
    <row r="115" spans="1:25" ht="33.75" customHeight="1">
      <c r="A115" s="697">
        <v>4</v>
      </c>
      <c r="B115" s="2713" t="s">
        <v>786</v>
      </c>
      <c r="C115" s="1301" t="s">
        <v>787</v>
      </c>
      <c r="D115" s="1302">
        <f>R.HN!$C$12</f>
        <v>3</v>
      </c>
      <c r="E115" s="2715" t="s">
        <v>466</v>
      </c>
      <c r="F115" s="699" t="s">
        <v>773</v>
      </c>
      <c r="G115" s="700">
        <v>50</v>
      </c>
      <c r="H115" s="701">
        <f>R.HN!C119</f>
        <v>0</v>
      </c>
      <c r="I115" s="338">
        <f>'R.GUI MAIL'!AL8</f>
        <v>0</v>
      </c>
      <c r="J115" s="703"/>
      <c r="K115" s="704" t="s">
        <v>8</v>
      </c>
      <c r="L115" s="1299">
        <f>'R.GUI MAIL'!AO8</f>
        <v>0</v>
      </c>
      <c r="M115" s="1309" t="s">
        <v>9</v>
      </c>
      <c r="N115" s="702">
        <f>R.HN!D119</f>
        <v>0</v>
      </c>
      <c r="O115" s="338">
        <f>'R.GUI MAIL'!AL27</f>
        <v>0</v>
      </c>
      <c r="P115" s="703"/>
      <c r="Q115" s="704" t="s">
        <v>8</v>
      </c>
      <c r="R115" s="1299">
        <f>'R.GUI MAIL'!AO27</f>
        <v>0</v>
      </c>
      <c r="S115" s="705" t="s">
        <v>9</v>
      </c>
      <c r="T115" s="702"/>
      <c r="U115" s="338">
        <f>'R.GUI MAIL'!AL43</f>
        <v>0</v>
      </c>
      <c r="V115" s="338"/>
      <c r="W115" s="1310" t="s">
        <v>8</v>
      </c>
      <c r="X115" s="1299">
        <f>'R.GUI MAIL'!AO43</f>
        <v>0</v>
      </c>
      <c r="Y115" s="1309" t="s">
        <v>9</v>
      </c>
    </row>
    <row r="116" spans="1:25" ht="33.75" customHeight="1">
      <c r="A116" s="697">
        <v>5</v>
      </c>
      <c r="B116" s="2714"/>
      <c r="C116" s="1303"/>
      <c r="D116" s="1304"/>
      <c r="E116" s="2715"/>
      <c r="F116" s="699" t="s">
        <v>769</v>
      </c>
      <c r="G116" s="711">
        <v>6</v>
      </c>
      <c r="H116" s="701">
        <f>R.HN!C120</f>
        <v>0</v>
      </c>
      <c r="I116" s="338">
        <f>'R.GUI MAIL'!AL9</f>
        <v>0</v>
      </c>
      <c r="J116" s="703"/>
      <c r="K116" s="704" t="s">
        <v>8</v>
      </c>
      <c r="L116" s="1299">
        <f>'R.GUI MAIL'!AO9</f>
        <v>0</v>
      </c>
      <c r="M116" s="1309" t="s">
        <v>9</v>
      </c>
      <c r="N116" s="702">
        <f>R.HN!D120</f>
        <v>0</v>
      </c>
      <c r="O116" s="338">
        <f>'R.GUI MAIL'!AL28</f>
        <v>0</v>
      </c>
      <c r="P116" s="703"/>
      <c r="Q116" s="704"/>
      <c r="R116" s="1299">
        <f>'R.GUI MAIL'!AO28</f>
        <v>0</v>
      </c>
      <c r="S116" s="705" t="s">
        <v>9</v>
      </c>
      <c r="T116" s="702"/>
      <c r="U116" s="338">
        <f>'R.GUI MAIL'!AL44</f>
        <v>0</v>
      </c>
      <c r="V116" s="338"/>
      <c r="W116" s="1310"/>
      <c r="X116" s="1299">
        <f>'R.GUI MAIL'!AO44</f>
        <v>0</v>
      </c>
      <c r="Y116" s="1309" t="s">
        <v>9</v>
      </c>
    </row>
    <row r="117" spans="1:25" ht="33.75" customHeight="1">
      <c r="A117" s="697">
        <v>6</v>
      </c>
      <c r="B117" s="2714"/>
      <c r="C117" s="1303"/>
      <c r="D117" s="1304"/>
      <c r="E117" s="2715"/>
      <c r="F117" s="699" t="s">
        <v>651</v>
      </c>
      <c r="G117" s="711">
        <v>0.4</v>
      </c>
      <c r="H117" s="701">
        <f>R.HN!C121</f>
        <v>0</v>
      </c>
      <c r="I117" s="463">
        <f>'R.GUI MAIL'!AL10</f>
        <v>0</v>
      </c>
      <c r="J117" s="703"/>
      <c r="K117" s="704" t="s">
        <v>8</v>
      </c>
      <c r="L117" s="1299">
        <f>'R.GUI MAIL'!AO10</f>
        <v>0</v>
      </c>
      <c r="M117" s="1309" t="s">
        <v>9</v>
      </c>
      <c r="N117" s="702">
        <f>R.HN!D121</f>
        <v>0</v>
      </c>
      <c r="O117" s="463">
        <f>'R.GUI MAIL'!AL29</f>
        <v>0</v>
      </c>
      <c r="P117" s="703"/>
      <c r="Q117" s="704"/>
      <c r="R117" s="1299">
        <f>'R.GUI MAIL'!AO29</f>
        <v>0</v>
      </c>
      <c r="S117" s="705" t="s">
        <v>9</v>
      </c>
      <c r="T117" s="702"/>
      <c r="U117" s="463">
        <f>'R.GUI MAIL'!AL45</f>
        <v>0</v>
      </c>
      <c r="V117" s="338"/>
      <c r="W117" s="1310"/>
      <c r="X117" s="1299">
        <f>'R.GUI MAIL'!AO45</f>
        <v>0</v>
      </c>
      <c r="Y117" s="1309" t="s">
        <v>9</v>
      </c>
    </row>
    <row r="118" spans="1:25" ht="33.75" hidden="1" customHeight="1">
      <c r="A118" s="697">
        <v>7</v>
      </c>
      <c r="B118" s="2713" t="s">
        <v>786</v>
      </c>
      <c r="C118" s="1301" t="s">
        <v>787</v>
      </c>
      <c r="D118" s="1302">
        <f>R.HN!$C$13</f>
        <v>4</v>
      </c>
      <c r="E118" s="2715" t="s">
        <v>466</v>
      </c>
      <c r="F118" s="699" t="s">
        <v>773</v>
      </c>
      <c r="G118" s="700">
        <v>50</v>
      </c>
      <c r="H118" s="701">
        <f>R.HN!C122</f>
        <v>0</v>
      </c>
      <c r="I118" s="338">
        <f>'R.GUI MAIL'!AL11</f>
        <v>0</v>
      </c>
      <c r="J118" s="728"/>
      <c r="K118" s="704" t="s">
        <v>8</v>
      </c>
      <c r="L118" s="1299">
        <f>'R.GUI MAIL'!AO11</f>
        <v>0</v>
      </c>
      <c r="M118" s="1309" t="s">
        <v>9</v>
      </c>
      <c r="N118" s="702">
        <f>R.HN!D122</f>
        <v>0</v>
      </c>
      <c r="O118" s="707"/>
      <c r="P118" s="716"/>
      <c r="Q118" s="717"/>
      <c r="R118" s="1298"/>
      <c r="S118" s="718"/>
      <c r="T118" s="715"/>
      <c r="U118" s="707"/>
      <c r="V118" s="707"/>
      <c r="W118" s="708"/>
      <c r="X118" s="1298"/>
      <c r="Y118" s="709"/>
    </row>
    <row r="119" spans="1:25" ht="33.75" hidden="1" customHeight="1">
      <c r="A119" s="697">
        <v>8</v>
      </c>
      <c r="B119" s="2714"/>
      <c r="C119" s="1303"/>
      <c r="D119" s="1304"/>
      <c r="E119" s="2715"/>
      <c r="F119" s="699" t="s">
        <v>769</v>
      </c>
      <c r="G119" s="711">
        <v>6</v>
      </c>
      <c r="H119" s="701">
        <f>R.HN!C123</f>
        <v>0</v>
      </c>
      <c r="I119" s="338">
        <f>'R.GUI MAIL'!AL12</f>
        <v>0</v>
      </c>
      <c r="J119" s="703"/>
      <c r="K119" s="704" t="s">
        <v>8</v>
      </c>
      <c r="L119" s="1299">
        <f>'R.GUI MAIL'!AO12</f>
        <v>0</v>
      </c>
      <c r="M119" s="1309" t="s">
        <v>9</v>
      </c>
      <c r="N119" s="702">
        <f>R.HN!D123</f>
        <v>0</v>
      </c>
      <c r="O119" s="707"/>
      <c r="P119" s="716"/>
      <c r="Q119" s="717"/>
      <c r="R119" s="1298"/>
      <c r="S119" s="718"/>
      <c r="T119" s="702"/>
      <c r="U119" s="707"/>
      <c r="V119" s="707"/>
      <c r="W119" s="708"/>
      <c r="X119" s="1298"/>
      <c r="Y119" s="709"/>
    </row>
    <row r="120" spans="1:25" ht="33.75" hidden="1" customHeight="1">
      <c r="A120" s="697">
        <v>9</v>
      </c>
      <c r="B120" s="2714"/>
      <c r="C120" s="1303"/>
      <c r="D120" s="1304"/>
      <c r="E120" s="2715"/>
      <c r="F120" s="699" t="s">
        <v>651</v>
      </c>
      <c r="G120" s="711">
        <v>0.4</v>
      </c>
      <c r="H120" s="701">
        <f>R.HN!C124</f>
        <v>0</v>
      </c>
      <c r="I120" s="463">
        <f>'R.GUI MAIL'!AL13</f>
        <v>0</v>
      </c>
      <c r="J120" s="728"/>
      <c r="K120" s="704" t="s">
        <v>8</v>
      </c>
      <c r="L120" s="1299">
        <f>'R.GUI MAIL'!AO13</f>
        <v>0</v>
      </c>
      <c r="M120" s="1309" t="s">
        <v>9</v>
      </c>
      <c r="N120" s="702">
        <f>R.HN!D124</f>
        <v>0</v>
      </c>
      <c r="O120" s="716"/>
      <c r="P120" s="716"/>
      <c r="Q120" s="717"/>
      <c r="R120" s="1298"/>
      <c r="S120" s="718"/>
      <c r="T120" s="715"/>
      <c r="U120" s="716"/>
      <c r="V120" s="716"/>
      <c r="W120" s="717"/>
      <c r="X120" s="1298"/>
      <c r="Y120" s="718"/>
    </row>
    <row r="121" spans="1:25" ht="33.75" customHeight="1">
      <c r="A121" s="697">
        <v>10</v>
      </c>
      <c r="B121" s="2707" t="s">
        <v>788</v>
      </c>
      <c r="C121" s="2708"/>
      <c r="D121" s="2709"/>
      <c r="E121" s="697" t="s">
        <v>466</v>
      </c>
      <c r="F121" s="719" t="s">
        <v>476</v>
      </c>
      <c r="G121" s="711">
        <v>2</v>
      </c>
      <c r="H121" s="701">
        <f>R.HN!C131</f>
        <v>0</v>
      </c>
      <c r="I121" s="338">
        <f>'R.GUI MAIL'!AL14</f>
        <v>0</v>
      </c>
      <c r="J121" s="703"/>
      <c r="K121" s="704" t="s">
        <v>8</v>
      </c>
      <c r="L121" s="1307">
        <f>'R.GUI MAIL'!AO14</f>
        <v>0</v>
      </c>
      <c r="M121" s="1309" t="s">
        <v>9</v>
      </c>
      <c r="N121" s="702">
        <f>R.HN!D131</f>
        <v>0</v>
      </c>
      <c r="O121" s="338">
        <f>'R.GUI MAIL'!AL30</f>
        <v>0</v>
      </c>
      <c r="P121" s="703"/>
      <c r="Q121" s="704" t="s">
        <v>8</v>
      </c>
      <c r="R121" s="1299">
        <f>'R.GUI MAIL'!AO30</f>
        <v>0</v>
      </c>
      <c r="S121" s="705" t="s">
        <v>9</v>
      </c>
      <c r="T121" s="702"/>
      <c r="U121" s="338">
        <f>'R.GUI MAIL'!AL46</f>
        <v>0</v>
      </c>
      <c r="V121" s="338"/>
      <c r="W121" s="1310" t="s">
        <v>8</v>
      </c>
      <c r="X121" s="1299">
        <f>'R.GUI MAIL'!AO46</f>
        <v>0</v>
      </c>
      <c r="Y121" s="1309" t="s">
        <v>9</v>
      </c>
    </row>
    <row r="122" spans="1:25" ht="33.75" customHeight="1">
      <c r="A122" s="697">
        <v>11</v>
      </c>
      <c r="B122" s="2710"/>
      <c r="C122" s="2711"/>
      <c r="D122" s="2712"/>
      <c r="E122" s="697" t="s">
        <v>5</v>
      </c>
      <c r="F122" s="1305" t="s">
        <v>657</v>
      </c>
      <c r="G122" s="720">
        <v>9</v>
      </c>
      <c r="H122" s="701">
        <f>R.HN!C132</f>
        <v>0</v>
      </c>
      <c r="I122" s="338">
        <f>'R.GUI MAIL'!AL15</f>
        <v>0</v>
      </c>
      <c r="J122" s="703"/>
      <c r="K122" s="704"/>
      <c r="L122" s="1299"/>
      <c r="M122" s="705"/>
      <c r="N122" s="702">
        <f>R.HN!D132</f>
        <v>0</v>
      </c>
      <c r="O122" s="338">
        <f>'R.GUI MAIL'!AL31</f>
        <v>0</v>
      </c>
      <c r="P122" s="703"/>
      <c r="Q122" s="704"/>
      <c r="R122" s="1299"/>
      <c r="S122" s="705"/>
      <c r="T122" s="702"/>
      <c r="U122" s="338">
        <f>'R.GUI MAIL'!AL47</f>
        <v>0</v>
      </c>
      <c r="V122" s="338"/>
      <c r="W122" s="1310"/>
      <c r="X122" s="1299"/>
      <c r="Y122" s="1309"/>
    </row>
    <row r="123" spans="1:25" ht="33.75" customHeight="1">
      <c r="A123" s="721"/>
      <c r="B123" s="722"/>
      <c r="C123" s="722"/>
      <c r="D123" s="722"/>
      <c r="E123" s="722" t="s">
        <v>2</v>
      </c>
      <c r="F123" s="722"/>
      <c r="G123" s="722"/>
      <c r="H123" s="722"/>
      <c r="I123" s="722"/>
      <c r="J123" s="722"/>
      <c r="K123" s="722"/>
      <c r="L123" s="722"/>
      <c r="M123" s="722"/>
      <c r="N123" s="722"/>
      <c r="O123" s="722"/>
      <c r="P123" s="722"/>
      <c r="Q123" s="722"/>
      <c r="R123" s="722"/>
      <c r="S123" s="722"/>
      <c r="T123" s="722"/>
      <c r="U123" s="722"/>
      <c r="V123" s="722"/>
      <c r="W123" s="722"/>
      <c r="X123" s="722"/>
      <c r="Y123" s="1306"/>
    </row>
    <row r="124" spans="1:25" ht="33.75" customHeight="1">
      <c r="A124" s="723" t="s">
        <v>57</v>
      </c>
      <c r="B124" s="2700" t="s">
        <v>789</v>
      </c>
      <c r="C124" s="2701"/>
      <c r="D124" s="2702"/>
      <c r="E124" s="724" t="s">
        <v>790</v>
      </c>
      <c r="F124" s="724" t="s">
        <v>791</v>
      </c>
      <c r="G124" s="725" t="s">
        <v>782</v>
      </c>
      <c r="H124" s="726"/>
      <c r="I124" s="2703" t="s">
        <v>48</v>
      </c>
      <c r="J124" s="2704"/>
      <c r="K124" s="2704"/>
      <c r="L124" s="2705" t="s">
        <v>65</v>
      </c>
      <c r="M124" s="2706"/>
      <c r="N124" s="691"/>
      <c r="O124" s="2703" t="s">
        <v>48</v>
      </c>
      <c r="P124" s="2704"/>
      <c r="Q124" s="2704"/>
      <c r="R124" s="2705" t="s">
        <v>65</v>
      </c>
      <c r="S124" s="2706"/>
      <c r="T124" s="691"/>
      <c r="U124" s="2703" t="s">
        <v>48</v>
      </c>
      <c r="V124" s="2704"/>
      <c r="W124" s="2704"/>
      <c r="X124" s="2705" t="s">
        <v>65</v>
      </c>
      <c r="Y124" s="2706"/>
    </row>
    <row r="125" spans="1:25" ht="33.75" customHeight="1">
      <c r="A125" s="723">
        <v>1</v>
      </c>
      <c r="B125" s="2700" t="s">
        <v>792</v>
      </c>
      <c r="C125" s="2701"/>
      <c r="D125" s="2702"/>
      <c r="E125" s="727" t="s">
        <v>793</v>
      </c>
      <c r="F125" s="719" t="s">
        <v>1187</v>
      </c>
      <c r="G125" s="725"/>
      <c r="H125" s="726"/>
      <c r="I125" s="1862"/>
      <c r="J125" s="1863"/>
      <c r="K125" s="1863"/>
      <c r="L125" s="1859"/>
      <c r="M125" s="1860"/>
      <c r="N125" s="1861"/>
      <c r="O125" s="2678">
        <f>'R.GUI MAIL'!AL34</f>
        <v>0</v>
      </c>
      <c r="P125" s="2678"/>
      <c r="Q125" s="2678"/>
      <c r="R125" s="2678">
        <f>'R.GUI MAIL'!AO34</f>
        <v>0</v>
      </c>
      <c r="S125" s="2678"/>
      <c r="T125" s="2678"/>
      <c r="U125" s="2678">
        <f>'R.GUI MAIL'!AL50</f>
        <v>0</v>
      </c>
      <c r="V125" s="2678"/>
      <c r="W125" s="2678"/>
      <c r="X125" s="2678">
        <f>'R.GUI MAIL'!AO50</f>
        <v>0</v>
      </c>
      <c r="Y125" s="2678"/>
    </row>
    <row r="126" spans="1:25" ht="33.75" customHeight="1">
      <c r="A126" s="723">
        <v>2</v>
      </c>
      <c r="B126" s="2700" t="s">
        <v>794</v>
      </c>
      <c r="C126" s="2701"/>
      <c r="D126" s="2702"/>
      <c r="E126" s="727" t="s">
        <v>793</v>
      </c>
      <c r="F126" s="719" t="s">
        <v>795</v>
      </c>
      <c r="G126" s="728" t="e">
        <f>'[6]file goc'!G202</f>
        <v>#REF!</v>
      </c>
      <c r="H126" s="728"/>
      <c r="I126" s="2676">
        <f>'R.GUI MAIL'!AL18</f>
        <v>0</v>
      </c>
      <c r="J126" s="2677"/>
      <c r="K126" s="2677"/>
      <c r="L126" s="2676">
        <f>'R.GUI MAIL'!AO18</f>
        <v>0</v>
      </c>
      <c r="M126" s="2677"/>
      <c r="N126" s="1813"/>
      <c r="O126" s="2676">
        <f>'R.GUI MAIL'!AL35</f>
        <v>0</v>
      </c>
      <c r="P126" s="2677"/>
      <c r="Q126" s="2677"/>
      <c r="R126" s="2676">
        <f>'R.GUI MAIL'!AO35</f>
        <v>0</v>
      </c>
      <c r="S126" s="2697"/>
      <c r="T126" s="1861"/>
      <c r="U126" s="2676">
        <f>'R.GUI MAIL'!AL51</f>
        <v>0</v>
      </c>
      <c r="V126" s="2677"/>
      <c r="W126" s="2697"/>
      <c r="X126" s="2676">
        <f>'R.GUI MAIL'!AO51</f>
        <v>0</v>
      </c>
      <c r="Y126" s="2697"/>
    </row>
    <row r="127" spans="1:25" ht="33.75" hidden="1" customHeight="1">
      <c r="A127" s="723">
        <v>3</v>
      </c>
      <c r="B127" s="2700" t="s">
        <v>796</v>
      </c>
      <c r="C127" s="2701"/>
      <c r="D127" s="2702"/>
      <c r="E127" s="727" t="s">
        <v>793</v>
      </c>
      <c r="F127" s="719" t="s">
        <v>795</v>
      </c>
      <c r="G127" s="729" t="e">
        <f>'[6]file goc'!G203</f>
        <v>#REF!</v>
      </c>
      <c r="H127" s="728"/>
      <c r="I127" s="2676">
        <f>'R.GUI MAIL'!AL19</f>
        <v>0</v>
      </c>
      <c r="J127" s="2677"/>
      <c r="K127" s="2677"/>
      <c r="L127" s="2676">
        <f>'R.GUI MAIL'!AO19</f>
        <v>0</v>
      </c>
      <c r="M127" s="2697"/>
      <c r="N127" s="1861"/>
      <c r="O127" s="1862"/>
      <c r="P127" s="1863"/>
      <c r="Q127" s="1863"/>
      <c r="R127" s="1864"/>
      <c r="S127" s="1865"/>
      <c r="T127" s="1861"/>
      <c r="U127" s="1866"/>
      <c r="V127" s="1866"/>
      <c r="W127" s="1866"/>
      <c r="X127" s="1866"/>
      <c r="Y127" s="1866"/>
    </row>
    <row r="128" spans="1:25" ht="33.75" customHeight="1">
      <c r="A128" s="723">
        <v>6</v>
      </c>
      <c r="B128" s="2700" t="s">
        <v>797</v>
      </c>
      <c r="C128" s="2701"/>
      <c r="D128" s="2702"/>
      <c r="E128" s="727" t="s">
        <v>793</v>
      </c>
      <c r="F128" s="719" t="s">
        <v>798</v>
      </c>
      <c r="G128" s="729" t="e">
        <f>'[6]file goc'!G206</f>
        <v>#REF!</v>
      </c>
      <c r="H128" s="728"/>
      <c r="I128" s="2676">
        <f>'R.GUI MAIL'!AL20</f>
        <v>0</v>
      </c>
      <c r="J128" s="2677"/>
      <c r="K128" s="2677"/>
      <c r="L128" s="2676">
        <f>'R.GUI MAIL'!AO20</f>
        <v>0</v>
      </c>
      <c r="M128" s="2697"/>
      <c r="N128" s="1861"/>
      <c r="O128" s="2676">
        <f>'R.GUI MAIL'!AL36</f>
        <v>0</v>
      </c>
      <c r="P128" s="2677"/>
      <c r="Q128" s="2677"/>
      <c r="R128" s="2676">
        <f>'R.GUI MAIL'!AO36</f>
        <v>0</v>
      </c>
      <c r="S128" s="2697"/>
      <c r="T128" s="1861"/>
      <c r="U128" s="2676">
        <f>'R.GUI MAIL'!AL52</f>
        <v>0</v>
      </c>
      <c r="V128" s="2677"/>
      <c r="W128" s="2697"/>
      <c r="X128" s="2676">
        <f>'R.GUI MAIL'!AO52</f>
        <v>0</v>
      </c>
      <c r="Y128" s="2697"/>
    </row>
  </sheetData>
  <sheetProtection formatCells="0" formatColumns="0" formatRows="0" insertColumns="0" insertRows="0" insertHyperlinks="0" deleteColumns="0" deleteRows="0" selectLockedCells="1" sort="0" autoFilter="0" pivotTables="0"/>
  <mergeCells count="314">
    <mergeCell ref="O5:O6"/>
    <mergeCell ref="Q5:S6"/>
    <mergeCell ref="U5:U6"/>
    <mergeCell ref="W5:Y6"/>
    <mergeCell ref="A1:Y1"/>
    <mergeCell ref="A3:B3"/>
    <mergeCell ref="E3:F3"/>
    <mergeCell ref="A4:A6"/>
    <mergeCell ref="B4:D6"/>
    <mergeCell ref="E4:E6"/>
    <mergeCell ref="F4:F6"/>
    <mergeCell ref="I4:M4"/>
    <mergeCell ref="O4:S4"/>
    <mergeCell ref="U4:Y4"/>
    <mergeCell ref="B7:D7"/>
    <mergeCell ref="B8:D8"/>
    <mergeCell ref="B9:D9"/>
    <mergeCell ref="B10:B12"/>
    <mergeCell ref="E10:E12"/>
    <mergeCell ref="B13:B15"/>
    <mergeCell ref="E13:E15"/>
    <mergeCell ref="I5:I6"/>
    <mergeCell ref="K5:M6"/>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X21:Y21"/>
    <mergeCell ref="B22:D22"/>
    <mergeCell ref="I22:K22"/>
    <mergeCell ref="L22:M22"/>
    <mergeCell ref="B21:D21"/>
    <mergeCell ref="I21:K21"/>
    <mergeCell ref="L21:M21"/>
    <mergeCell ref="O21:Q21"/>
    <mergeCell ref="R21:S21"/>
    <mergeCell ref="U21:W21"/>
    <mergeCell ref="I26:I27"/>
    <mergeCell ref="K26:M27"/>
    <mergeCell ref="O26:O27"/>
    <mergeCell ref="Q26:S27"/>
    <mergeCell ref="U26:U27"/>
    <mergeCell ref="W26:Y27"/>
    <mergeCell ref="X23:Y23"/>
    <mergeCell ref="A24:B24"/>
    <mergeCell ref="E24:F24"/>
    <mergeCell ref="A25:A27"/>
    <mergeCell ref="B25:D27"/>
    <mergeCell ref="E25:E27"/>
    <mergeCell ref="F25:F27"/>
    <mergeCell ref="I25:M25"/>
    <mergeCell ref="O25:S25"/>
    <mergeCell ref="U25:Y25"/>
    <mergeCell ref="B23:D23"/>
    <mergeCell ref="I23:K23"/>
    <mergeCell ref="L23:M23"/>
    <mergeCell ref="O23:Q23"/>
    <mergeCell ref="R23:S23"/>
    <mergeCell ref="U23:W23"/>
    <mergeCell ref="B37:D38"/>
    <mergeCell ref="B40:D40"/>
    <mergeCell ref="I40:K40"/>
    <mergeCell ref="L40:M40"/>
    <mergeCell ref="O40:Q40"/>
    <mergeCell ref="R40:S40"/>
    <mergeCell ref="B28:D28"/>
    <mergeCell ref="B29:D29"/>
    <mergeCell ref="B30:D30"/>
    <mergeCell ref="B31:B33"/>
    <mergeCell ref="E31:E33"/>
    <mergeCell ref="B34:B36"/>
    <mergeCell ref="E34:E36"/>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I47:I48"/>
    <mergeCell ref="K47:M48"/>
    <mergeCell ref="O47:O48"/>
    <mergeCell ref="Q47:S48"/>
    <mergeCell ref="U47:U48"/>
    <mergeCell ref="W47:Y48"/>
    <mergeCell ref="X44:Y44"/>
    <mergeCell ref="A45:B45"/>
    <mergeCell ref="E45:F45"/>
    <mergeCell ref="A46:A48"/>
    <mergeCell ref="B46:D48"/>
    <mergeCell ref="E46:E48"/>
    <mergeCell ref="F46:F48"/>
    <mergeCell ref="I46:M46"/>
    <mergeCell ref="O46:S46"/>
    <mergeCell ref="U46:Y46"/>
    <mergeCell ref="B44:D44"/>
    <mergeCell ref="I44:K44"/>
    <mergeCell ref="L44:M44"/>
    <mergeCell ref="O44:Q44"/>
    <mergeCell ref="R44:S44"/>
    <mergeCell ref="U44:W44"/>
    <mergeCell ref="B58:D59"/>
    <mergeCell ref="B61:D61"/>
    <mergeCell ref="I61:K61"/>
    <mergeCell ref="L61:M61"/>
    <mergeCell ref="O61:Q61"/>
    <mergeCell ref="R61:S61"/>
    <mergeCell ref="B49:D49"/>
    <mergeCell ref="B50:D50"/>
    <mergeCell ref="B51:D51"/>
    <mergeCell ref="B52:B54"/>
    <mergeCell ref="E52:E54"/>
    <mergeCell ref="B55:B57"/>
    <mergeCell ref="E55:E57"/>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I68:I69"/>
    <mergeCell ref="K68:M69"/>
    <mergeCell ref="O68:O69"/>
    <mergeCell ref="Q68:S69"/>
    <mergeCell ref="U68:U69"/>
    <mergeCell ref="W68:Y69"/>
    <mergeCell ref="X65:Y65"/>
    <mergeCell ref="A66:B66"/>
    <mergeCell ref="E66:F66"/>
    <mergeCell ref="A67:A69"/>
    <mergeCell ref="B67:D69"/>
    <mergeCell ref="E67:E69"/>
    <mergeCell ref="F67:F69"/>
    <mergeCell ref="I67:M67"/>
    <mergeCell ref="O67:S67"/>
    <mergeCell ref="U67:Y67"/>
    <mergeCell ref="B65:D65"/>
    <mergeCell ref="I65:K65"/>
    <mergeCell ref="L65:M65"/>
    <mergeCell ref="O65:Q65"/>
    <mergeCell ref="R65:S65"/>
    <mergeCell ref="U65:W65"/>
    <mergeCell ref="B79:D80"/>
    <mergeCell ref="B82:D82"/>
    <mergeCell ref="I82:K82"/>
    <mergeCell ref="L82:M82"/>
    <mergeCell ref="O82:Q82"/>
    <mergeCell ref="R82:S82"/>
    <mergeCell ref="B70:D70"/>
    <mergeCell ref="B71:D71"/>
    <mergeCell ref="B72:D72"/>
    <mergeCell ref="B73:B75"/>
    <mergeCell ref="E73:E75"/>
    <mergeCell ref="B76:B78"/>
    <mergeCell ref="E76:E78"/>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I89:I90"/>
    <mergeCell ref="K89:M90"/>
    <mergeCell ref="O89:O90"/>
    <mergeCell ref="Q89:S90"/>
    <mergeCell ref="U89:U90"/>
    <mergeCell ref="W89:Y90"/>
    <mergeCell ref="X86:Y86"/>
    <mergeCell ref="A87:B87"/>
    <mergeCell ref="E87:F87"/>
    <mergeCell ref="A88:A90"/>
    <mergeCell ref="B88:D90"/>
    <mergeCell ref="E88:E90"/>
    <mergeCell ref="F88:F90"/>
    <mergeCell ref="I88:M88"/>
    <mergeCell ref="O88:S88"/>
    <mergeCell ref="U88:Y88"/>
    <mergeCell ref="B86:D86"/>
    <mergeCell ref="I86:K86"/>
    <mergeCell ref="L86:M86"/>
    <mergeCell ref="O86:Q86"/>
    <mergeCell ref="R86:S86"/>
    <mergeCell ref="U86:W86"/>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I110:I111"/>
    <mergeCell ref="K110:M111"/>
    <mergeCell ref="O110:O111"/>
    <mergeCell ref="Q110:S111"/>
    <mergeCell ref="U110:U111"/>
    <mergeCell ref="W110:Y111"/>
    <mergeCell ref="X107:Y107"/>
    <mergeCell ref="A108:B108"/>
    <mergeCell ref="E108:F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U124:W124"/>
    <mergeCell ref="X124:Y124"/>
    <mergeCell ref="B125:D125"/>
    <mergeCell ref="O125:Q125"/>
    <mergeCell ref="B126:D126"/>
    <mergeCell ref="I126:K126"/>
    <mergeCell ref="L126:M126"/>
    <mergeCell ref="O126:Q126"/>
    <mergeCell ref="R126:S126"/>
    <mergeCell ref="U125:W125"/>
    <mergeCell ref="X125:Y125"/>
    <mergeCell ref="R125:T125"/>
    <mergeCell ref="X128:Y128"/>
    <mergeCell ref="B128:D128"/>
    <mergeCell ref="I128:K128"/>
    <mergeCell ref="L128:M128"/>
    <mergeCell ref="O128:Q128"/>
    <mergeCell ref="R128:S128"/>
    <mergeCell ref="U128:W128"/>
    <mergeCell ref="U126:W126"/>
    <mergeCell ref="X126:Y126"/>
    <mergeCell ref="B127:D127"/>
    <mergeCell ref="I127:K127"/>
    <mergeCell ref="L127:M127"/>
  </mergeCells>
  <phoneticPr fontId="6" type="noConversion"/>
  <conditionalFormatting sqref="O71 O50 O29 I8:I9 O8 O113 U113:U114 I29:I30 U29:U30 I50:I51 U50:U51 I71:I72 U71:U72 I92:I93 U92:U93 I113:I114 U9 O92">
    <cfRule type="expression" dxfId="75" priority="148">
      <formula>I8&lt;10</formula>
    </cfRule>
    <cfRule type="expression" dxfId="74" priority="149">
      <formula>I8&gt;15</formula>
    </cfRule>
  </conditionalFormatting>
  <conditionalFormatting sqref="I73 I76 O73 U73 I115 I52 I55 O52 U52 I118 I31 I34 O31 U31 U115 I10 I13 O10 U10 O115 O94 I94 I97 U94">
    <cfRule type="expression" dxfId="73" priority="146">
      <formula>I10&lt;40</formula>
    </cfRule>
    <cfRule type="expression" dxfId="72" priority="147">
      <formula>I10&gt;60</formula>
    </cfRule>
  </conditionalFormatting>
  <conditionalFormatting sqref="I74 O74 U74 I77 I116 I56 I119 I53 O53 U53 I32 O32 U32 I35 U116 O116 U11 I14 I11 O11 O95 I95 I98 U95">
    <cfRule type="expression" dxfId="71" priority="144">
      <formula>I11&lt;5.2</formula>
    </cfRule>
    <cfRule type="expression" dxfId="70" priority="145">
      <formula>I11&gt;7.8</formula>
    </cfRule>
  </conditionalFormatting>
  <conditionalFormatting sqref="I75 I78 O75 U75 I117 I54 I57 O54 U54 I120 I33 I36 O33 U33 U117 I12 I15 O12 U12 O117 O96 I96 I99 U96">
    <cfRule type="expression" dxfId="69" priority="143">
      <formula>I12&gt;0.4</formula>
    </cfRule>
  </conditionalFormatting>
  <conditionalFormatting sqref="I79 O79 U79 I58 O58 U58 I37 O37 U37 I16 O16 U16 O100 I100 U100 O121 I121 U121">
    <cfRule type="expression" dxfId="68" priority="141">
      <formula>I16&lt;0.8</formula>
    </cfRule>
    <cfRule type="expression" dxfId="67" priority="142">
      <formula>I16&gt;1.2</formula>
    </cfRule>
  </conditionalFormatting>
  <conditionalFormatting sqref="I80 U80 O80 U59 I59 O59 U38 I38 O38 U17 O17 I17 O101 I101 U101 O122 I122 U122">
    <cfRule type="expression" dxfId="66" priority="139">
      <formula>I17&lt;8</formula>
    </cfRule>
    <cfRule type="expression" dxfId="65" priority="140">
      <formula>I17&gt;10</formula>
    </cfRule>
  </conditionalFormatting>
  <conditionalFormatting sqref="O20">
    <cfRule type="expression" dxfId="64" priority="137">
      <formula>O20&lt;55</formula>
    </cfRule>
    <cfRule type="expression" dxfId="63" priority="138">
      <formula>O20&gt;65</formula>
    </cfRule>
  </conditionalFormatting>
  <conditionalFormatting sqref="I84:I85 X84 R84:S84 U105 L84:L86 I63:I64 X63 L63:L64 R63:S63 U84 I42:I43 X42 L42:L43 R42:S42 U63 I21:I22 O21 X21 U42 R21:S21 L21:L22 I105:I106 X105 L105:L106 R105:S105 U21 O42 O63 O84 O105">
    <cfRule type="expression" dxfId="62" priority="135">
      <formula>I21&lt;65</formula>
    </cfRule>
    <cfRule type="expression" dxfId="61" priority="136">
      <formula>I21&gt;85</formula>
    </cfRule>
  </conditionalFormatting>
  <conditionalFormatting sqref="I86 U86 L86 R86:S86 X86 I65 U65 L65 R65:S65 X65 I44 U44 L44 R44:S44 X44 I23 O23 U23 X23 R23:S23 L23 I107 U107 L107 R107:S107 X107 O44 O65 O86 O107">
    <cfRule type="expression" dxfId="60" priority="133">
      <formula>I23&lt;80</formula>
    </cfRule>
    <cfRule type="expression" dxfId="59" priority="134">
      <formula>I23&gt;90</formula>
    </cfRule>
  </conditionalFormatting>
  <conditionalFormatting sqref="I126:I127 O126 X126 L126:L127 R126:S126 U126">
    <cfRule type="expression" dxfId="58" priority="129">
      <formula>I126&lt;65</formula>
    </cfRule>
    <cfRule type="expression" dxfId="57" priority="130">
      <formula>I126&gt;85</formula>
    </cfRule>
  </conditionalFormatting>
  <conditionalFormatting sqref="I128 O128 U128 L128 R128:S128 X128">
    <cfRule type="expression" dxfId="56" priority="127">
      <formula>I128&lt;80</formula>
    </cfRule>
    <cfRule type="expression" dxfId="55" priority="128">
      <formula>I128&gt;90</formula>
    </cfRule>
  </conditionalFormatting>
  <conditionalFormatting sqref="U8">
    <cfRule type="expression" dxfId="54" priority="113">
      <formula>U8&lt;10</formula>
    </cfRule>
    <cfRule type="expression" dxfId="53" priority="114">
      <formula>U8&gt;15</formula>
    </cfRule>
  </conditionalFormatting>
  <conditionalFormatting sqref="U28">
    <cfRule type="expression" dxfId="52" priority="110">
      <formula>U28&lt;30</formula>
    </cfRule>
    <cfRule type="expression" dxfId="51" priority="111">
      <formula>U28&gt;50</formula>
    </cfRule>
  </conditionalFormatting>
  <conditionalFormatting sqref="U49">
    <cfRule type="expression" dxfId="50" priority="107">
      <formula>U49&lt;30</formula>
    </cfRule>
    <cfRule type="expression" dxfId="49" priority="108">
      <formula>U49&gt;50</formula>
    </cfRule>
  </conditionalFormatting>
  <conditionalFormatting sqref="U70">
    <cfRule type="expression" dxfId="48" priority="104">
      <formula>U70&lt;30</formula>
    </cfRule>
    <cfRule type="expression" dxfId="47" priority="105">
      <formula>U70&gt;50</formula>
    </cfRule>
  </conditionalFormatting>
  <conditionalFormatting sqref="U91">
    <cfRule type="expression" dxfId="46" priority="101">
      <formula>U91&lt;30</formula>
    </cfRule>
    <cfRule type="expression" dxfId="45" priority="102">
      <formula>U91&gt;50</formula>
    </cfRule>
  </conditionalFormatting>
  <conditionalFormatting sqref="U91">
    <cfRule type="expression" dxfId="44" priority="100">
      <formula>U91&lt;1</formula>
    </cfRule>
  </conditionalFormatting>
  <conditionalFormatting sqref="U112">
    <cfRule type="expression" dxfId="43" priority="98">
      <formula>U112&lt;30</formula>
    </cfRule>
    <cfRule type="expression" dxfId="42" priority="99">
      <formula>U112&gt;50</formula>
    </cfRule>
  </conditionalFormatting>
  <conditionalFormatting sqref="U112">
    <cfRule type="expression" dxfId="41" priority="97">
      <formula>U112&lt;1</formula>
    </cfRule>
  </conditionalFormatting>
  <conditionalFormatting sqref="O128">
    <cfRule type="expression" dxfId="40" priority="62">
      <formula>O128&lt;80</formula>
    </cfRule>
    <cfRule type="expression" dxfId="39" priority="63">
      <formula>O128&gt;90</formula>
    </cfRule>
  </conditionalFormatting>
  <conditionalFormatting sqref="U7">
    <cfRule type="expression" dxfId="38" priority="55">
      <formula>U7&lt;30</formula>
    </cfRule>
    <cfRule type="expression" dxfId="37" priority="56">
      <formula>U7&gt;50</formula>
    </cfRule>
  </conditionalFormatting>
  <conditionalFormatting sqref="R20 U20 X20">
    <cfRule type="expression" dxfId="36" priority="50">
      <formula>R20&lt;55</formula>
    </cfRule>
    <cfRule type="expression" dxfId="35" priority="51">
      <formula>R20&gt;65</formula>
    </cfRule>
  </conditionalFormatting>
  <conditionalFormatting sqref="R20 U20 X20">
    <cfRule type="expression" dxfId="34" priority="49">
      <formula>X20&lt;1</formula>
    </cfRule>
  </conditionalFormatting>
  <conditionalFormatting sqref="O41">
    <cfRule type="expression" dxfId="33" priority="47">
      <formula>O41&lt;55</formula>
    </cfRule>
    <cfRule type="expression" dxfId="32" priority="48">
      <formula>O41&gt;65</formula>
    </cfRule>
  </conditionalFormatting>
  <conditionalFormatting sqref="R41 U41 X41">
    <cfRule type="expression" dxfId="31" priority="44">
      <formula>R41&lt;55</formula>
    </cfRule>
    <cfRule type="expression" dxfId="30" priority="45">
      <formula>R41&gt;65</formula>
    </cfRule>
  </conditionalFormatting>
  <conditionalFormatting sqref="O62">
    <cfRule type="expression" dxfId="29" priority="41">
      <formula>O62&lt;55</formula>
    </cfRule>
    <cfRule type="expression" dxfId="28" priority="42">
      <formula>O62&gt;65</formula>
    </cfRule>
  </conditionalFormatting>
  <conditionalFormatting sqref="R62 U62 X62">
    <cfRule type="expression" dxfId="27" priority="38">
      <formula>R62&lt;55</formula>
    </cfRule>
    <cfRule type="expression" dxfId="26" priority="39">
      <formula>R62&gt;65</formula>
    </cfRule>
  </conditionalFormatting>
  <conditionalFormatting sqref="O83">
    <cfRule type="expression" dxfId="25" priority="35">
      <formula>O83&lt;55</formula>
    </cfRule>
    <cfRule type="expression" dxfId="24" priority="36">
      <formula>O83&gt;65</formula>
    </cfRule>
  </conditionalFormatting>
  <conditionalFormatting sqref="R83 U83 X83">
    <cfRule type="expression" dxfId="23" priority="32">
      <formula>R83&lt;55</formula>
    </cfRule>
    <cfRule type="expression" dxfId="22" priority="33">
      <formula>R83&gt;65</formula>
    </cfRule>
  </conditionalFormatting>
  <conditionalFormatting sqref="O104">
    <cfRule type="expression" dxfId="21" priority="29">
      <formula>O104&lt;55</formula>
    </cfRule>
    <cfRule type="expression" dxfId="20" priority="30">
      <formula>O104&gt;65</formula>
    </cfRule>
  </conditionalFormatting>
  <conditionalFormatting sqref="R104 U104 X104">
    <cfRule type="expression" dxfId="19" priority="26">
      <formula>R104&lt;55</formula>
    </cfRule>
    <cfRule type="expression" dxfId="18" priority="27">
      <formula>R104&gt;65</formula>
    </cfRule>
  </conditionalFormatting>
  <conditionalFormatting sqref="O125">
    <cfRule type="expression" dxfId="17" priority="23">
      <formula>O125&lt;55</formula>
    </cfRule>
    <cfRule type="expression" dxfId="16" priority="24">
      <formula>O125&gt;65</formula>
    </cfRule>
  </conditionalFormatting>
  <conditionalFormatting sqref="R125 U125 X125">
    <cfRule type="expression" dxfId="15" priority="20">
      <formula>R125&lt;55</formula>
    </cfRule>
    <cfRule type="expression" dxfId="14" priority="21">
      <formula>R125&gt;65</formula>
    </cfRule>
  </conditionalFormatting>
  <conditionalFormatting sqref="O112">
    <cfRule type="expression" dxfId="13" priority="17">
      <formula>O112&lt;30</formula>
    </cfRule>
    <cfRule type="expression" dxfId="12" priority="18">
      <formula>O112&gt;50</formula>
    </cfRule>
  </conditionalFormatting>
  <conditionalFormatting sqref="O112">
    <cfRule type="expression" dxfId="11" priority="16">
      <formula>O112&lt;1</formula>
    </cfRule>
  </conditionalFormatting>
  <conditionalFormatting sqref="O91">
    <cfRule type="expression" dxfId="10" priority="14">
      <formula>O91&lt;30</formula>
    </cfRule>
    <cfRule type="expression" dxfId="9" priority="15">
      <formula>O91&gt;50</formula>
    </cfRule>
  </conditionalFormatting>
  <conditionalFormatting sqref="O91">
    <cfRule type="expression" dxfId="8" priority="13">
      <formula>O91&lt;1</formula>
    </cfRule>
  </conditionalFormatting>
  <conditionalFormatting sqref="O70">
    <cfRule type="expression" dxfId="7" priority="11">
      <formula>O70&lt;30</formula>
    </cfRule>
    <cfRule type="expression" dxfId="6" priority="12">
      <formula>O70&gt;50</formula>
    </cfRule>
  </conditionalFormatting>
  <conditionalFormatting sqref="O49">
    <cfRule type="expression" dxfId="5" priority="8">
      <formula>O49&lt;30</formula>
    </cfRule>
    <cfRule type="expression" dxfId="4" priority="9">
      <formula>O49&gt;50</formula>
    </cfRule>
  </conditionalFormatting>
  <conditionalFormatting sqref="O28">
    <cfRule type="expression" dxfId="3" priority="5">
      <formula>O28&lt;30</formula>
    </cfRule>
    <cfRule type="expression" dxfId="2" priority="6">
      <formula>O28&gt;50</formula>
    </cfRule>
  </conditionalFormatting>
  <conditionalFormatting sqref="O7">
    <cfRule type="expression" dxfId="1" priority="2">
      <formula>O7&lt;30</formula>
    </cfRule>
    <cfRule type="expression" dxfId="0" priority="3">
      <formula>O7&gt;50</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5.xml><?xml version="1.0" encoding="utf-8"?>
<worksheet xmlns="http://schemas.openxmlformats.org/spreadsheetml/2006/main" xmlns:r="http://schemas.openxmlformats.org/officeDocument/2006/relationships">
  <sheetPr codeName="Sheet34">
    <tabColor rgb="FFFFC000"/>
  </sheetPr>
  <dimension ref="A1:I186"/>
  <sheetViews>
    <sheetView workbookViewId="0"/>
  </sheetViews>
  <sheetFormatPr defaultColWidth="4.125" defaultRowHeight="12.75" customHeight="1"/>
  <cols>
    <col min="1" max="1" width="2.75" style="741" customWidth="1"/>
    <col min="2" max="2" width="16.875" style="741" customWidth="1"/>
    <col min="3" max="4" width="9.5" style="743" customWidth="1"/>
    <col min="5" max="8" width="7" style="743" customWidth="1"/>
    <col min="9" max="9" width="4.875" style="743" customWidth="1"/>
    <col min="10" max="35" width="4.125" style="741"/>
    <col min="36" max="36" width="4.125" style="741" customWidth="1"/>
    <col min="37" max="16384" width="4.125" style="741"/>
  </cols>
  <sheetData>
    <row r="1" spans="1:9" ht="18" customHeight="1">
      <c r="B1" s="742"/>
      <c r="C1" s="742"/>
    </row>
    <row r="2" spans="1:9" ht="12.75" customHeight="1">
      <c r="B2" s="744" t="s">
        <v>782</v>
      </c>
      <c r="C2" s="745" t="str">
        <f>'1.xi den'!G3</f>
        <v>2023/03/21</v>
      </c>
    </row>
    <row r="3" spans="1:9" s="748" customFormat="1" ht="12.75" customHeight="1">
      <c r="A3" s="2768" t="s">
        <v>7</v>
      </c>
      <c r="B3" s="2770" t="s">
        <v>800</v>
      </c>
      <c r="C3" s="746"/>
      <c r="D3" s="747" t="s">
        <v>171</v>
      </c>
      <c r="E3" s="747"/>
      <c r="F3" s="747"/>
      <c r="G3" s="747"/>
      <c r="H3" s="747"/>
      <c r="I3" s="747"/>
    </row>
    <row r="4" spans="1:9" s="748" customFormat="1" ht="12.75" customHeight="1" thickBot="1">
      <c r="A4" s="2769"/>
      <c r="B4" s="2771"/>
      <c r="C4" s="749"/>
      <c r="D4" s="750" t="s">
        <v>418</v>
      </c>
      <c r="E4" s="750" t="s">
        <v>419</v>
      </c>
      <c r="F4" s="750" t="s">
        <v>420</v>
      </c>
      <c r="G4" s="750" t="s">
        <v>421</v>
      </c>
      <c r="H4" s="750" t="s">
        <v>422</v>
      </c>
      <c r="I4" s="750" t="s">
        <v>423</v>
      </c>
    </row>
    <row r="5" spans="1:9" s="754" customFormat="1" ht="12.75" customHeight="1">
      <c r="A5" s="361">
        <v>1</v>
      </c>
      <c r="B5" s="155" t="s">
        <v>801</v>
      </c>
      <c r="C5" s="439" t="s">
        <v>802</v>
      </c>
      <c r="D5" s="751">
        <f>'2.RL E'!F7</f>
        <v>0</v>
      </c>
      <c r="E5" s="752">
        <f>'2.RL E'!J7</f>
        <v>0</v>
      </c>
      <c r="F5" s="752">
        <f>'2.RL E'!N7</f>
        <v>0</v>
      </c>
      <c r="G5" s="752">
        <f>'2.RL E'!F28</f>
        <v>0</v>
      </c>
      <c r="H5" s="752">
        <f>'2.RL E'!J28</f>
        <v>0</v>
      </c>
      <c r="I5" s="753">
        <f>'2.RL E'!N28</f>
        <v>0</v>
      </c>
    </row>
    <row r="6" spans="1:9" s="754" customFormat="1" ht="12.75" hidden="1" customHeight="1">
      <c r="A6" s="361"/>
      <c r="B6" s="155" t="s">
        <v>801</v>
      </c>
      <c r="C6" s="439" t="s">
        <v>802</v>
      </c>
      <c r="D6" s="755">
        <f>'2.RL E'!F8</f>
        <v>0</v>
      </c>
      <c r="E6" s="756">
        <f>'2.RL E'!J8</f>
        <v>0</v>
      </c>
      <c r="F6" s="756">
        <f>'2.RL E'!N8</f>
        <v>0</v>
      </c>
      <c r="G6" s="756">
        <f>'2.RL E'!F29</f>
        <v>0</v>
      </c>
      <c r="H6" s="756">
        <f>'2.RL E'!J29</f>
        <v>0</v>
      </c>
      <c r="I6" s="757">
        <f>'2.RL E'!N29</f>
        <v>0</v>
      </c>
    </row>
    <row r="7" spans="1:9" s="754" customFormat="1" ht="12.75" hidden="1" customHeight="1">
      <c r="A7" s="361">
        <v>2</v>
      </c>
      <c r="B7" s="2766" t="s">
        <v>803</v>
      </c>
      <c r="C7" s="758" t="s">
        <v>645</v>
      </c>
      <c r="D7" s="755">
        <f>'2.RL E'!F9</f>
        <v>0</v>
      </c>
      <c r="E7" s="756">
        <f>'2.RL E'!J9</f>
        <v>0</v>
      </c>
      <c r="F7" s="756">
        <f>'2.RL E'!N9</f>
        <v>0</v>
      </c>
      <c r="G7" s="756">
        <f>'2.RL E'!F30</f>
        <v>0</v>
      </c>
      <c r="H7" s="756">
        <f>'2.RL E'!J30</f>
        <v>0</v>
      </c>
      <c r="I7" s="757">
        <f>'2.RL E'!N30</f>
        <v>0</v>
      </c>
    </row>
    <row r="8" spans="1:9" s="754" customFormat="1" ht="12.75" hidden="1" customHeight="1">
      <c r="A8" s="361">
        <v>3</v>
      </c>
      <c r="B8" s="2772"/>
      <c r="C8" s="758" t="s">
        <v>649</v>
      </c>
      <c r="D8" s="755">
        <f>'2.RL E'!F10</f>
        <v>0</v>
      </c>
      <c r="E8" s="756">
        <f>'2.RL E'!J10</f>
        <v>0</v>
      </c>
      <c r="F8" s="756">
        <f>'2.RL E'!N10</f>
        <v>0</v>
      </c>
      <c r="G8" s="756">
        <f>'2.RL E'!F31</f>
        <v>0</v>
      </c>
      <c r="H8" s="756">
        <f>'2.RL E'!J31</f>
        <v>0</v>
      </c>
      <c r="I8" s="757">
        <f>'2.RL E'!N31</f>
        <v>0</v>
      </c>
    </row>
    <row r="9" spans="1:9" s="754" customFormat="1" ht="12.75" hidden="1" customHeight="1">
      <c r="A9" s="361">
        <v>4</v>
      </c>
      <c r="B9" s="2767"/>
      <c r="C9" s="758" t="s">
        <v>651</v>
      </c>
      <c r="D9" s="755">
        <f>'2.RL E'!F11</f>
        <v>0</v>
      </c>
      <c r="E9" s="756">
        <f>'2.RL E'!J11</f>
        <v>0</v>
      </c>
      <c r="F9" s="756">
        <f>'2.RL E'!N11</f>
        <v>0</v>
      </c>
      <c r="G9" s="756">
        <f>'2.RL E'!F32</f>
        <v>0</v>
      </c>
      <c r="H9" s="756">
        <f>'2.RL E'!J32</f>
        <v>0</v>
      </c>
      <c r="I9" s="757">
        <f>'2.RL E'!N32</f>
        <v>0</v>
      </c>
    </row>
    <row r="10" spans="1:9" s="754" customFormat="1" ht="12.75" hidden="1" customHeight="1">
      <c r="A10" s="361">
        <v>5</v>
      </c>
      <c r="B10" s="2766" t="s">
        <v>804</v>
      </c>
      <c r="C10" s="758" t="s">
        <v>645</v>
      </c>
      <c r="D10" s="755">
        <f>'2.RL E'!F12</f>
        <v>0</v>
      </c>
      <c r="E10" s="756">
        <f>'2.RL E'!J12</f>
        <v>0</v>
      </c>
      <c r="F10" s="756">
        <f>'2.RL E'!N12</f>
        <v>0</v>
      </c>
      <c r="G10" s="756">
        <f>'2.RL E'!F33</f>
        <v>0</v>
      </c>
      <c r="H10" s="756">
        <f>'2.RL E'!J33</f>
        <v>0</v>
      </c>
      <c r="I10" s="757">
        <f>'2.RL E'!N33</f>
        <v>0</v>
      </c>
    </row>
    <row r="11" spans="1:9" s="754" customFormat="1" ht="12.75" hidden="1" customHeight="1">
      <c r="A11" s="361">
        <v>6</v>
      </c>
      <c r="B11" s="2772"/>
      <c r="C11" s="758" t="s">
        <v>649</v>
      </c>
      <c r="D11" s="755">
        <f>'2.RL E'!F13</f>
        <v>0</v>
      </c>
      <c r="E11" s="756">
        <f>'2.RL E'!J13</f>
        <v>0</v>
      </c>
      <c r="F11" s="756">
        <f>'2.RL E'!N13</f>
        <v>0</v>
      </c>
      <c r="G11" s="756">
        <f>'2.RL E'!F34</f>
        <v>0</v>
      </c>
      <c r="H11" s="756">
        <f>'2.RL E'!J34</f>
        <v>0</v>
      </c>
      <c r="I11" s="757">
        <f>'2.RL E'!N34</f>
        <v>0</v>
      </c>
    </row>
    <row r="12" spans="1:9" s="754" customFormat="1" ht="12.75" hidden="1" customHeight="1">
      <c r="A12" s="361">
        <v>7</v>
      </c>
      <c r="B12" s="2767"/>
      <c r="C12" s="758" t="s">
        <v>651</v>
      </c>
      <c r="D12" s="755">
        <f>'2.RL E'!F14</f>
        <v>0</v>
      </c>
      <c r="E12" s="756">
        <f>'2.RL E'!J14</f>
        <v>0</v>
      </c>
      <c r="F12" s="756">
        <f>'2.RL E'!N14</f>
        <v>0</v>
      </c>
      <c r="G12" s="756">
        <f>'2.RL E'!F35</f>
        <v>0</v>
      </c>
      <c r="H12" s="756">
        <f>'2.RL E'!J35</f>
        <v>0</v>
      </c>
      <c r="I12" s="757">
        <f>'2.RL E'!N35</f>
        <v>0</v>
      </c>
    </row>
    <row r="13" spans="1:9" s="759" customFormat="1" ht="12.75" hidden="1" customHeight="1">
      <c r="A13" s="361">
        <v>8</v>
      </c>
      <c r="B13" s="2766" t="s">
        <v>805</v>
      </c>
      <c r="C13" s="439" t="s">
        <v>806</v>
      </c>
      <c r="D13" s="755">
        <f>'2.RL E'!F15</f>
        <v>0</v>
      </c>
      <c r="E13" s="756">
        <f>'2.RL E'!J15</f>
        <v>0</v>
      </c>
      <c r="F13" s="756">
        <f>'2.RL E'!N15</f>
        <v>0</v>
      </c>
      <c r="G13" s="756">
        <f>'2.RL E'!F36</f>
        <v>0</v>
      </c>
      <c r="H13" s="756">
        <f>'2.RL E'!J36</f>
        <v>0</v>
      </c>
      <c r="I13" s="757">
        <f>'2.RL E'!N36</f>
        <v>0</v>
      </c>
    </row>
    <row r="14" spans="1:9" s="759" customFormat="1" ht="12.75" hidden="1" customHeight="1">
      <c r="A14" s="361">
        <v>9</v>
      </c>
      <c r="B14" s="2767"/>
      <c r="C14" s="439" t="s">
        <v>657</v>
      </c>
      <c r="D14" s="755">
        <f>'2.RL E'!F16</f>
        <v>0</v>
      </c>
      <c r="E14" s="756">
        <f>'2.RL E'!J16</f>
        <v>0</v>
      </c>
      <c r="F14" s="756">
        <f>'2.RL E'!N16</f>
        <v>0</v>
      </c>
      <c r="G14" s="756">
        <f>'2.RL E'!F37</f>
        <v>0</v>
      </c>
      <c r="H14" s="756">
        <f>'2.RL E'!J37</f>
        <v>0</v>
      </c>
      <c r="I14" s="757">
        <f>'2.RL E'!N37</f>
        <v>0</v>
      </c>
    </row>
    <row r="15" spans="1:9" s="759" customFormat="1" ht="12.75" hidden="1" customHeight="1">
      <c r="A15" s="2773" t="s">
        <v>2</v>
      </c>
      <c r="B15" s="2773"/>
      <c r="C15" s="746"/>
      <c r="D15" s="760" t="s">
        <v>173</v>
      </c>
      <c r="E15" s="747"/>
      <c r="F15" s="747"/>
      <c r="G15" s="747"/>
      <c r="H15" s="747"/>
      <c r="I15" s="761"/>
    </row>
    <row r="16" spans="1:9" s="759" customFormat="1" ht="12.75" hidden="1" customHeight="1">
      <c r="A16" s="167" t="s">
        <v>57</v>
      </c>
      <c r="B16" s="762" t="s">
        <v>807</v>
      </c>
      <c r="C16" s="746"/>
      <c r="D16" s="763" t="s">
        <v>418</v>
      </c>
      <c r="E16" s="750" t="s">
        <v>419</v>
      </c>
      <c r="F16" s="750" t="s">
        <v>420</v>
      </c>
      <c r="G16" s="750" t="s">
        <v>421</v>
      </c>
      <c r="H16" s="750" t="s">
        <v>422</v>
      </c>
      <c r="I16" s="764" t="s">
        <v>423</v>
      </c>
    </row>
    <row r="17" spans="1:9" s="759" customFormat="1" ht="12.75" hidden="1" customHeight="1">
      <c r="A17" s="361">
        <v>1</v>
      </c>
      <c r="B17" s="765" t="s">
        <v>480</v>
      </c>
      <c r="C17" s="766"/>
      <c r="D17" s="755">
        <f>'2.RL E'!F19</f>
        <v>0</v>
      </c>
      <c r="E17" s="756">
        <f>'2.RL E'!J19</f>
        <v>0</v>
      </c>
      <c r="F17" s="756">
        <f>'2.RL E'!N19</f>
        <v>0</v>
      </c>
      <c r="G17" s="756">
        <f>'2.RL E'!F40</f>
        <v>0</v>
      </c>
      <c r="H17" s="756">
        <f>'2.RL E'!J40</f>
        <v>0</v>
      </c>
      <c r="I17" s="761">
        <f>'2.RL E'!N40</f>
        <v>0</v>
      </c>
    </row>
    <row r="18" spans="1:9" s="759" customFormat="1" ht="12.75" hidden="1" customHeight="1">
      <c r="A18" s="361">
        <v>2</v>
      </c>
      <c r="B18" s="765" t="s">
        <v>482</v>
      </c>
      <c r="C18" s="766"/>
      <c r="D18" s="755">
        <f>'2.RL E'!F20</f>
        <v>0</v>
      </c>
      <c r="E18" s="756">
        <f>'2.RL E'!J20</f>
        <v>0</v>
      </c>
      <c r="F18" s="756">
        <f>'2.RL E'!N20</f>
        <v>0</v>
      </c>
      <c r="G18" s="756">
        <f>'2.RL E'!F41</f>
        <v>0</v>
      </c>
      <c r="H18" s="756">
        <f>'2.RL E'!J41</f>
        <v>0</v>
      </c>
      <c r="I18" s="761">
        <f>'2.RL E'!N41</f>
        <v>0</v>
      </c>
    </row>
    <row r="19" spans="1:9" s="759" customFormat="1" ht="12.75" hidden="1" customHeight="1">
      <c r="A19" s="361">
        <v>3</v>
      </c>
      <c r="B19" s="765" t="s">
        <v>475</v>
      </c>
      <c r="C19" s="766"/>
      <c r="D19" s="755">
        <f>'2.RL E'!F21</f>
        <v>0</v>
      </c>
      <c r="E19" s="756">
        <f>'2.RL E'!J21</f>
        <v>0</v>
      </c>
      <c r="F19" s="756">
        <f>'2.RL E'!N21</f>
        <v>0</v>
      </c>
      <c r="G19" s="756">
        <f>'2.RL E'!F42</f>
        <v>0</v>
      </c>
      <c r="H19" s="756">
        <f>'2.RL E'!J42</f>
        <v>0</v>
      </c>
      <c r="I19" s="761">
        <f>'2.RL E'!N42</f>
        <v>0</v>
      </c>
    </row>
    <row r="20" spans="1:9" s="759" customFormat="1" ht="12.75" hidden="1" customHeight="1">
      <c r="A20" s="361">
        <v>4</v>
      </c>
      <c r="B20" s="765" t="s">
        <v>808</v>
      </c>
      <c r="C20" s="766"/>
      <c r="D20" s="755">
        <f>'2.RL E'!F22</f>
        <v>0</v>
      </c>
      <c r="E20" s="756">
        <f>'2.RL E'!J22</f>
        <v>0</v>
      </c>
      <c r="F20" s="756">
        <f>'2.RL E'!N22</f>
        <v>0</v>
      </c>
      <c r="G20" s="756">
        <f>'2.RL E'!F43</f>
        <v>0</v>
      </c>
      <c r="H20" s="756">
        <f>'2.RL E'!J43</f>
        <v>0</v>
      </c>
      <c r="I20" s="761">
        <f>'2.RL E'!N43</f>
        <v>0</v>
      </c>
    </row>
    <row r="21" spans="1:9" ht="12.75" hidden="1" customHeight="1">
      <c r="A21" s="2768" t="s">
        <v>7</v>
      </c>
      <c r="B21" s="2770" t="s">
        <v>800</v>
      </c>
      <c r="C21" s="746"/>
      <c r="D21" s="760" t="s">
        <v>172</v>
      </c>
      <c r="E21" s="747"/>
      <c r="F21" s="747"/>
      <c r="G21" s="747"/>
      <c r="H21" s="747"/>
      <c r="I21" s="767"/>
    </row>
    <row r="22" spans="1:9" ht="12.75" hidden="1" customHeight="1">
      <c r="A22" s="2769"/>
      <c r="B22" s="2771"/>
      <c r="C22" s="749"/>
      <c r="D22" s="763" t="s">
        <v>418</v>
      </c>
      <c r="E22" s="750" t="s">
        <v>419</v>
      </c>
      <c r="F22" s="750" t="s">
        <v>420</v>
      </c>
      <c r="G22" s="750" t="s">
        <v>421</v>
      </c>
      <c r="H22" s="750" t="s">
        <v>422</v>
      </c>
      <c r="I22" s="764" t="s">
        <v>423</v>
      </c>
    </row>
    <row r="23" spans="1:9" ht="12.75" hidden="1" customHeight="1">
      <c r="A23" s="361">
        <v>1</v>
      </c>
      <c r="B23" s="155" t="s">
        <v>801</v>
      </c>
      <c r="C23" s="439"/>
      <c r="D23" s="768">
        <f>'2.RL E'!H7</f>
        <v>292.1875</v>
      </c>
      <c r="E23" s="769">
        <f>'2.RL E'!L7</f>
        <v>292.1875</v>
      </c>
      <c r="F23" s="769">
        <f>'2.RL E'!P7</f>
        <v>292.1875</v>
      </c>
      <c r="G23" s="769">
        <f>'2.RL E'!H28</f>
        <v>292.1875</v>
      </c>
      <c r="H23" s="769">
        <f>'2.RL E'!L28</f>
        <v>292.1875</v>
      </c>
      <c r="I23" s="770">
        <f>'2.RL E'!P28</f>
        <v>292.1875</v>
      </c>
    </row>
    <row r="24" spans="1:9" ht="12.75" hidden="1" customHeight="1">
      <c r="A24" s="361"/>
      <c r="B24" s="155" t="s">
        <v>801</v>
      </c>
      <c r="C24" s="439"/>
      <c r="D24" s="768">
        <f>'2.RL E'!H8</f>
        <v>292.1875</v>
      </c>
      <c r="E24" s="769">
        <f>'2.RL E'!L8</f>
        <v>292.1875</v>
      </c>
      <c r="F24" s="769">
        <f>'2.RL E'!P8</f>
        <v>292.1875</v>
      </c>
      <c r="G24" s="769">
        <f>'2.RL E'!H29</f>
        <v>292.1875</v>
      </c>
      <c r="H24" s="769">
        <f>'2.RL E'!L29</f>
        <v>292.1875</v>
      </c>
      <c r="I24" s="770">
        <f>'2.RL E'!P29</f>
        <v>292.1875</v>
      </c>
    </row>
    <row r="25" spans="1:9" ht="12.75" hidden="1" customHeight="1">
      <c r="A25" s="361">
        <v>2</v>
      </c>
      <c r="B25" s="2766" t="s">
        <v>803</v>
      </c>
      <c r="C25" s="439"/>
      <c r="D25" s="768">
        <f>'2.RL E'!H9</f>
        <v>69.400000000000006</v>
      </c>
      <c r="E25" s="769">
        <f>'2.RL E'!L9</f>
        <v>69.400000000000006</v>
      </c>
      <c r="F25" s="769">
        <f>'2.RL E'!P9</f>
        <v>69.400000000000006</v>
      </c>
      <c r="G25" s="769">
        <f>'2.RL E'!H30</f>
        <v>69.400000000000006</v>
      </c>
      <c r="H25" s="769">
        <f>'2.RL E'!L30</f>
        <v>69.400000000000006</v>
      </c>
      <c r="I25" s="770">
        <f>'2.RL E'!P30</f>
        <v>69.400000000000006</v>
      </c>
    </row>
    <row r="26" spans="1:9" ht="12.75" hidden="1" customHeight="1">
      <c r="A26" s="361">
        <v>3</v>
      </c>
      <c r="B26" s="2772"/>
      <c r="C26" s="439"/>
      <c r="D26" s="768">
        <f>'2.RL E'!H10</f>
        <v>4.5110000000000001</v>
      </c>
      <c r="E26" s="769">
        <f>'2.RL E'!L10</f>
        <v>4.5110000000000001</v>
      </c>
      <c r="F26" s="769">
        <f>'2.RL E'!P10</f>
        <v>4.5110000000000001</v>
      </c>
      <c r="G26" s="769">
        <f>'2.RL E'!H31</f>
        <v>4.5110000000000001</v>
      </c>
      <c r="H26" s="769">
        <f>'2.RL E'!L31</f>
        <v>4.5110000000000001</v>
      </c>
      <c r="I26" s="770">
        <f>'2.RL E'!P31</f>
        <v>4.5110000000000001</v>
      </c>
    </row>
    <row r="27" spans="1:9" ht="12.75" hidden="1" customHeight="1">
      <c r="A27" s="361">
        <v>4</v>
      </c>
      <c r="B27" s="2767"/>
      <c r="C27" s="439"/>
      <c r="D27" s="768">
        <f>'2.RL E'!H11</f>
        <v>0</v>
      </c>
      <c r="E27" s="769">
        <f>'2.RL E'!L11</f>
        <v>0</v>
      </c>
      <c r="F27" s="769">
        <f>'2.RL E'!P11</f>
        <v>0</v>
      </c>
      <c r="G27" s="769">
        <f>'2.RL E'!H32</f>
        <v>0</v>
      </c>
      <c r="H27" s="769">
        <f>'2.RL E'!L32</f>
        <v>0</v>
      </c>
      <c r="I27" s="770" t="str">
        <f>'2.RL E'!P32</f>
        <v>N/A</v>
      </c>
    </row>
    <row r="28" spans="1:9" ht="12.75" hidden="1" customHeight="1">
      <c r="A28" s="361">
        <v>5</v>
      </c>
      <c r="B28" s="2766" t="s">
        <v>804</v>
      </c>
      <c r="C28" s="439"/>
      <c r="D28" s="768">
        <f>'2.RL E'!H12</f>
        <v>69.400000000000006</v>
      </c>
      <c r="E28" s="769">
        <f>'2.RL E'!L12</f>
        <v>69.400000000000006</v>
      </c>
      <c r="F28" s="769">
        <f>'2.RL E'!P12</f>
        <v>69.400000000000006</v>
      </c>
      <c r="G28" s="769">
        <f>'2.RL E'!H33</f>
        <v>69.400000000000006</v>
      </c>
      <c r="H28" s="769">
        <f>'2.RL E'!L33</f>
        <v>69.400000000000006</v>
      </c>
      <c r="I28" s="770">
        <f>'2.RL E'!P33</f>
        <v>69.400000000000006</v>
      </c>
    </row>
    <row r="29" spans="1:9" ht="12.75" hidden="1" customHeight="1">
      <c r="A29" s="361">
        <v>6</v>
      </c>
      <c r="B29" s="2772"/>
      <c r="C29" s="439"/>
      <c r="D29" s="768">
        <f>'2.RL E'!H13</f>
        <v>4.5110000000000001</v>
      </c>
      <c r="E29" s="769">
        <f>'2.RL E'!L13</f>
        <v>4.5110000000000001</v>
      </c>
      <c r="F29" s="769">
        <f>'2.RL E'!P13</f>
        <v>4.5110000000000001</v>
      </c>
      <c r="G29" s="769">
        <f>'2.RL E'!H34</f>
        <v>4.5110000000000001</v>
      </c>
      <c r="H29" s="769">
        <f>'2.RL E'!L34</f>
        <v>4.5110000000000001</v>
      </c>
      <c r="I29" s="770">
        <f>'2.RL E'!P34</f>
        <v>4.5110000000000001</v>
      </c>
    </row>
    <row r="30" spans="1:9" ht="12.75" hidden="1" customHeight="1">
      <c r="A30" s="361">
        <v>7</v>
      </c>
      <c r="B30" s="2767"/>
      <c r="C30" s="439"/>
      <c r="D30" s="768">
        <f>'2.RL E'!H14</f>
        <v>0</v>
      </c>
      <c r="E30" s="769">
        <f>'2.RL E'!L14</f>
        <v>0</v>
      </c>
      <c r="F30" s="769">
        <f>'2.RL E'!P14</f>
        <v>0</v>
      </c>
      <c r="G30" s="769">
        <f>'2.RL E'!H35</f>
        <v>0</v>
      </c>
      <c r="H30" s="769">
        <f>'2.RL E'!L35</f>
        <v>0</v>
      </c>
      <c r="I30" s="770" t="str">
        <f>'2.RL E'!P35</f>
        <v>N/A</v>
      </c>
    </row>
    <row r="31" spans="1:9" ht="12.75" hidden="1" customHeight="1">
      <c r="A31" s="361">
        <v>8</v>
      </c>
      <c r="B31" s="2766" t="s">
        <v>805</v>
      </c>
      <c r="C31" s="439"/>
      <c r="D31" s="768">
        <f>'2.RL E'!H15</f>
        <v>4.3680000000000003</v>
      </c>
      <c r="E31" s="769">
        <f>'2.RL E'!L15</f>
        <v>4.3680000000000003</v>
      </c>
      <c r="F31" s="769">
        <f>'2.RL E'!P15</f>
        <v>4.3680000000000003</v>
      </c>
      <c r="G31" s="769">
        <f>'2.RL E'!H36</f>
        <v>4.3680000000000003</v>
      </c>
      <c r="H31" s="769">
        <f>'2.RL E'!L36</f>
        <v>4.3680000000000003</v>
      </c>
      <c r="I31" s="770">
        <f>'2.RL E'!P36</f>
        <v>4.3680000000000003</v>
      </c>
    </row>
    <row r="32" spans="1:9" ht="12.75" hidden="1" customHeight="1">
      <c r="A32" s="361">
        <v>9</v>
      </c>
      <c r="B32" s="2767"/>
      <c r="C32" s="439"/>
      <c r="D32" s="768">
        <f>'2.RL E'!H16</f>
        <v>0</v>
      </c>
      <c r="E32" s="769">
        <f>'2.RL E'!L16</f>
        <v>0</v>
      </c>
      <c r="F32" s="769">
        <f>'2.RL E'!P16</f>
        <v>0</v>
      </c>
      <c r="G32" s="769">
        <f>'2.RL E'!H37</f>
        <v>0</v>
      </c>
      <c r="H32" s="769">
        <f>'2.RL E'!L37</f>
        <v>0</v>
      </c>
      <c r="I32" s="770">
        <f>'2.RL E'!P37</f>
        <v>0</v>
      </c>
    </row>
    <row r="33" spans="1:9" ht="12.75" hidden="1" customHeight="1">
      <c r="D33" s="771"/>
      <c r="I33" s="767"/>
    </row>
    <row r="34" spans="1:9" ht="12.75" hidden="1" customHeight="1">
      <c r="B34" s="744" t="s">
        <v>966</v>
      </c>
      <c r="C34" s="772"/>
      <c r="D34" s="771"/>
      <c r="I34" s="767"/>
    </row>
    <row r="35" spans="1:9" ht="12.75" hidden="1" customHeight="1">
      <c r="A35" s="2768" t="s">
        <v>7</v>
      </c>
      <c r="B35" s="2770" t="s">
        <v>800</v>
      </c>
      <c r="C35" s="746"/>
      <c r="D35" s="760" t="s">
        <v>171</v>
      </c>
      <c r="E35" s="747"/>
      <c r="F35" s="747"/>
      <c r="G35" s="747"/>
      <c r="H35" s="747"/>
      <c r="I35" s="767"/>
    </row>
    <row r="36" spans="1:9" ht="12.75" hidden="1" customHeight="1">
      <c r="A36" s="2769"/>
      <c r="B36" s="2771"/>
      <c r="C36" s="749"/>
      <c r="D36" s="763" t="s">
        <v>418</v>
      </c>
      <c r="E36" s="750" t="s">
        <v>419</v>
      </c>
      <c r="F36" s="750" t="s">
        <v>420</v>
      </c>
      <c r="G36" s="750" t="s">
        <v>421</v>
      </c>
      <c r="H36" s="750" t="s">
        <v>422</v>
      </c>
      <c r="I36" s="764" t="s">
        <v>423</v>
      </c>
    </row>
    <row r="37" spans="1:9" ht="12.75" hidden="1" customHeight="1">
      <c r="A37" s="361">
        <v>1</v>
      </c>
      <c r="B37" s="773" t="s">
        <v>484</v>
      </c>
      <c r="C37" s="439"/>
      <c r="D37" s="755">
        <f>'3.RL G'!E7</f>
        <v>0</v>
      </c>
      <c r="E37" s="756">
        <f>'3.RL G'!I7</f>
        <v>0</v>
      </c>
      <c r="F37" s="756">
        <f>'3.RL G'!M7</f>
        <v>0</v>
      </c>
      <c r="G37" s="756">
        <f>'3.RL G'!E24</f>
        <v>0</v>
      </c>
      <c r="H37" s="756">
        <f>'3.RL G'!I24</f>
        <v>0</v>
      </c>
      <c r="I37" s="767">
        <f>'3.RL G'!M24</f>
        <v>0</v>
      </c>
    </row>
    <row r="38" spans="1:9" ht="12.75" hidden="1" customHeight="1">
      <c r="A38" s="361">
        <v>2</v>
      </c>
      <c r="B38" s="773" t="s">
        <v>487</v>
      </c>
      <c r="C38" s="439"/>
      <c r="D38" s="755">
        <f>'3.RL G'!E8</f>
        <v>0</v>
      </c>
      <c r="E38" s="756">
        <f>'3.RL G'!I8</f>
        <v>0</v>
      </c>
      <c r="F38" s="756">
        <f>'3.RL G'!M8</f>
        <v>0</v>
      </c>
      <c r="G38" s="756">
        <f>'3.RL G'!E25</f>
        <v>0</v>
      </c>
      <c r="H38" s="756">
        <f>'3.RL G'!I25</f>
        <v>0</v>
      </c>
      <c r="I38" s="767">
        <f>'3.RL G'!M25</f>
        <v>0</v>
      </c>
    </row>
    <row r="39" spans="1:9" ht="12.75" hidden="1" customHeight="1">
      <c r="A39" s="361">
        <v>3</v>
      </c>
      <c r="B39" s="2766" t="s">
        <v>809</v>
      </c>
      <c r="C39" s="758" t="s">
        <v>645</v>
      </c>
      <c r="D39" s="755">
        <f>'3.RL G'!E9</f>
        <v>0</v>
      </c>
      <c r="E39" s="756">
        <f>'3.RL G'!I9</f>
        <v>0</v>
      </c>
      <c r="F39" s="756">
        <f>'3.RL G'!M9</f>
        <v>0</v>
      </c>
      <c r="G39" s="756">
        <f>'3.RL G'!E26</f>
        <v>0</v>
      </c>
      <c r="H39" s="756">
        <f>'3.RL G'!I26</f>
        <v>0</v>
      </c>
      <c r="I39" s="767">
        <f>'3.RL G'!M26</f>
        <v>0</v>
      </c>
    </row>
    <row r="40" spans="1:9" ht="12.75" hidden="1" customHeight="1">
      <c r="A40" s="361">
        <v>4</v>
      </c>
      <c r="B40" s="2772"/>
      <c r="C40" s="758" t="s">
        <v>649</v>
      </c>
      <c r="D40" s="755">
        <f>'3.RL G'!E10</f>
        <v>0</v>
      </c>
      <c r="E40" s="756">
        <f>'3.RL G'!I10</f>
        <v>0</v>
      </c>
      <c r="F40" s="756">
        <f>'3.RL G'!M10</f>
        <v>0</v>
      </c>
      <c r="G40" s="756">
        <f>'3.RL G'!E27</f>
        <v>0</v>
      </c>
      <c r="H40" s="756">
        <f>'3.RL G'!I27</f>
        <v>0</v>
      </c>
      <c r="I40" s="767">
        <f>'3.RL G'!M27</f>
        <v>0</v>
      </c>
    </row>
    <row r="41" spans="1:9" ht="12.75" hidden="1" customHeight="1">
      <c r="A41" s="361">
        <v>5</v>
      </c>
      <c r="B41" s="2767"/>
      <c r="C41" s="758" t="s">
        <v>651</v>
      </c>
      <c r="D41" s="755">
        <f>'3.RL G'!E11</f>
        <v>0</v>
      </c>
      <c r="E41" s="756">
        <f>'3.RL G'!I11</f>
        <v>0</v>
      </c>
      <c r="F41" s="756">
        <f>'3.RL G'!M11</f>
        <v>0</v>
      </c>
      <c r="G41" s="756">
        <f>'3.RL G'!E28</f>
        <v>0</v>
      </c>
      <c r="H41" s="756">
        <f>'3.RL G'!I28</f>
        <v>0</v>
      </c>
      <c r="I41" s="767">
        <f>'3.RL G'!M28</f>
        <v>0</v>
      </c>
    </row>
    <row r="42" spans="1:9" ht="12.75" hidden="1" customHeight="1">
      <c r="A42" s="361">
        <v>6</v>
      </c>
      <c r="B42" s="2766" t="s">
        <v>810</v>
      </c>
      <c r="C42" s="439"/>
      <c r="D42" s="755">
        <f>'3.RL G'!E12</f>
        <v>0</v>
      </c>
      <c r="E42" s="756">
        <f>'3.RL G'!I12</f>
        <v>0</v>
      </c>
      <c r="F42" s="756">
        <f>'3.RL G'!M12</f>
        <v>0</v>
      </c>
      <c r="G42" s="756">
        <f>'3.RL G'!E29</f>
        <v>0</v>
      </c>
      <c r="H42" s="756">
        <f>'3.RL G'!I29</f>
        <v>0</v>
      </c>
      <c r="I42" s="767">
        <f>'3.RL G'!M29</f>
        <v>0</v>
      </c>
    </row>
    <row r="43" spans="1:9" ht="12.75" hidden="1" customHeight="1">
      <c r="A43" s="361">
        <v>7</v>
      </c>
      <c r="B43" s="2767"/>
      <c r="C43" s="439"/>
      <c r="D43" s="755">
        <f>'3.RL G'!E13</f>
        <v>0</v>
      </c>
      <c r="E43" s="756">
        <f>'3.RL G'!I13</f>
        <v>0</v>
      </c>
      <c r="F43" s="756">
        <f>'3.RL G'!M13</f>
        <v>0</v>
      </c>
      <c r="G43" s="756">
        <f>'3.RL G'!E30</f>
        <v>0</v>
      </c>
      <c r="H43" s="756">
        <f>'3.RL G'!I30</f>
        <v>0</v>
      </c>
      <c r="I43" s="767">
        <f>'3.RL G'!M30</f>
        <v>0</v>
      </c>
    </row>
    <row r="44" spans="1:9" ht="12.75" hidden="1" customHeight="1">
      <c r="A44" s="2773" t="s">
        <v>2</v>
      </c>
      <c r="B44" s="2773"/>
      <c r="C44" s="746"/>
      <c r="D44" s="760" t="s">
        <v>173</v>
      </c>
      <c r="E44" s="747"/>
      <c r="F44" s="747"/>
      <c r="G44" s="747"/>
      <c r="H44" s="747"/>
      <c r="I44" s="767"/>
    </row>
    <row r="45" spans="1:9" ht="12.75" hidden="1" customHeight="1">
      <c r="A45" s="167" t="s">
        <v>57</v>
      </c>
      <c r="B45" s="762" t="s">
        <v>807</v>
      </c>
      <c r="C45" s="746"/>
      <c r="D45" s="763" t="s">
        <v>418</v>
      </c>
      <c r="E45" s="750" t="s">
        <v>419</v>
      </c>
      <c r="F45" s="750" t="s">
        <v>420</v>
      </c>
      <c r="G45" s="750" t="s">
        <v>421</v>
      </c>
      <c r="H45" s="750" t="s">
        <v>422</v>
      </c>
      <c r="I45" s="764" t="s">
        <v>423</v>
      </c>
    </row>
    <row r="46" spans="1:9" ht="12.75" hidden="1" customHeight="1">
      <c r="A46" s="361">
        <v>1</v>
      </c>
      <c r="B46" s="363" t="s">
        <v>489</v>
      </c>
      <c r="C46" s="774"/>
      <c r="D46" s="755">
        <f>'3.RL G'!E16</f>
        <v>0</v>
      </c>
      <c r="E46" s="756">
        <f>'3.RL G'!I16</f>
        <v>0</v>
      </c>
      <c r="F46" s="756">
        <f>'3.RL G'!M16</f>
        <v>0</v>
      </c>
      <c r="G46" s="756">
        <f>'3.RL G'!E33</f>
        <v>0</v>
      </c>
      <c r="H46" s="756">
        <f>'3.RL G'!I33</f>
        <v>0</v>
      </c>
      <c r="I46" s="767">
        <f>'3.RL G'!M33</f>
        <v>0</v>
      </c>
    </row>
    <row r="47" spans="1:9" ht="12.75" hidden="1" customHeight="1">
      <c r="A47" s="361">
        <v>2</v>
      </c>
      <c r="B47" s="363" t="s">
        <v>811</v>
      </c>
      <c r="C47" s="774"/>
      <c r="D47" s="755">
        <f>'3.RL G'!E17</f>
        <v>0</v>
      </c>
      <c r="E47" s="756">
        <f>'3.RL G'!I17</f>
        <v>0</v>
      </c>
      <c r="F47" s="756">
        <f>'3.RL G'!M17</f>
        <v>0</v>
      </c>
      <c r="G47" s="756">
        <f>'3.RL G'!E34</f>
        <v>0</v>
      </c>
      <c r="H47" s="756">
        <f>'3.RL G'!I34</f>
        <v>0</v>
      </c>
      <c r="I47" s="767">
        <f>'3.RL G'!M34</f>
        <v>0</v>
      </c>
    </row>
    <row r="48" spans="1:9" ht="12.75" hidden="1" customHeight="1">
      <c r="A48" s="361">
        <v>3</v>
      </c>
      <c r="B48" s="363" t="s">
        <v>776</v>
      </c>
      <c r="C48" s="774"/>
      <c r="D48" s="755">
        <f>'3.RL G'!E18</f>
        <v>0</v>
      </c>
      <c r="E48" s="756">
        <f>'3.RL G'!I18</f>
        <v>0</v>
      </c>
      <c r="F48" s="756">
        <f>'3.RL G'!M18</f>
        <v>0</v>
      </c>
      <c r="G48" s="756">
        <f>'3.RL G'!E35</f>
        <v>0</v>
      </c>
      <c r="H48" s="756">
        <f>'3.RL G'!I35</f>
        <v>0</v>
      </c>
      <c r="I48" s="767">
        <f>'3.RL G'!M35</f>
        <v>0</v>
      </c>
    </row>
    <row r="49" spans="1:9" ht="12.75" hidden="1" customHeight="1">
      <c r="A49" s="2768" t="s">
        <v>7</v>
      </c>
      <c r="B49" s="2770" t="s">
        <v>800</v>
      </c>
      <c r="C49" s="746"/>
      <c r="D49" s="760" t="s">
        <v>172</v>
      </c>
      <c r="E49" s="747"/>
      <c r="F49" s="747"/>
      <c r="G49" s="747"/>
      <c r="H49" s="747"/>
      <c r="I49" s="767"/>
    </row>
    <row r="50" spans="1:9" ht="12.75" hidden="1" customHeight="1">
      <c r="A50" s="2769"/>
      <c r="B50" s="2771"/>
      <c r="C50" s="749"/>
      <c r="D50" s="763" t="s">
        <v>418</v>
      </c>
      <c r="E50" s="750" t="s">
        <v>419</v>
      </c>
      <c r="F50" s="750" t="s">
        <v>420</v>
      </c>
      <c r="G50" s="750" t="s">
        <v>421</v>
      </c>
      <c r="H50" s="750" t="s">
        <v>422</v>
      </c>
      <c r="I50" s="764" t="s">
        <v>423</v>
      </c>
    </row>
    <row r="51" spans="1:9" ht="12.75" hidden="1" customHeight="1">
      <c r="A51" s="361">
        <v>1</v>
      </c>
      <c r="B51" s="773" t="s">
        <v>484</v>
      </c>
      <c r="C51" s="439"/>
      <c r="D51" s="768">
        <f>'3.RL G'!G7</f>
        <v>93.2</v>
      </c>
      <c r="E51" s="769">
        <f>'3.RL G'!K7</f>
        <v>93.2</v>
      </c>
      <c r="F51" s="769">
        <f>'3.RL G'!O7</f>
        <v>93.2</v>
      </c>
      <c r="G51" s="769">
        <f>'3.RL G'!G24</f>
        <v>93.2</v>
      </c>
      <c r="H51" s="769">
        <f>'3.RL G'!K24</f>
        <v>93.2</v>
      </c>
      <c r="I51" s="775">
        <f>'3.RL G'!O24</f>
        <v>93.2</v>
      </c>
    </row>
    <row r="52" spans="1:9" ht="12.75" hidden="1" customHeight="1">
      <c r="A52" s="361">
        <v>2</v>
      </c>
      <c r="B52" s="773" t="s">
        <v>487</v>
      </c>
      <c r="C52" s="439"/>
      <c r="D52" s="768">
        <f>'3.RL G'!G8</f>
        <v>1017.578125</v>
      </c>
      <c r="E52" s="769">
        <f>'3.RL G'!K8</f>
        <v>1017.578125</v>
      </c>
      <c r="F52" s="769">
        <f>'3.RL G'!O8</f>
        <v>1017.578125</v>
      </c>
      <c r="G52" s="769">
        <f>'3.RL G'!G25</f>
        <v>1017.578125</v>
      </c>
      <c r="H52" s="769">
        <f>'3.RL G'!K25</f>
        <v>1017.578125</v>
      </c>
      <c r="I52" s="775">
        <f>'3.RL G'!O25</f>
        <v>1017.578125</v>
      </c>
    </row>
    <row r="53" spans="1:9" ht="12.75" hidden="1" customHeight="1">
      <c r="A53" s="361">
        <v>3</v>
      </c>
      <c r="B53" s="2766" t="s">
        <v>809</v>
      </c>
      <c r="C53" s="439"/>
      <c r="D53" s="768">
        <f>'3.RL G'!G9</f>
        <v>246.75</v>
      </c>
      <c r="E53" s="769">
        <f>'3.RL G'!K9</f>
        <v>246.75</v>
      </c>
      <c r="F53" s="769">
        <f>'3.RL G'!O9</f>
        <v>246.75</v>
      </c>
      <c r="G53" s="769">
        <f>'3.RL G'!G26</f>
        <v>246.75</v>
      </c>
      <c r="H53" s="769">
        <f>'3.RL G'!K26</f>
        <v>246.75</v>
      </c>
      <c r="I53" s="775">
        <f>'3.RL G'!O26</f>
        <v>246.75</v>
      </c>
    </row>
    <row r="54" spans="1:9" ht="12.75" hidden="1" customHeight="1">
      <c r="A54" s="361">
        <v>4</v>
      </c>
      <c r="B54" s="2772"/>
      <c r="C54" s="439"/>
      <c r="D54" s="768">
        <f>'3.RL G'!G10</f>
        <v>32.077500000000001</v>
      </c>
      <c r="E54" s="769">
        <f>'3.RL G'!K10</f>
        <v>32.077500000000001</v>
      </c>
      <c r="F54" s="769">
        <f>'3.RL G'!O10</f>
        <v>32.077500000000001</v>
      </c>
      <c r="G54" s="769">
        <f>'3.RL G'!G27</f>
        <v>32.077500000000001</v>
      </c>
      <c r="H54" s="769">
        <f>'3.RL G'!K27</f>
        <v>32.077500000000001</v>
      </c>
      <c r="I54" s="775">
        <f>'3.RL G'!O27</f>
        <v>32.077500000000001</v>
      </c>
    </row>
    <row r="55" spans="1:9" ht="12.75" hidden="1" customHeight="1">
      <c r="A55" s="361">
        <v>5</v>
      </c>
      <c r="B55" s="2767"/>
      <c r="C55" s="439"/>
      <c r="D55" s="768">
        <f>'3.RL G'!G11</f>
        <v>0</v>
      </c>
      <c r="E55" s="769">
        <f>'3.RL G'!K11</f>
        <v>0</v>
      </c>
      <c r="F55" s="769">
        <f>'3.RL G'!O11</f>
        <v>0</v>
      </c>
      <c r="G55" s="769">
        <f>'3.RL G'!G28</f>
        <v>0</v>
      </c>
      <c r="H55" s="769">
        <f>'3.RL G'!K28</f>
        <v>0</v>
      </c>
      <c r="I55" s="775" t="str">
        <f>'3.RL G'!O28</f>
        <v>N/A</v>
      </c>
    </row>
    <row r="56" spans="1:9" ht="12.75" hidden="1" customHeight="1">
      <c r="A56" s="361">
        <v>6</v>
      </c>
      <c r="B56" s="2766" t="s">
        <v>810</v>
      </c>
      <c r="C56" s="439"/>
      <c r="D56" s="768">
        <f>'3.RL G'!G12</f>
        <v>1.234</v>
      </c>
      <c r="E56" s="769">
        <f>'3.RL G'!K12</f>
        <v>1.234</v>
      </c>
      <c r="F56" s="769">
        <f>'3.RL G'!O12</f>
        <v>1.234</v>
      </c>
      <c r="G56" s="769">
        <f>'3.RL G'!G29</f>
        <v>1.234</v>
      </c>
      <c r="H56" s="769">
        <f>'3.RL G'!K29</f>
        <v>1.234</v>
      </c>
      <c r="I56" s="775">
        <f>'3.RL G'!O29</f>
        <v>1.234</v>
      </c>
    </row>
    <row r="57" spans="1:9" ht="12.75" hidden="1" customHeight="1">
      <c r="A57" s="361">
        <v>7</v>
      </c>
      <c r="B57" s="2767"/>
      <c r="C57" s="439"/>
      <c r="D57" s="768">
        <f>'3.RL G'!G13</f>
        <v>0</v>
      </c>
      <c r="E57" s="769">
        <f>'3.RL G'!K13</f>
        <v>0</v>
      </c>
      <c r="F57" s="769">
        <f>'3.RL G'!O13</f>
        <v>0</v>
      </c>
      <c r="G57" s="769">
        <f>'3.RL G'!G30</f>
        <v>0</v>
      </c>
      <c r="H57" s="769">
        <f>'3.RL G'!K30</f>
        <v>0</v>
      </c>
      <c r="I57" s="775">
        <f>'3.RL G'!O30</f>
        <v>0</v>
      </c>
    </row>
    <row r="58" spans="1:9" ht="12.75" hidden="1" customHeight="1">
      <c r="D58" s="771"/>
      <c r="I58" s="767"/>
    </row>
    <row r="59" spans="1:9" ht="12.75" hidden="1" customHeight="1">
      <c r="B59" s="744" t="s">
        <v>967</v>
      </c>
      <c r="C59" s="772"/>
      <c r="D59" s="771"/>
      <c r="I59" s="767"/>
    </row>
    <row r="60" spans="1:9" ht="12.75" hidden="1" customHeight="1">
      <c r="A60" s="2768" t="s">
        <v>7</v>
      </c>
      <c r="B60" s="2770" t="s">
        <v>800</v>
      </c>
      <c r="C60" s="746"/>
      <c r="D60" s="760" t="s">
        <v>171</v>
      </c>
      <c r="E60" s="747"/>
      <c r="F60" s="747"/>
      <c r="G60" s="747"/>
      <c r="H60" s="747"/>
      <c r="I60" s="767"/>
    </row>
    <row r="61" spans="1:9" ht="12.75" hidden="1" customHeight="1">
      <c r="A61" s="2769"/>
      <c r="B61" s="2771"/>
      <c r="C61" s="749"/>
      <c r="D61" s="763" t="s">
        <v>418</v>
      </c>
      <c r="E61" s="750" t="s">
        <v>419</v>
      </c>
      <c r="F61" s="750" t="s">
        <v>420</v>
      </c>
      <c r="G61" s="750" t="s">
        <v>421</v>
      </c>
      <c r="H61" s="750" t="s">
        <v>422</v>
      </c>
      <c r="I61" s="764" t="s">
        <v>423</v>
      </c>
    </row>
    <row r="62" spans="1:9" ht="12.75" hidden="1" customHeight="1">
      <c r="A62" s="167">
        <v>1</v>
      </c>
      <c r="B62" s="155" t="s">
        <v>968</v>
      </c>
      <c r="C62" s="439" t="s">
        <v>802</v>
      </c>
      <c r="D62" s="755">
        <f>'4.RL F'!F7</f>
        <v>0</v>
      </c>
      <c r="E62" s="756">
        <f>'4.RL F'!J7</f>
        <v>0</v>
      </c>
      <c r="F62" s="756">
        <f>'4.RL F'!N7</f>
        <v>0</v>
      </c>
      <c r="G62" s="756">
        <f>'4.RL F'!F28</f>
        <v>0</v>
      </c>
      <c r="H62" s="756">
        <f>'4.RL F'!J28</f>
        <v>0</v>
      </c>
      <c r="I62" s="767">
        <f>'4.RL F'!N28</f>
        <v>0</v>
      </c>
    </row>
    <row r="63" spans="1:9" ht="12.75" hidden="1" customHeight="1">
      <c r="A63" s="167"/>
      <c r="B63" s="155" t="s">
        <v>801</v>
      </c>
      <c r="C63" s="439" t="s">
        <v>802</v>
      </c>
      <c r="D63" s="755">
        <f>'4.RL F'!F8</f>
        <v>0</v>
      </c>
      <c r="E63" s="756">
        <f>'4.RL F'!J8</f>
        <v>0</v>
      </c>
      <c r="F63" s="756">
        <f>'4.RL F'!N8</f>
        <v>0</v>
      </c>
      <c r="G63" s="756">
        <f>'4.RL F'!F29</f>
        <v>0</v>
      </c>
      <c r="H63" s="756">
        <f>'4.RL F'!J29</f>
        <v>0</v>
      </c>
      <c r="I63" s="767">
        <f>'4.RL F'!N29</f>
        <v>0</v>
      </c>
    </row>
    <row r="64" spans="1:9" ht="12.75" hidden="1" customHeight="1">
      <c r="A64" s="361">
        <v>2</v>
      </c>
      <c r="B64" s="2766" t="s">
        <v>803</v>
      </c>
      <c r="C64" s="758" t="s">
        <v>645</v>
      </c>
      <c r="D64" s="755">
        <f>'4.RL F'!F9</f>
        <v>0</v>
      </c>
      <c r="E64" s="756">
        <f>'4.RL F'!J9</f>
        <v>0</v>
      </c>
      <c r="F64" s="756">
        <f>'4.RL F'!N9</f>
        <v>0</v>
      </c>
      <c r="G64" s="756">
        <f>'4.RL F'!F30</f>
        <v>0</v>
      </c>
      <c r="H64" s="756">
        <f>'4.RL F'!J30</f>
        <v>0</v>
      </c>
      <c r="I64" s="767">
        <f>'4.RL F'!N30</f>
        <v>0</v>
      </c>
    </row>
    <row r="65" spans="1:9" ht="12.75" hidden="1" customHeight="1">
      <c r="A65" s="361">
        <v>3</v>
      </c>
      <c r="B65" s="2772"/>
      <c r="C65" s="758" t="s">
        <v>649</v>
      </c>
      <c r="D65" s="755">
        <f>'4.RL F'!F10</f>
        <v>0</v>
      </c>
      <c r="E65" s="756">
        <f>'4.RL F'!J10</f>
        <v>0</v>
      </c>
      <c r="F65" s="756">
        <f>'4.RL F'!N10</f>
        <v>0</v>
      </c>
      <c r="G65" s="756">
        <f>'4.RL F'!F31</f>
        <v>0</v>
      </c>
      <c r="H65" s="756">
        <f>'4.RL F'!J31</f>
        <v>0</v>
      </c>
      <c r="I65" s="767">
        <f>'4.RL F'!N31</f>
        <v>0</v>
      </c>
    </row>
    <row r="66" spans="1:9" ht="12.75" hidden="1" customHeight="1">
      <c r="A66" s="361">
        <v>4</v>
      </c>
      <c r="B66" s="2767"/>
      <c r="C66" s="758" t="s">
        <v>651</v>
      </c>
      <c r="D66" s="755">
        <f>'4.RL F'!F11</f>
        <v>0</v>
      </c>
      <c r="E66" s="756">
        <f>'4.RL F'!J11</f>
        <v>0</v>
      </c>
      <c r="F66" s="756">
        <f>'4.RL F'!N11</f>
        <v>0</v>
      </c>
      <c r="G66" s="756">
        <f>'4.RL F'!F32</f>
        <v>0</v>
      </c>
      <c r="H66" s="756">
        <f>'4.RL F'!J32</f>
        <v>0</v>
      </c>
      <c r="I66" s="767">
        <f>'4.RL F'!N32</f>
        <v>0</v>
      </c>
    </row>
    <row r="67" spans="1:9" ht="12.75" hidden="1" customHeight="1">
      <c r="A67" s="361">
        <v>5</v>
      </c>
      <c r="B67" s="2766" t="s">
        <v>804</v>
      </c>
      <c r="C67" s="758" t="s">
        <v>645</v>
      </c>
      <c r="D67" s="755" t="e">
        <f>'4.RL F'!F12</f>
        <v>#REF!</v>
      </c>
      <c r="E67" s="756" t="e">
        <f>'4.RL F'!J12</f>
        <v>#REF!</v>
      </c>
      <c r="F67" s="756" t="e">
        <f>'4.RL F'!N12</f>
        <v>#REF!</v>
      </c>
      <c r="G67" s="756" t="e">
        <f>'4.RL F'!F33</f>
        <v>#REF!</v>
      </c>
      <c r="H67" s="756" t="e">
        <f>'4.RL F'!J33</f>
        <v>#REF!</v>
      </c>
      <c r="I67" s="767" t="e">
        <f>'4.RL F'!N33</f>
        <v>#REF!</v>
      </c>
    </row>
    <row r="68" spans="1:9" ht="12.75" hidden="1" customHeight="1">
      <c r="A68" s="361">
        <v>6</v>
      </c>
      <c r="B68" s="2772"/>
      <c r="C68" s="758" t="s">
        <v>649</v>
      </c>
      <c r="D68" s="755" t="e">
        <f>'4.RL F'!F13</f>
        <v>#REF!</v>
      </c>
      <c r="E68" s="756" t="e">
        <f>'4.RL F'!J13</f>
        <v>#REF!</v>
      </c>
      <c r="F68" s="756" t="e">
        <f>'4.RL F'!N13</f>
        <v>#REF!</v>
      </c>
      <c r="G68" s="756" t="e">
        <f>'4.RL F'!F34</f>
        <v>#REF!</v>
      </c>
      <c r="H68" s="756" t="e">
        <f>'4.RL F'!J34</f>
        <v>#REF!</v>
      </c>
      <c r="I68" s="767" t="e">
        <f>'4.RL F'!N34</f>
        <v>#REF!</v>
      </c>
    </row>
    <row r="69" spans="1:9" ht="12.75" hidden="1" customHeight="1">
      <c r="A69" s="361">
        <v>7</v>
      </c>
      <c r="B69" s="2767"/>
      <c r="C69" s="758" t="s">
        <v>651</v>
      </c>
      <c r="D69" s="755" t="e">
        <f>'4.RL F'!F14</f>
        <v>#REF!</v>
      </c>
      <c r="E69" s="756" t="e">
        <f>'4.RL F'!J14</f>
        <v>#REF!</v>
      </c>
      <c r="F69" s="756" t="e">
        <f>'4.RL F'!N14</f>
        <v>#REF!</v>
      </c>
      <c r="G69" s="756" t="e">
        <f>'4.RL F'!F35</f>
        <v>#REF!</v>
      </c>
      <c r="H69" s="756" t="e">
        <f>'4.RL F'!J35</f>
        <v>#REF!</v>
      </c>
      <c r="I69" s="767" t="e">
        <f>'4.RL F'!N35</f>
        <v>#REF!</v>
      </c>
    </row>
    <row r="70" spans="1:9" ht="12.75" hidden="1" customHeight="1">
      <c r="A70" s="361">
        <v>8</v>
      </c>
      <c r="B70" s="2766" t="s">
        <v>805</v>
      </c>
      <c r="C70" s="439" t="s">
        <v>806</v>
      </c>
      <c r="D70" s="755">
        <f>'4.RL F'!F15</f>
        <v>0</v>
      </c>
      <c r="E70" s="756">
        <f>'4.RL F'!J15</f>
        <v>0</v>
      </c>
      <c r="F70" s="756">
        <f>'4.RL F'!N15</f>
        <v>0</v>
      </c>
      <c r="G70" s="756">
        <f>'4.RL F'!F36</f>
        <v>0</v>
      </c>
      <c r="H70" s="756">
        <f>'4.RL F'!J36</f>
        <v>0</v>
      </c>
      <c r="I70" s="767">
        <f>'4.RL F'!N36</f>
        <v>0</v>
      </c>
    </row>
    <row r="71" spans="1:9" ht="12.75" hidden="1" customHeight="1">
      <c r="A71" s="361">
        <v>9</v>
      </c>
      <c r="B71" s="2767"/>
      <c r="C71" s="439" t="s">
        <v>657</v>
      </c>
      <c r="D71" s="755">
        <f>'4.RL F'!F16</f>
        <v>0</v>
      </c>
      <c r="E71" s="756">
        <f>'4.RL F'!J16</f>
        <v>0</v>
      </c>
      <c r="F71" s="756">
        <f>'4.RL F'!N16</f>
        <v>0</v>
      </c>
      <c r="G71" s="756">
        <f>'4.RL F'!F37</f>
        <v>0</v>
      </c>
      <c r="H71" s="756">
        <f>'4.RL F'!J37</f>
        <v>0</v>
      </c>
      <c r="I71" s="767">
        <f>'4.RL F'!N37</f>
        <v>0</v>
      </c>
    </row>
    <row r="72" spans="1:9" ht="12.75" hidden="1" customHeight="1">
      <c r="A72" s="2773" t="s">
        <v>2</v>
      </c>
      <c r="B72" s="2773"/>
      <c r="C72" s="746"/>
      <c r="D72" s="760" t="s">
        <v>173</v>
      </c>
      <c r="E72" s="747"/>
      <c r="F72" s="747"/>
      <c r="G72" s="747"/>
      <c r="H72" s="747"/>
      <c r="I72" s="767"/>
    </row>
    <row r="73" spans="1:9" ht="12.75" hidden="1" customHeight="1">
      <c r="A73" s="167" t="s">
        <v>57</v>
      </c>
      <c r="B73" s="762" t="s">
        <v>807</v>
      </c>
      <c r="C73" s="746"/>
      <c r="D73" s="763" t="s">
        <v>418</v>
      </c>
      <c r="E73" s="750" t="s">
        <v>419</v>
      </c>
      <c r="F73" s="750" t="s">
        <v>420</v>
      </c>
      <c r="G73" s="750" t="s">
        <v>421</v>
      </c>
      <c r="H73" s="750" t="s">
        <v>422</v>
      </c>
      <c r="I73" s="764" t="s">
        <v>423</v>
      </c>
    </row>
    <row r="74" spans="1:9" ht="12.75" hidden="1" customHeight="1">
      <c r="A74" s="361">
        <v>1</v>
      </c>
      <c r="B74" s="995" t="s">
        <v>969</v>
      </c>
      <c r="C74" s="766"/>
      <c r="D74" s="755">
        <f>'4.RL F'!F19</f>
        <v>0</v>
      </c>
      <c r="E74" s="756">
        <f>'4.RL F'!J19</f>
        <v>0</v>
      </c>
      <c r="F74" s="756">
        <f>'4.RL F'!N19</f>
        <v>0</v>
      </c>
      <c r="G74" s="756">
        <f>'4.RL F'!F40</f>
        <v>0</v>
      </c>
      <c r="H74" s="756">
        <f>'4.RL F'!J40</f>
        <v>0</v>
      </c>
      <c r="I74" s="767">
        <f>'4.RL F'!N40</f>
        <v>0</v>
      </c>
    </row>
    <row r="75" spans="1:9" ht="12.75" hidden="1" customHeight="1">
      <c r="A75" s="361">
        <v>2</v>
      </c>
      <c r="B75" s="765" t="s">
        <v>482</v>
      </c>
      <c r="C75" s="766"/>
      <c r="D75" s="755">
        <f>'4.RL F'!F20</f>
        <v>0</v>
      </c>
      <c r="E75" s="756">
        <f>'4.RL F'!J20</f>
        <v>0</v>
      </c>
      <c r="F75" s="756">
        <f>'4.RL F'!N20</f>
        <v>0</v>
      </c>
      <c r="G75" s="756">
        <f>'4.RL F'!F41</f>
        <v>0</v>
      </c>
      <c r="H75" s="756">
        <f>'4.RL F'!J41</f>
        <v>0</v>
      </c>
      <c r="I75" s="767">
        <f>'4.RL F'!N41</f>
        <v>0</v>
      </c>
    </row>
    <row r="76" spans="1:9" ht="12.75" hidden="1" customHeight="1">
      <c r="A76" s="361">
        <v>3</v>
      </c>
      <c r="B76" s="765" t="s">
        <v>475</v>
      </c>
      <c r="C76" s="766"/>
      <c r="D76" s="755">
        <f>'4.RL F'!F21</f>
        <v>0</v>
      </c>
      <c r="E76" s="756">
        <f>'4.RL F'!J21</f>
        <v>0</v>
      </c>
      <c r="F76" s="756">
        <f>'4.RL F'!N21</f>
        <v>0</v>
      </c>
      <c r="G76" s="756">
        <f>'4.RL F'!F42</f>
        <v>0</v>
      </c>
      <c r="H76" s="756">
        <f>'4.RL F'!J42</f>
        <v>0</v>
      </c>
      <c r="I76" s="767">
        <f>'4.RL F'!N42</f>
        <v>0</v>
      </c>
    </row>
    <row r="77" spans="1:9" ht="12.75" hidden="1" customHeight="1">
      <c r="A77" s="361">
        <v>4</v>
      </c>
      <c r="B77" s="765" t="s">
        <v>808</v>
      </c>
      <c r="C77" s="766"/>
      <c r="D77" s="755" t="e">
        <f>'4.RL F'!#REF!</f>
        <v>#REF!</v>
      </c>
      <c r="E77" s="756" t="e">
        <f>'4.RL F'!#REF!</f>
        <v>#REF!</v>
      </c>
      <c r="F77" s="756">
        <f>'4.RL F'!N22</f>
        <v>0</v>
      </c>
      <c r="G77" s="756" t="e">
        <f>'4.RL F'!#REF!</f>
        <v>#REF!</v>
      </c>
      <c r="H77" s="756" t="e">
        <f>'4.RL F'!#REF!</f>
        <v>#REF!</v>
      </c>
      <c r="I77" s="767"/>
    </row>
    <row r="78" spans="1:9" ht="12.75" hidden="1" customHeight="1">
      <c r="A78" s="2768" t="s">
        <v>7</v>
      </c>
      <c r="B78" s="2770" t="s">
        <v>800</v>
      </c>
      <c r="C78" s="746"/>
      <c r="D78" s="760" t="s">
        <v>172</v>
      </c>
      <c r="E78" s="747"/>
      <c r="F78" s="747"/>
      <c r="G78" s="747"/>
      <c r="H78" s="747"/>
      <c r="I78" s="767"/>
    </row>
    <row r="79" spans="1:9" ht="12.75" hidden="1" customHeight="1">
      <c r="A79" s="2769"/>
      <c r="B79" s="2771"/>
      <c r="C79" s="749"/>
      <c r="D79" s="763" t="s">
        <v>418</v>
      </c>
      <c r="E79" s="750" t="s">
        <v>419</v>
      </c>
      <c r="F79" s="750" t="s">
        <v>420</v>
      </c>
      <c r="G79" s="750" t="s">
        <v>421</v>
      </c>
      <c r="H79" s="750" t="s">
        <v>422</v>
      </c>
      <c r="I79" s="764" t="s">
        <v>423</v>
      </c>
    </row>
    <row r="80" spans="1:9" ht="12.75" hidden="1" customHeight="1">
      <c r="A80" s="361">
        <v>1</v>
      </c>
      <c r="B80" s="155" t="s">
        <v>969</v>
      </c>
      <c r="C80" s="439"/>
      <c r="D80" s="768">
        <f>'4.RL F'!H7</f>
        <v>93.2</v>
      </c>
      <c r="E80" s="769">
        <f>'4.RL F'!L7</f>
        <v>93.2</v>
      </c>
      <c r="F80" s="769">
        <f>'4.RL F'!P7</f>
        <v>93.2</v>
      </c>
      <c r="G80" s="769">
        <f>'4.RL F'!H28</f>
        <v>93.2</v>
      </c>
      <c r="H80" s="769">
        <f>'4.RL F'!L28</f>
        <v>93.2</v>
      </c>
      <c r="I80" s="767">
        <f>'4.RL F'!P28</f>
        <v>93.2</v>
      </c>
    </row>
    <row r="81" spans="1:9" ht="12.75" hidden="1" customHeight="1">
      <c r="A81" s="361"/>
      <c r="B81" s="155" t="s">
        <v>801</v>
      </c>
      <c r="C81" s="439"/>
      <c r="D81" s="768">
        <f>'4.RL F'!H8</f>
        <v>1017.578125</v>
      </c>
      <c r="E81" s="769">
        <f>'4.RL F'!L8</f>
        <v>1017.578125</v>
      </c>
      <c r="F81" s="769">
        <f>'4.RL F'!P8</f>
        <v>1017.578125</v>
      </c>
      <c r="G81" s="769">
        <f>'4.RL F'!H29</f>
        <v>1017.578125</v>
      </c>
      <c r="H81" s="769">
        <f>'4.RL F'!L29</f>
        <v>1017.578125</v>
      </c>
      <c r="I81" s="767">
        <f>'4.RL F'!P29</f>
        <v>1017.578125</v>
      </c>
    </row>
    <row r="82" spans="1:9" ht="12.75" hidden="1" customHeight="1">
      <c r="A82" s="361">
        <v>2</v>
      </c>
      <c r="B82" s="2766" t="s">
        <v>803</v>
      </c>
      <c r="C82" s="439"/>
      <c r="D82" s="768">
        <f>'4.RL F'!H9</f>
        <v>246.75</v>
      </c>
      <c r="E82" s="769">
        <f>'4.RL F'!L9</f>
        <v>246.75</v>
      </c>
      <c r="F82" s="769">
        <f>'4.RL F'!P9</f>
        <v>246.75</v>
      </c>
      <c r="G82" s="769">
        <f>'4.RL F'!H30</f>
        <v>246.75</v>
      </c>
      <c r="H82" s="769">
        <f>'4.RL F'!L30</f>
        <v>246.75</v>
      </c>
      <c r="I82" s="767">
        <f>'4.RL F'!P30</f>
        <v>246.75</v>
      </c>
    </row>
    <row r="83" spans="1:9" ht="12.75" hidden="1" customHeight="1">
      <c r="A83" s="361">
        <v>3</v>
      </c>
      <c r="B83" s="2772"/>
      <c r="C83" s="439"/>
      <c r="D83" s="768">
        <f>'4.RL F'!H10</f>
        <v>32.077500000000001</v>
      </c>
      <c r="E83" s="769">
        <f>'4.RL F'!L10</f>
        <v>32.077500000000001</v>
      </c>
      <c r="F83" s="769">
        <f>'4.RL F'!P10</f>
        <v>32.077500000000001</v>
      </c>
      <c r="G83" s="769">
        <f>'4.RL F'!H31</f>
        <v>32.077500000000001</v>
      </c>
      <c r="H83" s="769">
        <f>'4.RL F'!L31</f>
        <v>32.077500000000001</v>
      </c>
      <c r="I83" s="767">
        <f>'4.RL F'!P31</f>
        <v>32.077500000000001</v>
      </c>
    </row>
    <row r="84" spans="1:9" ht="12.75" hidden="1" customHeight="1">
      <c r="A84" s="361">
        <v>4</v>
      </c>
      <c r="B84" s="2767"/>
      <c r="C84" s="439"/>
      <c r="D84" s="768">
        <f>'4.RL F'!H11</f>
        <v>0</v>
      </c>
      <c r="E84" s="769">
        <f>'4.RL F'!L11</f>
        <v>0</v>
      </c>
      <c r="F84" s="769">
        <f>'4.RL F'!P11</f>
        <v>0</v>
      </c>
      <c r="G84" s="769">
        <f>'4.RL F'!H32</f>
        <v>0</v>
      </c>
      <c r="H84" s="769">
        <f>'4.RL F'!L32</f>
        <v>0</v>
      </c>
      <c r="I84" s="767">
        <f>'4.RL F'!P32</f>
        <v>0</v>
      </c>
    </row>
    <row r="85" spans="1:9" ht="12.75" hidden="1" customHeight="1">
      <c r="A85" s="361">
        <v>5</v>
      </c>
      <c r="B85" s="2766" t="s">
        <v>804</v>
      </c>
      <c r="C85" s="439"/>
      <c r="D85" s="768" t="e">
        <f>'4.RL F'!H12</f>
        <v>#REF!</v>
      </c>
      <c r="E85" s="769" t="e">
        <f>'4.RL F'!L12</f>
        <v>#REF!</v>
      </c>
      <c r="F85" s="769" t="e">
        <f>'4.RL F'!P12</f>
        <v>#REF!</v>
      </c>
      <c r="G85" s="769" t="e">
        <f>'4.RL F'!H33</f>
        <v>#REF!</v>
      </c>
      <c r="H85" s="769" t="e">
        <f>'4.RL F'!L33</f>
        <v>#REF!</v>
      </c>
      <c r="I85" s="767" t="e">
        <f>'4.RL F'!P33</f>
        <v>#REF!</v>
      </c>
    </row>
    <row r="86" spans="1:9" ht="12.75" hidden="1" customHeight="1">
      <c r="A86" s="361">
        <v>6</v>
      </c>
      <c r="B86" s="2772"/>
      <c r="C86" s="439"/>
      <c r="D86" s="768" t="e">
        <f>'4.RL F'!H13</f>
        <v>#REF!</v>
      </c>
      <c r="E86" s="769" t="e">
        <f>'4.RL F'!L13</f>
        <v>#REF!</v>
      </c>
      <c r="F86" s="769" t="e">
        <f>'4.RL F'!P13</f>
        <v>#REF!</v>
      </c>
      <c r="G86" s="769" t="e">
        <f>'4.RL F'!H34</f>
        <v>#REF!</v>
      </c>
      <c r="H86" s="769" t="e">
        <f>'4.RL F'!L34</f>
        <v>#REF!</v>
      </c>
      <c r="I86" s="767" t="e">
        <f>'4.RL F'!P34</f>
        <v>#REF!</v>
      </c>
    </row>
    <row r="87" spans="1:9" ht="12.75" hidden="1" customHeight="1">
      <c r="A87" s="361">
        <v>7</v>
      </c>
      <c r="B87" s="2767"/>
      <c r="C87" s="439"/>
      <c r="D87" s="768" t="e">
        <f>'4.RL F'!H14</f>
        <v>#REF!</v>
      </c>
      <c r="E87" s="769" t="e">
        <f>'4.RL F'!L14</f>
        <v>#REF!</v>
      </c>
      <c r="F87" s="769" t="e">
        <f>'4.RL F'!P14</f>
        <v>#REF!</v>
      </c>
      <c r="G87" s="769" t="e">
        <f>'4.RL F'!H35</f>
        <v>#REF!</v>
      </c>
      <c r="H87" s="769" t="e">
        <f>'4.RL F'!L35</f>
        <v>#REF!</v>
      </c>
      <c r="I87" s="767" t="e">
        <f>'4.RL F'!P35</f>
        <v>#REF!</v>
      </c>
    </row>
    <row r="88" spans="1:9" ht="12.75" hidden="1" customHeight="1">
      <c r="A88" s="361">
        <v>8</v>
      </c>
      <c r="B88" s="2766" t="s">
        <v>805</v>
      </c>
      <c r="C88" s="439"/>
      <c r="D88" s="768">
        <f>'4.RL F'!H15</f>
        <v>1.234</v>
      </c>
      <c r="E88" s="769">
        <f>'4.RL F'!L15</f>
        <v>1.234</v>
      </c>
      <c r="F88" s="769">
        <f>'4.RL F'!P15</f>
        <v>1.234</v>
      </c>
      <c r="G88" s="769">
        <f>'4.RL F'!H36</f>
        <v>1.234</v>
      </c>
      <c r="H88" s="769">
        <f>'4.RL F'!L36</f>
        <v>1.234</v>
      </c>
      <c r="I88" s="767">
        <f>'4.RL F'!P36</f>
        <v>1.234</v>
      </c>
    </row>
    <row r="89" spans="1:9" ht="12.75" hidden="1" customHeight="1">
      <c r="A89" s="361">
        <v>9</v>
      </c>
      <c r="B89" s="2767"/>
      <c r="C89" s="439"/>
      <c r="D89" s="768">
        <f>'4.RL F'!H16</f>
        <v>0</v>
      </c>
      <c r="E89" s="769">
        <f>'4.RL F'!L16</f>
        <v>0</v>
      </c>
      <c r="F89" s="769">
        <f>'4.RL F'!P16</f>
        <v>0</v>
      </c>
      <c r="G89" s="769">
        <f>'4.RL F'!H37</f>
        <v>0</v>
      </c>
      <c r="H89" s="769">
        <f>'4.RL F'!L37</f>
        <v>0</v>
      </c>
      <c r="I89" s="767">
        <f>'4.RL F'!P37</f>
        <v>0</v>
      </c>
    </row>
    <row r="90" spans="1:9" s="781" customFormat="1" ht="12.75" hidden="1" customHeight="1">
      <c r="A90" s="776"/>
      <c r="B90" s="777"/>
      <c r="C90" s="777"/>
      <c r="D90" s="778"/>
      <c r="E90" s="779"/>
      <c r="F90" s="779"/>
      <c r="G90" s="779"/>
      <c r="H90" s="779"/>
      <c r="I90" s="780"/>
    </row>
    <row r="91" spans="1:9" s="781" customFormat="1" ht="16.5" hidden="1" customHeight="1">
      <c r="A91" s="776"/>
      <c r="B91" s="782" t="s">
        <v>812</v>
      </c>
      <c r="C91" s="783"/>
      <c r="D91" s="784">
        <f>R.HN!C12</f>
        <v>3</v>
      </c>
      <c r="E91" s="785">
        <f>R.HN!D12</f>
        <v>3</v>
      </c>
      <c r="F91" s="785">
        <f>R.HN!E12</f>
        <v>3</v>
      </c>
      <c r="G91" s="785">
        <f>R.HN!F12</f>
        <v>3</v>
      </c>
      <c r="H91" s="785">
        <f>R.HN!G12</f>
        <v>3</v>
      </c>
      <c r="I91" s="786">
        <f>R.HN!H12</f>
        <v>3</v>
      </c>
    </row>
    <row r="92" spans="1:9" s="781" customFormat="1" ht="18" hidden="1" customHeight="1">
      <c r="A92" s="776"/>
      <c r="B92" s="782" t="s">
        <v>813</v>
      </c>
      <c r="C92" s="783"/>
      <c r="D92" s="778">
        <f>R.HN!C13</f>
        <v>4</v>
      </c>
      <c r="E92" s="779">
        <f>R.HN!D13</f>
        <v>4</v>
      </c>
      <c r="F92" s="779">
        <f>R.HN!E13</f>
        <v>4</v>
      </c>
      <c r="G92" s="779">
        <f>R.HN!F13</f>
        <v>4</v>
      </c>
      <c r="H92" s="779">
        <f>R.HN!G13</f>
        <v>4</v>
      </c>
      <c r="I92" s="787">
        <f>R.HN!H13</f>
        <v>4</v>
      </c>
    </row>
    <row r="93" spans="1:9" s="781" customFormat="1" ht="18" hidden="1" customHeight="1">
      <c r="A93" s="776"/>
      <c r="B93" s="782" t="s">
        <v>814</v>
      </c>
      <c r="C93" s="783"/>
      <c r="D93" s="784">
        <f>R.HN!C35</f>
        <v>0</v>
      </c>
      <c r="E93" s="785">
        <f>R.HN!D35</f>
        <v>0</v>
      </c>
      <c r="F93" s="785">
        <f>R.HN!E35</f>
        <v>0</v>
      </c>
      <c r="G93" s="785">
        <f>R.HN!F35</f>
        <v>0</v>
      </c>
      <c r="H93" s="785">
        <f>R.HN!G35</f>
        <v>0</v>
      </c>
      <c r="I93" s="786">
        <f>R.HN!H35</f>
        <v>0</v>
      </c>
    </row>
    <row r="94" spans="1:9" s="781" customFormat="1" ht="18" hidden="1" customHeight="1">
      <c r="A94" s="776"/>
      <c r="B94" s="782" t="s">
        <v>815</v>
      </c>
      <c r="C94" s="783"/>
      <c r="D94" s="778">
        <f>R.HN!C36</f>
        <v>0</v>
      </c>
      <c r="E94" s="779">
        <f>R.HN!D36</f>
        <v>0</v>
      </c>
      <c r="F94" s="779">
        <f>R.HN!E36</f>
        <v>0</v>
      </c>
      <c r="G94" s="779">
        <f>R.HN!F36</f>
        <v>0</v>
      </c>
      <c r="H94" s="779">
        <f>R.HN!G36</f>
        <v>0</v>
      </c>
      <c r="I94" s="787">
        <f>R.HN!H36</f>
        <v>0</v>
      </c>
    </row>
    <row r="95" spans="1:9" ht="12.75" customHeight="1" thickBot="1">
      <c r="A95" s="756"/>
      <c r="B95" s="439"/>
      <c r="C95" s="439"/>
      <c r="D95" s="788"/>
      <c r="E95" s="789"/>
      <c r="F95" s="789"/>
      <c r="G95" s="789"/>
      <c r="H95" s="789"/>
      <c r="I95" s="790"/>
    </row>
    <row r="96" spans="1:9" ht="12.75" customHeight="1">
      <c r="A96" s="756"/>
      <c r="B96" s="439"/>
      <c r="C96" s="439"/>
      <c r="D96" s="769"/>
      <c r="E96" s="769"/>
      <c r="F96" s="769"/>
      <c r="G96" s="769"/>
      <c r="H96" s="769"/>
    </row>
    <row r="98" spans="1:9" ht="12.75" customHeight="1">
      <c r="B98" s="744" t="s">
        <v>816</v>
      </c>
    </row>
    <row r="99" spans="1:9" ht="12.75" customHeight="1">
      <c r="A99" s="2756" t="s">
        <v>7</v>
      </c>
      <c r="B99" s="2758" t="s">
        <v>79</v>
      </c>
      <c r="C99" s="747" t="s">
        <v>171</v>
      </c>
      <c r="D99" s="747"/>
    </row>
    <row r="100" spans="1:9" ht="12.75" customHeight="1" thickBot="1">
      <c r="A100" s="2757"/>
      <c r="B100" s="2759"/>
      <c r="C100" s="750">
        <v>0.375</v>
      </c>
      <c r="D100" s="750">
        <v>0.54166666666666663</v>
      </c>
    </row>
    <row r="101" spans="1:9" ht="12.75" customHeight="1">
      <c r="A101" s="791">
        <v>1</v>
      </c>
      <c r="B101" s="363" t="s">
        <v>608</v>
      </c>
      <c r="C101" s="792">
        <f>'1.xi den'!H7</f>
        <v>0</v>
      </c>
      <c r="D101" s="793">
        <f>'1.xi den'!L7</f>
        <v>0</v>
      </c>
      <c r="E101" s="741"/>
      <c r="F101" s="741"/>
      <c r="G101" s="741"/>
      <c r="H101" s="741"/>
      <c r="I101" s="741"/>
    </row>
    <row r="102" spans="1:9" ht="12.75" hidden="1" customHeight="1">
      <c r="A102" s="791">
        <v>2</v>
      </c>
      <c r="B102" s="363" t="s">
        <v>609</v>
      </c>
      <c r="C102" s="794">
        <f>'1.xi den'!H8</f>
        <v>0</v>
      </c>
      <c r="D102" s="795">
        <f>'1.xi den'!L8</f>
        <v>0</v>
      </c>
      <c r="E102" s="741"/>
      <c r="F102" s="741"/>
      <c r="G102" s="741"/>
      <c r="H102" s="741"/>
      <c r="I102" s="741"/>
    </row>
    <row r="103" spans="1:9" ht="12.75" hidden="1" customHeight="1">
      <c r="A103" s="791">
        <v>3</v>
      </c>
      <c r="B103" s="363" t="s">
        <v>610</v>
      </c>
      <c r="C103" s="794">
        <f>'1.xi den'!H9</f>
        <v>0</v>
      </c>
      <c r="D103" s="795">
        <f>'1.xi den'!L9</f>
        <v>0</v>
      </c>
      <c r="E103" s="741"/>
      <c r="F103" s="741"/>
      <c r="G103" s="741"/>
      <c r="H103" s="741"/>
      <c r="I103" s="741"/>
    </row>
    <row r="104" spans="1:9" ht="12.75" hidden="1" customHeight="1">
      <c r="A104" s="791">
        <v>4</v>
      </c>
      <c r="B104" s="363" t="s">
        <v>612</v>
      </c>
      <c r="C104" s="794">
        <f>'1.xi den'!H10</f>
        <v>0</v>
      </c>
      <c r="D104" s="795">
        <f>'1.xi den'!L10</f>
        <v>0</v>
      </c>
      <c r="E104" s="741"/>
      <c r="F104" s="741"/>
      <c r="G104" s="741"/>
      <c r="H104" s="741"/>
      <c r="I104" s="741"/>
    </row>
    <row r="105" spans="1:9" ht="12.75" hidden="1" customHeight="1">
      <c r="A105" s="791">
        <v>5</v>
      </c>
      <c r="B105" s="796" t="s">
        <v>614</v>
      </c>
      <c r="C105" s="794">
        <f>'1.xi den'!H11</f>
        <v>0</v>
      </c>
      <c r="D105" s="795">
        <f>'1.xi den'!L11</f>
        <v>0</v>
      </c>
      <c r="E105" s="741"/>
      <c r="F105" s="741"/>
      <c r="G105" s="741"/>
      <c r="H105" s="741"/>
      <c r="I105" s="741"/>
    </row>
    <row r="106" spans="1:9" ht="12.75" hidden="1" customHeight="1">
      <c r="A106" s="791">
        <v>6</v>
      </c>
      <c r="B106" s="796" t="s">
        <v>616</v>
      </c>
      <c r="C106" s="794">
        <f>'1.xi den'!H12</f>
        <v>0</v>
      </c>
      <c r="D106" s="795">
        <f>'1.xi den'!L12</f>
        <v>0</v>
      </c>
      <c r="E106" s="741"/>
      <c r="F106" s="741"/>
      <c r="G106" s="741"/>
      <c r="H106" s="741"/>
      <c r="I106" s="741"/>
    </row>
    <row r="107" spans="1:9" ht="12.75" hidden="1" customHeight="1">
      <c r="A107" s="791">
        <v>7</v>
      </c>
      <c r="B107" s="796" t="s">
        <v>618</v>
      </c>
      <c r="C107" s="794">
        <f>'1.xi den'!H13</f>
        <v>0</v>
      </c>
      <c r="D107" s="795">
        <f>'1.xi den'!L13</f>
        <v>0</v>
      </c>
      <c r="E107" s="741"/>
      <c r="F107" s="741"/>
      <c r="G107" s="741"/>
      <c r="H107" s="741"/>
      <c r="I107" s="741"/>
    </row>
    <row r="108" spans="1:9" ht="12.75" hidden="1" customHeight="1">
      <c r="A108" s="791">
        <v>8</v>
      </c>
      <c r="B108" s="363" t="s">
        <v>620</v>
      </c>
      <c r="C108" s="794">
        <f>'1.xi den'!H14</f>
        <v>0</v>
      </c>
      <c r="D108" s="795">
        <f>'1.xi den'!L14</f>
        <v>0</v>
      </c>
      <c r="E108" s="741"/>
      <c r="F108" s="741"/>
      <c r="G108" s="741"/>
      <c r="H108" s="741"/>
      <c r="I108" s="741"/>
    </row>
    <row r="109" spans="1:9" ht="12.75" hidden="1" customHeight="1">
      <c r="A109" s="791">
        <v>9</v>
      </c>
      <c r="B109" s="796" t="s">
        <v>817</v>
      </c>
      <c r="C109" s="794">
        <f>'1.xi den'!H15</f>
        <v>0</v>
      </c>
      <c r="D109" s="795">
        <f>'1.xi den'!L15</f>
        <v>0</v>
      </c>
      <c r="E109" s="741"/>
      <c r="F109" s="741"/>
      <c r="G109" s="741"/>
      <c r="H109" s="741"/>
      <c r="I109" s="741"/>
    </row>
    <row r="110" spans="1:9" ht="12.75" hidden="1" customHeight="1">
      <c r="A110" s="797">
        <v>10</v>
      </c>
      <c r="B110" s="798" t="s">
        <v>818</v>
      </c>
      <c r="C110" s="794" t="str">
        <f>'1.xi den'!H17</f>
        <v/>
      </c>
      <c r="D110" s="795" t="str">
        <f>'1.xi den'!L17</f>
        <v>\</v>
      </c>
      <c r="E110" s="741"/>
      <c r="F110" s="741"/>
      <c r="G110" s="741"/>
      <c r="H110" s="741"/>
      <c r="I110" s="741"/>
    </row>
    <row r="111" spans="1:9" ht="12.75" hidden="1" customHeight="1">
      <c r="A111" s="797">
        <v>11</v>
      </c>
      <c r="B111" s="798" t="s">
        <v>819</v>
      </c>
      <c r="C111" s="794" t="str">
        <f>'1.xi den'!H18</f>
        <v/>
      </c>
      <c r="D111" s="795" t="str">
        <f>'1.xi den'!L18</f>
        <v>\</v>
      </c>
      <c r="E111" s="741"/>
      <c r="F111" s="741"/>
      <c r="G111" s="741"/>
      <c r="H111" s="741"/>
      <c r="I111" s="741"/>
    </row>
    <row r="112" spans="1:9" ht="12.75" hidden="1" customHeight="1">
      <c r="A112" s="797">
        <v>12</v>
      </c>
      <c r="B112" s="798" t="s">
        <v>412</v>
      </c>
      <c r="C112" s="794" t="str">
        <f>'1.xi den'!H21</f>
        <v/>
      </c>
      <c r="D112" s="795" t="str">
        <f>'1.xi den'!L21</f>
        <v>\</v>
      </c>
      <c r="E112" s="741"/>
      <c r="F112" s="741"/>
      <c r="G112" s="741"/>
      <c r="H112" s="741"/>
      <c r="I112" s="741"/>
    </row>
    <row r="113" spans="1:9" ht="12.75" hidden="1" customHeight="1">
      <c r="A113" s="797">
        <v>13</v>
      </c>
      <c r="B113" s="798" t="s">
        <v>415</v>
      </c>
      <c r="C113" s="794" t="str">
        <f>'1.xi den'!H22</f>
        <v/>
      </c>
      <c r="D113" s="795" t="str">
        <f>'1.xi den'!L22</f>
        <v>\</v>
      </c>
      <c r="E113" s="741"/>
      <c r="F113" s="741"/>
      <c r="G113" s="741"/>
      <c r="H113" s="741"/>
      <c r="I113" s="741"/>
    </row>
    <row r="114" spans="1:9" ht="12.75" hidden="1" customHeight="1">
      <c r="A114" s="361"/>
      <c r="B114" s="799" t="s">
        <v>117</v>
      </c>
      <c r="C114" s="800" t="s">
        <v>173</v>
      </c>
      <c r="D114" s="801"/>
      <c r="E114" s="741"/>
      <c r="F114" s="741"/>
      <c r="G114" s="741"/>
      <c r="H114" s="741"/>
      <c r="I114" s="741"/>
    </row>
    <row r="115" spans="1:9" ht="12.75" hidden="1" customHeight="1">
      <c r="A115" s="526" t="s">
        <v>7</v>
      </c>
      <c r="B115" s="799" t="s">
        <v>64</v>
      </c>
      <c r="C115" s="802">
        <v>0.375</v>
      </c>
      <c r="D115" s="803">
        <v>0.54166666666666663</v>
      </c>
      <c r="E115" s="741"/>
      <c r="F115" s="741"/>
      <c r="G115" s="741"/>
      <c r="H115" s="741"/>
      <c r="I115" s="741"/>
    </row>
    <row r="116" spans="1:9" ht="12.75" hidden="1" customHeight="1">
      <c r="A116" s="526">
        <v>1</v>
      </c>
      <c r="B116" s="155" t="s">
        <v>509</v>
      </c>
      <c r="C116" s="794">
        <f>'1.xi den'!H25</f>
        <v>0</v>
      </c>
      <c r="D116" s="795">
        <f>'1.xi den'!L25</f>
        <v>0</v>
      </c>
      <c r="E116" s="741"/>
      <c r="F116" s="741"/>
      <c r="G116" s="741"/>
      <c r="H116" s="741"/>
      <c r="I116" s="741"/>
    </row>
    <row r="117" spans="1:9" ht="12.75" hidden="1" customHeight="1">
      <c r="A117" s="526">
        <v>2</v>
      </c>
      <c r="B117" s="155" t="s">
        <v>513</v>
      </c>
      <c r="C117" s="794">
        <f>'1.xi den'!H26</f>
        <v>0</v>
      </c>
      <c r="D117" s="795">
        <f>'1.xi den'!L26</f>
        <v>0</v>
      </c>
      <c r="E117" s="741"/>
      <c r="F117" s="741"/>
      <c r="G117" s="741"/>
      <c r="H117" s="741"/>
      <c r="I117" s="741"/>
    </row>
    <row r="118" spans="1:9" ht="12.75" hidden="1" customHeight="1">
      <c r="A118" s="526">
        <v>3</v>
      </c>
      <c r="B118" s="155" t="s">
        <v>515</v>
      </c>
      <c r="C118" s="794">
        <f>'1.xi den'!H27</f>
        <v>0</v>
      </c>
      <c r="D118" s="795">
        <f>'1.xi den'!L27</f>
        <v>0</v>
      </c>
      <c r="E118" s="741"/>
      <c r="F118" s="741"/>
      <c r="G118" s="741"/>
      <c r="H118" s="741"/>
      <c r="I118" s="741"/>
    </row>
    <row r="119" spans="1:9" ht="12.75" hidden="1" customHeight="1">
      <c r="A119" s="526">
        <v>4</v>
      </c>
      <c r="B119" s="155" t="s">
        <v>546</v>
      </c>
      <c r="C119" s="794">
        <f>'1.xi den'!H28</f>
        <v>0</v>
      </c>
      <c r="D119" s="795">
        <f>'1.xi den'!L28</f>
        <v>0</v>
      </c>
      <c r="E119" s="741"/>
      <c r="F119" s="741"/>
      <c r="G119" s="741"/>
      <c r="H119" s="741"/>
      <c r="I119" s="741"/>
    </row>
    <row r="120" spans="1:9" ht="12.75" hidden="1" customHeight="1">
      <c r="A120" s="526">
        <v>5</v>
      </c>
      <c r="B120" s="155" t="s">
        <v>820</v>
      </c>
      <c r="C120" s="794">
        <f>'1.xi den'!H29</f>
        <v>0</v>
      </c>
      <c r="D120" s="795">
        <f>'1.xi den'!L29</f>
        <v>0</v>
      </c>
      <c r="E120" s="741"/>
      <c r="F120" s="741"/>
      <c r="G120" s="741"/>
      <c r="H120" s="741"/>
      <c r="I120" s="741"/>
    </row>
    <row r="121" spans="1:9" ht="12.75" hidden="1" customHeight="1">
      <c r="A121" s="526">
        <v>6</v>
      </c>
      <c r="B121" s="155" t="s">
        <v>554</v>
      </c>
      <c r="C121" s="794">
        <f>'1.xi den'!I31</f>
        <v>0</v>
      </c>
      <c r="D121" s="795">
        <f>'1.xi den'!M31</f>
        <v>0</v>
      </c>
      <c r="E121" s="741"/>
      <c r="F121" s="741"/>
      <c r="G121" s="741"/>
      <c r="H121" s="741"/>
      <c r="I121" s="741"/>
    </row>
    <row r="122" spans="1:9" ht="12.75" hidden="1" customHeight="1">
      <c r="A122" s="526">
        <v>1</v>
      </c>
      <c r="B122" s="804" t="s">
        <v>821</v>
      </c>
      <c r="C122" s="802">
        <v>0.375</v>
      </c>
      <c r="D122" s="803">
        <v>0.54166666666666663</v>
      </c>
      <c r="E122" s="741"/>
      <c r="F122" s="741"/>
      <c r="G122" s="741"/>
      <c r="H122" s="741"/>
      <c r="I122" s="741"/>
    </row>
    <row r="123" spans="1:9" ht="12.75" hidden="1" customHeight="1">
      <c r="A123" s="526">
        <v>2</v>
      </c>
      <c r="B123" s="805" t="s">
        <v>556</v>
      </c>
      <c r="C123" s="794">
        <f>'1.xi den'!H33</f>
        <v>0</v>
      </c>
      <c r="D123" s="795">
        <f>'1.xi den'!L33</f>
        <v>0</v>
      </c>
      <c r="E123" s="741"/>
      <c r="F123" s="741"/>
      <c r="G123" s="741"/>
      <c r="H123" s="741"/>
      <c r="I123" s="741"/>
    </row>
    <row r="124" spans="1:9" ht="12.75" hidden="1" customHeight="1">
      <c r="A124" s="806"/>
      <c r="B124" s="807" t="s">
        <v>559</v>
      </c>
      <c r="C124" s="794">
        <f>'1.xi den'!H34</f>
        <v>0</v>
      </c>
      <c r="D124" s="795">
        <f>'1.xi den'!L34</f>
        <v>0</v>
      </c>
      <c r="E124" s="741"/>
      <c r="F124" s="741"/>
      <c r="G124" s="741"/>
      <c r="H124" s="741"/>
      <c r="I124" s="741"/>
    </row>
    <row r="125" spans="1:9" ht="12.75" hidden="1" customHeight="1">
      <c r="A125" s="808"/>
      <c r="B125" s="809"/>
      <c r="C125" s="810" t="s">
        <v>172</v>
      </c>
      <c r="D125" s="801"/>
      <c r="E125" s="741"/>
      <c r="F125" s="741"/>
      <c r="G125" s="741"/>
      <c r="H125" s="741"/>
      <c r="I125" s="741"/>
    </row>
    <row r="126" spans="1:9" ht="12.75" hidden="1" customHeight="1">
      <c r="A126" s="811"/>
      <c r="B126" s="812"/>
      <c r="C126" s="802">
        <v>0.375</v>
      </c>
      <c r="D126" s="803">
        <v>0.54166666666666663</v>
      </c>
      <c r="E126" s="741"/>
      <c r="F126" s="741"/>
      <c r="G126" s="741"/>
      <c r="H126" s="741"/>
      <c r="I126" s="741"/>
    </row>
    <row r="127" spans="1:9" ht="12.75" hidden="1" customHeight="1">
      <c r="A127" s="791">
        <v>1</v>
      </c>
      <c r="B127" s="363" t="s">
        <v>608</v>
      </c>
      <c r="C127" s="813">
        <f>'1.xi den'!J7</f>
        <v>108.21599999999999</v>
      </c>
      <c r="D127" s="814">
        <f>'1.xi den'!N7</f>
        <v>108.21599999999999</v>
      </c>
      <c r="E127" s="741"/>
      <c r="F127" s="741"/>
      <c r="G127" s="741"/>
      <c r="H127" s="741"/>
      <c r="I127" s="741"/>
    </row>
    <row r="128" spans="1:9" ht="12.75" hidden="1" customHeight="1">
      <c r="A128" s="791">
        <v>2</v>
      </c>
      <c r="B128" s="363" t="s">
        <v>609</v>
      </c>
      <c r="C128" s="813">
        <f>'1.xi den'!J8</f>
        <v>108.21599999999999</v>
      </c>
      <c r="D128" s="814">
        <f>'1.xi den'!N8</f>
        <v>108.21599999999999</v>
      </c>
      <c r="E128" s="741"/>
      <c r="F128" s="741"/>
      <c r="G128" s="741"/>
      <c r="H128" s="741"/>
      <c r="I128" s="741"/>
    </row>
    <row r="129" spans="1:9" ht="12.75" hidden="1" customHeight="1">
      <c r="A129" s="791">
        <v>3</v>
      </c>
      <c r="B129" s="363" t="s">
        <v>610</v>
      </c>
      <c r="C129" s="813">
        <f>'1.xi den'!J9</f>
        <v>134.86500000000001</v>
      </c>
      <c r="D129" s="814">
        <f>'1.xi den'!N9</f>
        <v>134.86500000000001</v>
      </c>
      <c r="E129" s="741"/>
      <c r="F129" s="741"/>
      <c r="G129" s="741"/>
      <c r="H129" s="741"/>
      <c r="I129" s="741"/>
    </row>
    <row r="130" spans="1:9" ht="12.75" hidden="1" customHeight="1">
      <c r="A130" s="791">
        <v>4</v>
      </c>
      <c r="B130" s="363" t="s">
        <v>612</v>
      </c>
      <c r="C130" s="813">
        <f>'1.xi den'!J10</f>
        <v>124.63199999999999</v>
      </c>
      <c r="D130" s="814">
        <f>'1.xi den'!N10</f>
        <v>124.63199999999999</v>
      </c>
      <c r="E130" s="741"/>
      <c r="F130" s="741"/>
      <c r="G130" s="741"/>
      <c r="H130" s="741"/>
      <c r="I130" s="741"/>
    </row>
    <row r="131" spans="1:9" ht="12.75" hidden="1" customHeight="1">
      <c r="A131" s="791">
        <v>5</v>
      </c>
      <c r="B131" s="796" t="s">
        <v>614</v>
      </c>
      <c r="C131" s="813">
        <f>'1.xi den'!J11</f>
        <v>0</v>
      </c>
      <c r="D131" s="814">
        <f>'1.xi den'!N11</f>
        <v>0</v>
      </c>
      <c r="E131" s="741"/>
      <c r="F131" s="741"/>
      <c r="G131" s="741"/>
      <c r="H131" s="741"/>
      <c r="I131" s="741"/>
    </row>
    <row r="132" spans="1:9" ht="12.75" hidden="1" customHeight="1">
      <c r="A132" s="791">
        <v>6</v>
      </c>
      <c r="B132" s="796" t="s">
        <v>616</v>
      </c>
      <c r="C132" s="813">
        <f>'1.xi den'!J12</f>
        <v>213.84</v>
      </c>
      <c r="D132" s="814">
        <f>'1.xi den'!N12</f>
        <v>213.84</v>
      </c>
      <c r="E132" s="741"/>
      <c r="F132" s="741"/>
      <c r="G132" s="741"/>
      <c r="H132" s="741"/>
      <c r="I132" s="741"/>
    </row>
    <row r="133" spans="1:9" ht="12.75" hidden="1" customHeight="1">
      <c r="A133" s="791">
        <v>7</v>
      </c>
      <c r="B133" s="796" t="s">
        <v>618</v>
      </c>
      <c r="C133" s="813">
        <f>'1.xi den'!J13</f>
        <v>7.8367500000000003</v>
      </c>
      <c r="D133" s="814">
        <f>'1.xi den'!N13</f>
        <v>7.8367500000000003</v>
      </c>
      <c r="E133" s="741"/>
      <c r="F133" s="741"/>
      <c r="G133" s="741"/>
      <c r="H133" s="741"/>
      <c r="I133" s="741"/>
    </row>
    <row r="134" spans="1:9" ht="12.75" hidden="1" customHeight="1">
      <c r="A134" s="791">
        <v>8</v>
      </c>
      <c r="B134" s="363" t="s">
        <v>620</v>
      </c>
      <c r="C134" s="813">
        <f>'1.xi den'!J14</f>
        <v>0</v>
      </c>
      <c r="D134" s="814">
        <f>'1.xi den'!N14</f>
        <v>0</v>
      </c>
      <c r="E134" s="741"/>
      <c r="F134" s="741"/>
      <c r="G134" s="741"/>
      <c r="H134" s="741"/>
      <c r="I134" s="741"/>
    </row>
    <row r="135" spans="1:9" ht="12.75" hidden="1" customHeight="1">
      <c r="A135" s="791">
        <v>9</v>
      </c>
      <c r="B135" s="796" t="s">
        <v>817</v>
      </c>
      <c r="C135" s="813">
        <f>'1.xi den'!J15</f>
        <v>0</v>
      </c>
      <c r="D135" s="814">
        <f>'1.xi den'!N15</f>
        <v>0</v>
      </c>
      <c r="E135" s="741"/>
      <c r="F135" s="741"/>
      <c r="G135" s="741"/>
      <c r="H135" s="741"/>
      <c r="I135" s="741"/>
    </row>
    <row r="136" spans="1:9" ht="12.75" hidden="1" customHeight="1">
      <c r="A136" s="797">
        <v>10</v>
      </c>
      <c r="B136" s="798" t="s">
        <v>818</v>
      </c>
      <c r="C136" s="813" t="str">
        <f>'1.xi den'!J17</f>
        <v/>
      </c>
      <c r="D136" s="814">
        <f>'1.xi den'!N17</f>
        <v>0</v>
      </c>
      <c r="E136" s="741"/>
      <c r="F136" s="741"/>
      <c r="G136" s="741"/>
      <c r="H136" s="741"/>
      <c r="I136" s="741"/>
    </row>
    <row r="137" spans="1:9" ht="12.75" hidden="1" customHeight="1">
      <c r="A137" s="797">
        <v>11</v>
      </c>
      <c r="B137" s="798" t="s">
        <v>819</v>
      </c>
      <c r="C137" s="813" t="str">
        <f>'1.xi den'!J18</f>
        <v/>
      </c>
      <c r="D137" s="814">
        <f>'1.xi den'!N18</f>
        <v>0</v>
      </c>
      <c r="E137" s="741"/>
      <c r="F137" s="741"/>
      <c r="G137" s="741"/>
      <c r="H137" s="741"/>
      <c r="I137" s="741"/>
    </row>
    <row r="138" spans="1:9" ht="12.75" hidden="1" customHeight="1">
      <c r="A138" s="797">
        <v>12</v>
      </c>
      <c r="B138" s="798" t="s">
        <v>412</v>
      </c>
      <c r="C138" s="813">
        <f>'1.xi den'!J21</f>
        <v>0</v>
      </c>
      <c r="D138" s="814">
        <f>'1.xi den'!N21</f>
        <v>0</v>
      </c>
      <c r="E138" s="741"/>
      <c r="F138" s="741"/>
      <c r="G138" s="741"/>
      <c r="H138" s="741"/>
      <c r="I138" s="741"/>
    </row>
    <row r="139" spans="1:9" ht="12.75" hidden="1" customHeight="1">
      <c r="A139" s="797">
        <v>13</v>
      </c>
      <c r="B139" s="798" t="s">
        <v>415</v>
      </c>
      <c r="C139" s="813">
        <f>'1.xi den'!J22</f>
        <v>0</v>
      </c>
      <c r="D139" s="814">
        <f>'1.xi den'!N22</f>
        <v>0</v>
      </c>
      <c r="E139" s="741"/>
      <c r="F139" s="741"/>
      <c r="G139" s="741"/>
      <c r="H139" s="741"/>
      <c r="I139" s="741"/>
    </row>
    <row r="140" spans="1:9" ht="12.75" customHeight="1" thickBot="1">
      <c r="A140" s="748"/>
      <c r="B140" s="439"/>
      <c r="C140" s="815"/>
      <c r="D140" s="816"/>
      <c r="E140" s="741"/>
      <c r="F140" s="741"/>
      <c r="G140" s="741"/>
      <c r="H140" s="741"/>
      <c r="I140" s="741"/>
    </row>
    <row r="141" spans="1:9" ht="12.75" customHeight="1">
      <c r="A141" s="748"/>
      <c r="B141" s="439"/>
      <c r="E141" s="741"/>
      <c r="F141" s="741"/>
      <c r="G141" s="741"/>
      <c r="H141" s="741"/>
      <c r="I141" s="741"/>
    </row>
    <row r="143" spans="1:9" ht="12.75" customHeight="1">
      <c r="A143" s="2760" t="s">
        <v>822</v>
      </c>
      <c r="B143" s="2761"/>
      <c r="E143" s="741"/>
      <c r="F143" s="741"/>
      <c r="G143" s="741"/>
      <c r="H143" s="741"/>
      <c r="I143" s="741"/>
    </row>
    <row r="144" spans="1:9" ht="12.75" customHeight="1">
      <c r="A144" s="2762" t="s">
        <v>7</v>
      </c>
      <c r="B144" s="2764" t="s">
        <v>79</v>
      </c>
      <c r="C144" s="747" t="s">
        <v>171</v>
      </c>
      <c r="D144" s="747"/>
      <c r="E144" s="741"/>
      <c r="F144" s="741"/>
      <c r="G144" s="741"/>
      <c r="H144" s="741"/>
      <c r="I144" s="741"/>
    </row>
    <row r="145" spans="1:9" ht="12.75" customHeight="1" thickBot="1">
      <c r="A145" s="2763"/>
      <c r="B145" s="2765"/>
      <c r="C145" s="750">
        <v>0.33333333333333331</v>
      </c>
      <c r="D145" s="750">
        <v>0.83333333333333337</v>
      </c>
      <c r="E145" s="741"/>
      <c r="F145" s="741"/>
      <c r="G145" s="741"/>
      <c r="H145" s="741"/>
      <c r="I145" s="741"/>
    </row>
    <row r="146" spans="1:9" ht="12.75" customHeight="1">
      <c r="A146" s="817">
        <v>1</v>
      </c>
      <c r="B146" s="818" t="s">
        <v>563</v>
      </c>
      <c r="C146" s="792">
        <f>'R.FILE GOC'!H89</f>
        <v>0</v>
      </c>
      <c r="D146" s="793">
        <f>'R.FILE GOC'!N89</f>
        <v>0</v>
      </c>
      <c r="E146" s="741"/>
      <c r="F146" s="741"/>
      <c r="G146" s="741"/>
      <c r="H146" s="741"/>
      <c r="I146" s="741"/>
    </row>
    <row r="147" spans="1:9" ht="12.75" hidden="1" customHeight="1">
      <c r="A147" s="817">
        <v>2</v>
      </c>
      <c r="B147" s="818" t="s">
        <v>567</v>
      </c>
      <c r="C147" s="794">
        <f>'R.FILE GOC'!H90</f>
        <v>0</v>
      </c>
      <c r="D147" s="795">
        <f>'R.FILE GOC'!N90</f>
        <v>0</v>
      </c>
      <c r="E147" s="741"/>
      <c r="F147" s="741"/>
      <c r="G147" s="741"/>
      <c r="H147" s="741"/>
      <c r="I147" s="741"/>
    </row>
    <row r="148" spans="1:9" ht="12.75" hidden="1" customHeight="1">
      <c r="A148" s="817">
        <v>3</v>
      </c>
      <c r="B148" s="818" t="s">
        <v>569</v>
      </c>
      <c r="C148" s="794">
        <f>'R.FILE GOC'!H91</f>
        <v>0</v>
      </c>
      <c r="D148" s="795">
        <f>'R.FILE GOC'!N91</f>
        <v>0</v>
      </c>
      <c r="E148" s="741"/>
      <c r="F148" s="741"/>
      <c r="G148" s="741"/>
      <c r="H148" s="741"/>
      <c r="I148" s="741"/>
    </row>
    <row r="149" spans="1:9" ht="12.75" hidden="1" customHeight="1">
      <c r="A149" s="817">
        <v>4</v>
      </c>
      <c r="B149" s="364" t="s">
        <v>449</v>
      </c>
      <c r="C149" s="794">
        <f>'R.FILE GOC'!H92</f>
        <v>0</v>
      </c>
      <c r="D149" s="795">
        <f>'R.FILE GOC'!N92</f>
        <v>0</v>
      </c>
      <c r="E149" s="741"/>
      <c r="F149" s="741"/>
      <c r="G149" s="741"/>
      <c r="H149" s="741"/>
      <c r="I149" s="741"/>
    </row>
    <row r="150" spans="1:9" ht="12.75" hidden="1" customHeight="1">
      <c r="A150" s="817">
        <v>5</v>
      </c>
      <c r="B150" s="364" t="s">
        <v>450</v>
      </c>
      <c r="C150" s="794">
        <f>'R.FILE GOC'!H93</f>
        <v>0</v>
      </c>
      <c r="D150" s="795">
        <f>'R.FILE GOC'!N93</f>
        <v>0</v>
      </c>
      <c r="E150" s="741"/>
      <c r="F150" s="741"/>
      <c r="G150" s="741"/>
      <c r="H150" s="741"/>
      <c r="I150" s="741"/>
    </row>
    <row r="151" spans="1:9" ht="12.75" hidden="1" customHeight="1">
      <c r="A151" s="817">
        <v>6</v>
      </c>
      <c r="B151" s="369" t="s">
        <v>451</v>
      </c>
      <c r="C151" s="794">
        <f>'R.FILE GOC'!H94</f>
        <v>0</v>
      </c>
      <c r="D151" s="795">
        <f>'R.FILE GOC'!N94</f>
        <v>0</v>
      </c>
      <c r="E151" s="741"/>
      <c r="F151" s="741"/>
      <c r="G151" s="741"/>
      <c r="H151" s="741"/>
      <c r="I151" s="741"/>
    </row>
    <row r="152" spans="1:9" ht="12.75" hidden="1" customHeight="1">
      <c r="A152" s="817">
        <v>7</v>
      </c>
      <c r="B152" s="369" t="s">
        <v>452</v>
      </c>
      <c r="C152" s="794">
        <f>'R.FILE GOC'!H95</f>
        <v>0</v>
      </c>
      <c r="D152" s="795">
        <f>'R.FILE GOC'!N95</f>
        <v>0</v>
      </c>
      <c r="E152" s="741"/>
      <c r="F152" s="741"/>
      <c r="G152" s="741"/>
      <c r="H152" s="741"/>
      <c r="I152" s="741"/>
    </row>
    <row r="153" spans="1:9" ht="12.75" hidden="1" customHeight="1">
      <c r="A153" s="817">
        <v>8</v>
      </c>
      <c r="B153" s="369" t="s">
        <v>453</v>
      </c>
      <c r="C153" s="794">
        <f>'R.FILE GOC'!H96</f>
        <v>0</v>
      </c>
      <c r="D153" s="795">
        <f>'R.FILE GOC'!N96</f>
        <v>0</v>
      </c>
      <c r="E153" s="741"/>
      <c r="F153" s="741"/>
      <c r="G153" s="741"/>
      <c r="H153" s="741"/>
      <c r="I153" s="741"/>
    </row>
    <row r="154" spans="1:9" ht="12.75" hidden="1" customHeight="1">
      <c r="A154" s="817">
        <v>9</v>
      </c>
      <c r="B154" s="369" t="s">
        <v>454</v>
      </c>
      <c r="C154" s="794">
        <f>'R.FILE GOC'!H97</f>
        <v>0</v>
      </c>
      <c r="D154" s="795">
        <f>'R.FILE GOC'!N97</f>
        <v>0</v>
      </c>
      <c r="E154" s="741"/>
      <c r="F154" s="741"/>
      <c r="G154" s="741"/>
      <c r="H154" s="741"/>
      <c r="I154" s="741"/>
    </row>
    <row r="155" spans="1:9" ht="12.75" hidden="1" customHeight="1">
      <c r="A155" s="2753">
        <v>10</v>
      </c>
      <c r="B155" s="2398" t="s">
        <v>823</v>
      </c>
      <c r="C155" s="794">
        <f>'R.FILE GOC'!H98</f>
        <v>0</v>
      </c>
      <c r="D155" s="795">
        <f>'R.FILE GOC'!N98</f>
        <v>0</v>
      </c>
      <c r="E155" s="741"/>
      <c r="F155" s="741"/>
      <c r="G155" s="741"/>
      <c r="H155" s="741"/>
      <c r="I155" s="741"/>
    </row>
    <row r="156" spans="1:9" ht="12.75" hidden="1" customHeight="1">
      <c r="A156" s="2754"/>
      <c r="B156" s="2755"/>
      <c r="C156" s="794">
        <f>'R.FILE GOC'!H99</f>
        <v>0</v>
      </c>
      <c r="D156" s="795">
        <f>'R.FILE GOC'!N99</f>
        <v>0</v>
      </c>
      <c r="E156" s="741"/>
      <c r="F156" s="741"/>
      <c r="G156" s="741"/>
      <c r="H156" s="741"/>
      <c r="I156" s="741"/>
    </row>
    <row r="157" spans="1:9" ht="12.75" hidden="1" customHeight="1">
      <c r="A157" s="817">
        <v>12</v>
      </c>
      <c r="B157" s="819" t="s">
        <v>585</v>
      </c>
      <c r="C157" s="794">
        <f>'R.FILE GOC'!H100</f>
        <v>0</v>
      </c>
      <c r="D157" s="795">
        <f>'R.FILE GOC'!N100</f>
        <v>0</v>
      </c>
      <c r="E157" s="741"/>
      <c r="F157" s="741"/>
      <c r="G157" s="741"/>
      <c r="H157" s="741"/>
      <c r="I157" s="741"/>
    </row>
    <row r="158" spans="1:9" ht="12.75" hidden="1" customHeight="1">
      <c r="A158" s="817">
        <v>13</v>
      </c>
      <c r="B158" s="820" t="s">
        <v>588</v>
      </c>
      <c r="C158" s="794">
        <f>'R.FILE GOC'!H101</f>
        <v>0</v>
      </c>
      <c r="D158" s="795">
        <f>'R.FILE GOC'!N101</f>
        <v>0</v>
      </c>
      <c r="E158" s="741"/>
      <c r="F158" s="741"/>
      <c r="G158" s="741"/>
      <c r="H158" s="741"/>
      <c r="I158" s="741"/>
    </row>
    <row r="159" spans="1:9" ht="12.75" hidden="1" customHeight="1">
      <c r="A159" s="817">
        <v>14</v>
      </c>
      <c r="B159" s="821" t="s">
        <v>591</v>
      </c>
      <c r="C159" s="794">
        <f>'R.FILE GOC'!H102</f>
        <v>0</v>
      </c>
      <c r="D159" s="795">
        <f>'R.FILE GOC'!N102</f>
        <v>0</v>
      </c>
      <c r="E159" s="741"/>
      <c r="F159" s="741"/>
      <c r="G159" s="741"/>
      <c r="H159" s="741"/>
      <c r="I159" s="741"/>
    </row>
    <row r="160" spans="1:9" ht="12.75" hidden="1" customHeight="1">
      <c r="A160" s="817"/>
      <c r="B160" s="822" t="s">
        <v>76</v>
      </c>
      <c r="C160" s="800" t="s">
        <v>173</v>
      </c>
      <c r="D160" s="823" t="s">
        <v>173</v>
      </c>
      <c r="E160" s="741"/>
      <c r="F160" s="741"/>
      <c r="G160" s="741"/>
      <c r="H160" s="741"/>
      <c r="I160" s="741"/>
    </row>
    <row r="161" spans="1:9" ht="12.75" hidden="1" customHeight="1">
      <c r="A161" s="817" t="s">
        <v>7</v>
      </c>
      <c r="B161" s="824" t="s">
        <v>64</v>
      </c>
      <c r="C161" s="802">
        <v>0.33333333333333331</v>
      </c>
      <c r="D161" s="803"/>
      <c r="E161" s="741"/>
      <c r="F161" s="741"/>
      <c r="G161" s="741"/>
      <c r="H161" s="741"/>
      <c r="I161" s="741"/>
    </row>
    <row r="162" spans="1:9" ht="12.75" hidden="1" customHeight="1">
      <c r="A162" s="817">
        <v>1</v>
      </c>
      <c r="B162" s="818" t="s">
        <v>563</v>
      </c>
      <c r="C162" s="794">
        <f>'R.FILE GOC'!H105</f>
        <v>0</v>
      </c>
      <c r="D162" s="795">
        <f>'R.FILE GOC'!N105</f>
        <v>0</v>
      </c>
      <c r="E162" s="741"/>
      <c r="F162" s="741"/>
      <c r="G162" s="741"/>
      <c r="H162" s="741"/>
      <c r="I162" s="741"/>
    </row>
    <row r="163" spans="1:9" ht="12.75" hidden="1" customHeight="1">
      <c r="A163" s="817">
        <v>2</v>
      </c>
      <c r="B163" s="818" t="s">
        <v>567</v>
      </c>
      <c r="C163" s="794">
        <f>'R.FILE GOC'!H106</f>
        <v>0</v>
      </c>
      <c r="D163" s="795">
        <f>'R.FILE GOC'!N106</f>
        <v>0</v>
      </c>
      <c r="E163" s="741"/>
      <c r="F163" s="741"/>
      <c r="G163" s="741"/>
      <c r="H163" s="741"/>
      <c r="I163" s="741"/>
    </row>
    <row r="164" spans="1:9" ht="12.75" hidden="1" customHeight="1">
      <c r="A164" s="817">
        <v>3</v>
      </c>
      <c r="B164" s="364" t="s">
        <v>824</v>
      </c>
      <c r="C164" s="794">
        <f>'R.FILE GOC'!H107</f>
        <v>0</v>
      </c>
      <c r="D164" s="795">
        <f>'R.FILE GOC'!N107</f>
        <v>0</v>
      </c>
      <c r="E164" s="741"/>
      <c r="F164" s="741"/>
      <c r="G164" s="741"/>
      <c r="H164" s="741"/>
      <c r="I164" s="741"/>
    </row>
    <row r="165" spans="1:9" ht="12.75" hidden="1" customHeight="1">
      <c r="A165" s="817">
        <v>4</v>
      </c>
      <c r="B165" s="364" t="s">
        <v>825</v>
      </c>
      <c r="C165" s="794">
        <f>'R.FILE GOC'!H108</f>
        <v>0</v>
      </c>
      <c r="D165" s="795">
        <f>'R.FILE GOC'!N108</f>
        <v>0</v>
      </c>
      <c r="E165" s="741"/>
      <c r="F165" s="741"/>
      <c r="G165" s="741"/>
      <c r="H165" s="741"/>
      <c r="I165" s="741"/>
    </row>
    <row r="166" spans="1:9" ht="12.75" hidden="1" customHeight="1">
      <c r="A166" s="817">
        <v>5</v>
      </c>
      <c r="B166" s="364" t="s">
        <v>826</v>
      </c>
      <c r="C166" s="794">
        <f>'R.FILE GOC'!H109</f>
        <v>0</v>
      </c>
      <c r="D166" s="795">
        <f>'R.FILE GOC'!N109</f>
        <v>0</v>
      </c>
      <c r="E166" s="741"/>
      <c r="F166" s="741"/>
      <c r="G166" s="741"/>
      <c r="H166" s="741"/>
      <c r="I166" s="741"/>
    </row>
    <row r="167" spans="1:9" ht="12.75" hidden="1" customHeight="1">
      <c r="A167" s="817">
        <v>6</v>
      </c>
      <c r="B167" s="364" t="s">
        <v>823</v>
      </c>
      <c r="C167" s="794">
        <f>'R.FILE GOC'!H110</f>
        <v>0</v>
      </c>
      <c r="D167" s="795">
        <f>'R.FILE GOC'!N110</f>
        <v>0</v>
      </c>
      <c r="E167" s="741"/>
      <c r="F167" s="741"/>
      <c r="G167" s="741"/>
      <c r="H167" s="741"/>
      <c r="I167" s="741"/>
    </row>
    <row r="168" spans="1:9" ht="12.75" hidden="1" customHeight="1">
      <c r="A168" s="817">
        <v>8</v>
      </c>
      <c r="B168" s="819" t="s">
        <v>585</v>
      </c>
      <c r="C168" s="794">
        <f>'R.FILE GOC'!H111</f>
        <v>0</v>
      </c>
      <c r="D168" s="795">
        <f>'R.FILE GOC'!N111</f>
        <v>0</v>
      </c>
      <c r="E168" s="741"/>
      <c r="F168" s="741"/>
      <c r="G168" s="741"/>
      <c r="H168" s="741"/>
      <c r="I168" s="741"/>
    </row>
    <row r="169" spans="1:9" ht="12.75" hidden="1" customHeight="1">
      <c r="A169" s="817">
        <v>9</v>
      </c>
      <c r="B169" s="820" t="s">
        <v>588</v>
      </c>
      <c r="C169" s="794">
        <f>'R.FILE GOC'!H112</f>
        <v>0</v>
      </c>
      <c r="D169" s="795">
        <f>'R.FILE GOC'!N112</f>
        <v>0</v>
      </c>
      <c r="E169" s="741"/>
      <c r="F169" s="741"/>
      <c r="G169" s="741"/>
      <c r="H169" s="741"/>
      <c r="I169" s="741"/>
    </row>
    <row r="170" spans="1:9" ht="12.75" hidden="1" customHeight="1">
      <c r="A170" s="817">
        <v>10</v>
      </c>
      <c r="B170" s="821" t="s">
        <v>591</v>
      </c>
      <c r="C170" s="794">
        <f>'R.FILE GOC'!H113</f>
        <v>0</v>
      </c>
      <c r="D170" s="795">
        <f>'R.FILE GOC'!N113</f>
        <v>0</v>
      </c>
      <c r="E170" s="741"/>
      <c r="F170" s="741"/>
      <c r="G170" s="741"/>
      <c r="H170" s="741"/>
      <c r="I170" s="741"/>
    </row>
    <row r="171" spans="1:9" ht="12.75" hidden="1" customHeight="1">
      <c r="A171" s="817">
        <v>11</v>
      </c>
      <c r="B171" s="818" t="s">
        <v>827</v>
      </c>
      <c r="C171" s="794" t="e">
        <f>'R.FILE GOC'!#REF!</f>
        <v>#REF!</v>
      </c>
      <c r="D171" s="795" t="e">
        <f>'R.FILE GOC'!#REF!</f>
        <v>#REF!</v>
      </c>
      <c r="E171" s="741"/>
      <c r="F171" s="741"/>
      <c r="G171" s="741"/>
      <c r="H171" s="741"/>
      <c r="I171" s="741"/>
    </row>
    <row r="172" spans="1:9" ht="12.75" hidden="1" customHeight="1">
      <c r="A172" s="817">
        <v>12</v>
      </c>
      <c r="B172" s="364" t="s">
        <v>603</v>
      </c>
      <c r="C172" s="881">
        <f>'5.ML'!G33</f>
        <v>0</v>
      </c>
      <c r="D172" s="882">
        <f>'5.ML'!K33</f>
        <v>0</v>
      </c>
      <c r="E172" s="741"/>
      <c r="F172" s="741"/>
      <c r="G172" s="741"/>
      <c r="H172" s="741"/>
      <c r="I172" s="741"/>
    </row>
    <row r="173" spans="1:9" ht="12.75" hidden="1" customHeight="1">
      <c r="A173" s="808"/>
      <c r="B173" s="809"/>
      <c r="C173" s="810" t="s">
        <v>172</v>
      </c>
      <c r="D173" s="801" t="s">
        <v>172</v>
      </c>
      <c r="E173" s="741"/>
      <c r="F173" s="741"/>
      <c r="G173" s="741"/>
      <c r="H173" s="741"/>
      <c r="I173" s="741"/>
    </row>
    <row r="174" spans="1:9" ht="12.75" hidden="1" customHeight="1">
      <c r="A174" s="808"/>
      <c r="B174" s="809"/>
      <c r="C174" s="802">
        <v>0.33333333333333331</v>
      </c>
      <c r="D174" s="803"/>
      <c r="E174" s="741"/>
      <c r="F174" s="741"/>
      <c r="G174" s="741"/>
      <c r="H174" s="741"/>
      <c r="I174" s="741"/>
    </row>
    <row r="175" spans="1:9" ht="12.75" hidden="1" customHeight="1">
      <c r="A175" s="817">
        <v>1</v>
      </c>
      <c r="B175" s="818" t="s">
        <v>563</v>
      </c>
      <c r="C175" s="813">
        <f>'R.FILE GOC'!K89</f>
        <v>40.799999999999997</v>
      </c>
      <c r="D175" s="814">
        <f>'R.FILE GOC'!Q89</f>
        <v>40.799999999999997</v>
      </c>
      <c r="E175" s="741"/>
      <c r="F175" s="741"/>
      <c r="G175" s="741"/>
      <c r="H175" s="741"/>
      <c r="I175" s="741"/>
    </row>
    <row r="176" spans="1:9" ht="12.75" hidden="1" customHeight="1">
      <c r="A176" s="817">
        <v>2</v>
      </c>
      <c r="B176" s="818" t="s">
        <v>567</v>
      </c>
      <c r="C176" s="813">
        <f>'R.FILE GOC'!K90</f>
        <v>40.799999999999997</v>
      </c>
      <c r="D176" s="814">
        <f>'R.FILE GOC'!Q90</f>
        <v>40.799999999999997</v>
      </c>
      <c r="E176" s="741"/>
      <c r="F176" s="741"/>
      <c r="G176" s="741"/>
      <c r="H176" s="741"/>
      <c r="I176" s="741"/>
    </row>
    <row r="177" spans="1:9" ht="12.75" hidden="1" customHeight="1">
      <c r="A177" s="817">
        <v>3</v>
      </c>
      <c r="B177" s="818" t="s">
        <v>569</v>
      </c>
      <c r="C177" s="813">
        <f>'R.FILE GOC'!K91</f>
        <v>408</v>
      </c>
      <c r="D177" s="814">
        <f>'R.FILE GOC'!Q91</f>
        <v>408</v>
      </c>
      <c r="E177" s="741"/>
      <c r="F177" s="741"/>
      <c r="G177" s="741"/>
      <c r="H177" s="741"/>
      <c r="I177" s="741"/>
    </row>
    <row r="178" spans="1:9" ht="12.75" hidden="1" customHeight="1">
      <c r="A178" s="817">
        <v>4</v>
      </c>
      <c r="B178" s="364" t="s">
        <v>449</v>
      </c>
      <c r="C178" s="813">
        <f>'R.FILE GOC'!K92</f>
        <v>224.64</v>
      </c>
      <c r="D178" s="814">
        <f>'R.FILE GOC'!Q92</f>
        <v>224.64</v>
      </c>
      <c r="E178" s="741"/>
      <c r="F178" s="741"/>
      <c r="G178" s="741"/>
      <c r="H178" s="741"/>
      <c r="I178" s="741"/>
    </row>
    <row r="179" spans="1:9" ht="12.75" hidden="1" customHeight="1">
      <c r="A179" s="817">
        <v>5</v>
      </c>
      <c r="B179" s="364" t="s">
        <v>450</v>
      </c>
      <c r="C179" s="813" t="str">
        <f>'R.FILE GOC'!K93</f>
        <v>N/A</v>
      </c>
      <c r="D179" s="814" t="str">
        <f>'R.FILE GOC'!Q93</f>
        <v>N/A</v>
      </c>
      <c r="E179" s="741"/>
      <c r="F179" s="741"/>
      <c r="G179" s="741"/>
      <c r="H179" s="741"/>
      <c r="I179" s="741"/>
    </row>
    <row r="180" spans="1:9" ht="12.75" hidden="1" customHeight="1">
      <c r="A180" s="817">
        <v>6</v>
      </c>
      <c r="B180" s="369" t="s">
        <v>451</v>
      </c>
      <c r="C180" s="813">
        <f>'R.FILE GOC'!K94</f>
        <v>224.64</v>
      </c>
      <c r="D180" s="814">
        <f>'R.FILE GOC'!Q94</f>
        <v>224.64</v>
      </c>
      <c r="E180" s="741"/>
      <c r="F180" s="741"/>
      <c r="G180" s="741"/>
      <c r="H180" s="741"/>
      <c r="I180" s="741"/>
    </row>
    <row r="181" spans="1:9" ht="12.75" hidden="1" customHeight="1">
      <c r="A181" s="817">
        <v>7</v>
      </c>
      <c r="B181" s="369" t="s">
        <v>452</v>
      </c>
      <c r="C181" s="813" t="str">
        <f>'R.FILE GOC'!K95</f>
        <v>N/A</v>
      </c>
      <c r="D181" s="814" t="str">
        <f>'R.FILE GOC'!Q95</f>
        <v>N/A</v>
      </c>
      <c r="E181" s="741"/>
      <c r="F181" s="741"/>
      <c r="G181" s="741"/>
      <c r="H181" s="741"/>
      <c r="I181" s="741"/>
    </row>
    <row r="182" spans="1:9" ht="12.75" hidden="1" customHeight="1">
      <c r="A182" s="817">
        <v>8</v>
      </c>
      <c r="B182" s="369" t="s">
        <v>453</v>
      </c>
      <c r="C182" s="813">
        <f>'R.FILE GOC'!K96</f>
        <v>224.64</v>
      </c>
      <c r="D182" s="814">
        <f>'R.FILE GOC'!Q96</f>
        <v>224.64</v>
      </c>
      <c r="E182" s="741"/>
      <c r="F182" s="741"/>
      <c r="G182" s="741"/>
      <c r="H182" s="741"/>
      <c r="I182" s="741"/>
    </row>
    <row r="183" spans="1:9" ht="12.75" hidden="1" customHeight="1">
      <c r="A183" s="817">
        <v>9</v>
      </c>
      <c r="B183" s="369" t="s">
        <v>454</v>
      </c>
      <c r="C183" s="813" t="str">
        <f>'R.FILE GOC'!K97</f>
        <v>N/A</v>
      </c>
      <c r="D183" s="814" t="str">
        <f>'R.FILE GOC'!Q97</f>
        <v>N/A</v>
      </c>
      <c r="E183" s="741"/>
      <c r="F183" s="741"/>
      <c r="G183" s="741"/>
      <c r="H183" s="741"/>
      <c r="I183" s="741"/>
    </row>
    <row r="184" spans="1:9" ht="12.75" hidden="1" customHeight="1">
      <c r="A184" s="2753">
        <v>10</v>
      </c>
      <c r="B184" s="2398" t="s">
        <v>823</v>
      </c>
      <c r="C184" s="813">
        <f>'R.FILE GOC'!K98</f>
        <v>17.28</v>
      </c>
      <c r="D184" s="814">
        <f>'R.FILE GOC'!Q98</f>
        <v>17.28</v>
      </c>
      <c r="E184" s="741"/>
      <c r="F184" s="741"/>
      <c r="G184" s="741"/>
      <c r="H184" s="741"/>
      <c r="I184" s="741"/>
    </row>
    <row r="185" spans="1:9" ht="12.75" hidden="1" customHeight="1">
      <c r="A185" s="2754"/>
      <c r="B185" s="2755"/>
      <c r="C185" s="813">
        <f>'R.FILE GOC'!K99</f>
        <v>0</v>
      </c>
      <c r="D185" s="814">
        <f>'R.FILE GOC'!Q99</f>
        <v>0</v>
      </c>
      <c r="E185" s="741"/>
      <c r="F185" s="741"/>
      <c r="G185" s="741"/>
      <c r="H185" s="741"/>
      <c r="I185" s="741"/>
    </row>
    <row r="186" spans="1:9" ht="12.75" customHeight="1" thickBot="1">
      <c r="C186" s="815"/>
      <c r="D186" s="816"/>
      <c r="E186" s="741"/>
      <c r="F186" s="741"/>
      <c r="G186" s="741"/>
      <c r="H186" s="741"/>
      <c r="I186" s="741"/>
    </row>
  </sheetData>
  <mergeCells count="40">
    <mergeCell ref="A15:B15"/>
    <mergeCell ref="A3:A4"/>
    <mergeCell ref="B3:B4"/>
    <mergeCell ref="B7:B9"/>
    <mergeCell ref="B10:B12"/>
    <mergeCell ref="B13:B14"/>
    <mergeCell ref="B53:B55"/>
    <mergeCell ref="A21:A22"/>
    <mergeCell ref="B21:B22"/>
    <mergeCell ref="B25:B27"/>
    <mergeCell ref="B28:B30"/>
    <mergeCell ref="B31:B32"/>
    <mergeCell ref="A35:A36"/>
    <mergeCell ref="B35:B36"/>
    <mergeCell ref="B39:B41"/>
    <mergeCell ref="B42:B43"/>
    <mergeCell ref="A44:B44"/>
    <mergeCell ref="A49:A50"/>
    <mergeCell ref="B49:B50"/>
    <mergeCell ref="B88:B89"/>
    <mergeCell ref="B56:B57"/>
    <mergeCell ref="A60:A61"/>
    <mergeCell ref="B60:B61"/>
    <mergeCell ref="B64:B66"/>
    <mergeCell ref="B67:B69"/>
    <mergeCell ref="B70:B71"/>
    <mergeCell ref="A72:B72"/>
    <mergeCell ref="A78:A79"/>
    <mergeCell ref="B78:B79"/>
    <mergeCell ref="B82:B84"/>
    <mergeCell ref="B85:B87"/>
    <mergeCell ref="A184:A185"/>
    <mergeCell ref="B184:B185"/>
    <mergeCell ref="A99:A100"/>
    <mergeCell ref="B99:B100"/>
    <mergeCell ref="A143:B143"/>
    <mergeCell ref="A144:A145"/>
    <mergeCell ref="B144:B145"/>
    <mergeCell ref="A155:A156"/>
    <mergeCell ref="B155:B156"/>
  </mergeCells>
  <phoneticPr fontId="6"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G193" sqref="G193"/>
    </sheetView>
  </sheetViews>
  <sheetFormatPr defaultColWidth="4.125" defaultRowHeight="12.75" customHeight="1"/>
  <cols>
    <col min="1" max="1" width="2.75" style="741" customWidth="1"/>
    <col min="2" max="2" width="16.875" style="741" customWidth="1"/>
    <col min="3" max="4" width="9.5" style="743" customWidth="1"/>
    <col min="5" max="8" width="7" style="743" customWidth="1"/>
    <col min="9" max="9" width="7.625" style="741" customWidth="1"/>
    <col min="10" max="34" width="4.125" style="741"/>
    <col min="35" max="35" width="4.125" style="741" customWidth="1"/>
    <col min="36" max="16384" width="4.125" style="741"/>
  </cols>
  <sheetData>
    <row r="1" spans="1:9" ht="18" customHeight="1">
      <c r="B1" s="742"/>
      <c r="C1" s="742"/>
    </row>
    <row r="2" spans="1:9" ht="12.75" customHeight="1">
      <c r="B2" s="744" t="s">
        <v>782</v>
      </c>
      <c r="C2" s="745" t="str">
        <f>'1.xi den'!G3</f>
        <v>2023/03/21</v>
      </c>
    </row>
    <row r="3" spans="1:9" s="748" customFormat="1" ht="12.75" customHeight="1">
      <c r="A3" s="2768" t="s">
        <v>7</v>
      </c>
      <c r="B3" s="2770" t="s">
        <v>800</v>
      </c>
      <c r="C3" s="746"/>
      <c r="D3" s="747" t="s">
        <v>171</v>
      </c>
      <c r="E3" s="747"/>
      <c r="F3" s="747"/>
      <c r="G3" s="747"/>
      <c r="H3" s="747"/>
      <c r="I3" s="747"/>
    </row>
    <row r="4" spans="1:9" s="748" customFormat="1" ht="12.75" customHeight="1" thickBot="1">
      <c r="A4" s="2769"/>
      <c r="B4" s="2771"/>
      <c r="C4" s="749"/>
      <c r="D4" s="750" t="s">
        <v>418</v>
      </c>
      <c r="E4" s="750" t="s">
        <v>419</v>
      </c>
      <c r="F4" s="750" t="s">
        <v>420</v>
      </c>
      <c r="G4" s="750" t="s">
        <v>421</v>
      </c>
      <c r="H4" s="750" t="s">
        <v>422</v>
      </c>
      <c r="I4" s="750" t="s">
        <v>423</v>
      </c>
    </row>
    <row r="5" spans="1:9" s="754" customFormat="1" ht="12.75" customHeight="1">
      <c r="A5" s="361">
        <v>1</v>
      </c>
      <c r="B5" s="155" t="s">
        <v>801</v>
      </c>
      <c r="C5" s="439" t="s">
        <v>802</v>
      </c>
      <c r="D5" s="751">
        <f>'2.RL E tt'!F7</f>
        <v>0</v>
      </c>
      <c r="E5" s="752">
        <f>'2.RL E tt'!J7</f>
        <v>0</v>
      </c>
      <c r="F5" s="752">
        <f>'2.RL E tt'!N7</f>
        <v>0</v>
      </c>
      <c r="G5" s="752">
        <f>'2.RL E tt'!F29</f>
        <v>0</v>
      </c>
      <c r="H5" s="752">
        <f>'2.RL E tt'!J29</f>
        <v>0</v>
      </c>
      <c r="I5" s="753">
        <f>'2.RL E tt'!N29</f>
        <v>0</v>
      </c>
    </row>
    <row r="6" spans="1:9" s="754" customFormat="1" ht="12.75" hidden="1" customHeight="1">
      <c r="A6" s="361"/>
      <c r="B6" s="155" t="s">
        <v>801</v>
      </c>
      <c r="C6" s="439" t="s">
        <v>802</v>
      </c>
      <c r="D6" s="755">
        <f>'2.RL E tt'!F8</f>
        <v>0</v>
      </c>
      <c r="E6" s="756">
        <f>'2.RL E tt'!J8</f>
        <v>0</v>
      </c>
      <c r="F6" s="756">
        <f>'2.RL E tt'!N8</f>
        <v>0</v>
      </c>
      <c r="G6" s="756">
        <f>'2.RL E tt'!F30</f>
        <v>0</v>
      </c>
      <c r="H6" s="756">
        <f>'2.RL E tt'!J30</f>
        <v>0</v>
      </c>
      <c r="I6" s="757">
        <f>'2.RL E tt'!N30</f>
        <v>0</v>
      </c>
    </row>
    <row r="7" spans="1:9" s="754" customFormat="1" ht="12.75" hidden="1" customHeight="1">
      <c r="A7" s="361">
        <v>2</v>
      </c>
      <c r="B7" s="2766" t="s">
        <v>803</v>
      </c>
      <c r="C7" s="758" t="s">
        <v>645</v>
      </c>
      <c r="D7" s="755">
        <f>'2.RL E tt'!F9</f>
        <v>0</v>
      </c>
      <c r="E7" s="756">
        <f>'2.RL E tt'!J9</f>
        <v>0</v>
      </c>
      <c r="F7" s="756">
        <f>'2.RL E tt'!N9</f>
        <v>0</v>
      </c>
      <c r="G7" s="756">
        <f>'2.RL E tt'!F31</f>
        <v>0</v>
      </c>
      <c r="H7" s="756">
        <f>'2.RL E tt'!J31</f>
        <v>0</v>
      </c>
      <c r="I7" s="757">
        <f>'2.RL E tt'!N31</f>
        <v>0</v>
      </c>
    </row>
    <row r="8" spans="1:9" s="754" customFormat="1" ht="12.75" hidden="1" customHeight="1">
      <c r="A8" s="361">
        <v>3</v>
      </c>
      <c r="B8" s="2772"/>
      <c r="C8" s="758" t="s">
        <v>649</v>
      </c>
      <c r="D8" s="755">
        <f>'2.RL E tt'!F10</f>
        <v>0</v>
      </c>
      <c r="E8" s="756">
        <f>'2.RL E tt'!J10</f>
        <v>0</v>
      </c>
      <c r="F8" s="756">
        <f>'2.RL E tt'!N10</f>
        <v>0</v>
      </c>
      <c r="G8" s="756">
        <f>'2.RL E tt'!F32</f>
        <v>0</v>
      </c>
      <c r="H8" s="756">
        <f>'2.RL E tt'!J32</f>
        <v>0</v>
      </c>
      <c r="I8" s="757">
        <f>'2.RL E tt'!N32</f>
        <v>0</v>
      </c>
    </row>
    <row r="9" spans="1:9" s="754" customFormat="1" ht="12.75" hidden="1" customHeight="1">
      <c r="A9" s="361">
        <v>4</v>
      </c>
      <c r="B9" s="2767"/>
      <c r="C9" s="758" t="s">
        <v>651</v>
      </c>
      <c r="D9" s="755">
        <f>'2.RL E tt'!F11</f>
        <v>0</v>
      </c>
      <c r="E9" s="756">
        <f>'2.RL E tt'!J11</f>
        <v>0</v>
      </c>
      <c r="F9" s="756">
        <f>'2.RL E tt'!N11</f>
        <v>0</v>
      </c>
      <c r="G9" s="756">
        <f>'2.RL E tt'!F33</f>
        <v>0</v>
      </c>
      <c r="H9" s="756">
        <f>'2.RL E tt'!J33</f>
        <v>0</v>
      </c>
      <c r="I9" s="757">
        <f>'2.RL E tt'!N33</f>
        <v>0</v>
      </c>
    </row>
    <row r="10" spans="1:9" s="754" customFormat="1" ht="12.75" hidden="1" customHeight="1">
      <c r="A10" s="361">
        <v>5</v>
      </c>
      <c r="B10" s="2766" t="s">
        <v>804</v>
      </c>
      <c r="C10" s="758" t="s">
        <v>645</v>
      </c>
      <c r="D10" s="755">
        <f>'2.RL E tt'!F12</f>
        <v>0</v>
      </c>
      <c r="E10" s="756">
        <f>'2.RL E tt'!J12</f>
        <v>0</v>
      </c>
      <c r="F10" s="756">
        <f>'2.RL E tt'!N12</f>
        <v>0</v>
      </c>
      <c r="G10" s="756">
        <f>'2.RL E tt'!F34</f>
        <v>0</v>
      </c>
      <c r="H10" s="756">
        <f>'2.RL E tt'!J34</f>
        <v>0</v>
      </c>
      <c r="I10" s="757">
        <f>'2.RL E tt'!N34</f>
        <v>0</v>
      </c>
    </row>
    <row r="11" spans="1:9" s="754" customFormat="1" ht="12.75" hidden="1" customHeight="1">
      <c r="A11" s="361">
        <v>6</v>
      </c>
      <c r="B11" s="2772"/>
      <c r="C11" s="758" t="s">
        <v>649</v>
      </c>
      <c r="D11" s="755">
        <f>'2.RL E tt'!F13</f>
        <v>0</v>
      </c>
      <c r="E11" s="756">
        <f>'2.RL E tt'!J13</f>
        <v>0</v>
      </c>
      <c r="F11" s="756">
        <f>'2.RL E tt'!N13</f>
        <v>0</v>
      </c>
      <c r="G11" s="756">
        <f>'2.RL E tt'!F35</f>
        <v>0</v>
      </c>
      <c r="H11" s="756">
        <f>'2.RL E tt'!J35</f>
        <v>0</v>
      </c>
      <c r="I11" s="757">
        <f>'2.RL E tt'!N35</f>
        <v>0</v>
      </c>
    </row>
    <row r="12" spans="1:9" s="754" customFormat="1" ht="12.75" hidden="1" customHeight="1">
      <c r="A12" s="361">
        <v>7</v>
      </c>
      <c r="B12" s="2767"/>
      <c r="C12" s="758" t="s">
        <v>651</v>
      </c>
      <c r="D12" s="755">
        <f>'2.RL E tt'!F14</f>
        <v>0</v>
      </c>
      <c r="E12" s="756">
        <f>'2.RL E tt'!J14</f>
        <v>0</v>
      </c>
      <c r="F12" s="756">
        <f>'2.RL E tt'!N14</f>
        <v>0</v>
      </c>
      <c r="G12" s="756">
        <f>'2.RL E tt'!F36</f>
        <v>0</v>
      </c>
      <c r="H12" s="756">
        <f>'2.RL E tt'!J36</f>
        <v>0</v>
      </c>
      <c r="I12" s="757">
        <f>'2.RL E tt'!N36</f>
        <v>0</v>
      </c>
    </row>
    <row r="13" spans="1:9" s="759" customFormat="1" ht="12.75" hidden="1" customHeight="1">
      <c r="A13" s="361">
        <v>8</v>
      </c>
      <c r="B13" s="2766" t="s">
        <v>805</v>
      </c>
      <c r="C13" s="439" t="s">
        <v>806</v>
      </c>
      <c r="D13" s="755">
        <f>'2.RL E tt'!F15</f>
        <v>0</v>
      </c>
      <c r="E13" s="756">
        <f>'2.RL E tt'!J15</f>
        <v>0</v>
      </c>
      <c r="F13" s="756">
        <f>'2.RL E tt'!N15</f>
        <v>0</v>
      </c>
      <c r="G13" s="756">
        <f>'2.RL E tt'!F37</f>
        <v>0</v>
      </c>
      <c r="H13" s="756">
        <f>'2.RL E tt'!J37</f>
        <v>0</v>
      </c>
      <c r="I13" s="757">
        <f>'2.RL E tt'!N37</f>
        <v>0</v>
      </c>
    </row>
    <row r="14" spans="1:9" s="759" customFormat="1" ht="12.75" hidden="1" customHeight="1">
      <c r="A14" s="361">
        <v>9</v>
      </c>
      <c r="B14" s="2767"/>
      <c r="C14" s="439" t="s">
        <v>657</v>
      </c>
      <c r="D14" s="755">
        <f>'2.RL E tt'!F16</f>
        <v>0</v>
      </c>
      <c r="E14" s="756">
        <f>'2.RL E tt'!J16</f>
        <v>0</v>
      </c>
      <c r="F14" s="756">
        <f>'2.RL E tt'!N16</f>
        <v>0</v>
      </c>
      <c r="G14" s="756">
        <f>'2.RL E tt'!F38</f>
        <v>0</v>
      </c>
      <c r="H14" s="756">
        <f>'2.RL E tt'!J38</f>
        <v>0</v>
      </c>
      <c r="I14" s="757">
        <f>'2.RL E tt'!N38</f>
        <v>0</v>
      </c>
    </row>
    <row r="15" spans="1:9" s="759" customFormat="1" ht="12.75" hidden="1" customHeight="1">
      <c r="A15" s="2773" t="s">
        <v>2</v>
      </c>
      <c r="B15" s="2773"/>
      <c r="C15" s="746"/>
      <c r="D15" s="760" t="s">
        <v>173</v>
      </c>
      <c r="E15" s="747"/>
      <c r="F15" s="747"/>
      <c r="G15" s="747"/>
      <c r="H15" s="747"/>
      <c r="I15" s="761"/>
    </row>
    <row r="16" spans="1:9" s="759" customFormat="1" ht="12.75" hidden="1" customHeight="1">
      <c r="A16" s="167" t="s">
        <v>57</v>
      </c>
      <c r="B16" s="762" t="s">
        <v>807</v>
      </c>
      <c r="C16" s="746"/>
      <c r="D16" s="763" t="s">
        <v>418</v>
      </c>
      <c r="E16" s="750" t="s">
        <v>419</v>
      </c>
      <c r="F16" s="750" t="s">
        <v>420</v>
      </c>
      <c r="G16" s="750" t="s">
        <v>421</v>
      </c>
      <c r="H16" s="750" t="s">
        <v>422</v>
      </c>
      <c r="I16" s="764" t="s">
        <v>423</v>
      </c>
    </row>
    <row r="17" spans="1:9" s="759" customFormat="1" ht="12.75" hidden="1" customHeight="1">
      <c r="A17" s="361">
        <v>1</v>
      </c>
      <c r="B17" s="765" t="s">
        <v>480</v>
      </c>
      <c r="C17" s="766"/>
      <c r="D17" s="755">
        <f>'2.RL E tt'!F19</f>
        <v>0</v>
      </c>
      <c r="E17" s="756">
        <f>'2.RL E tt'!J19</f>
        <v>0</v>
      </c>
      <c r="F17" s="756">
        <f>'2.RL E tt'!N19</f>
        <v>0</v>
      </c>
      <c r="G17" s="756">
        <f>'2.RL E tt'!F41</f>
        <v>0</v>
      </c>
      <c r="H17" s="756">
        <f>'2.RL E tt'!J41</f>
        <v>0</v>
      </c>
      <c r="I17" s="761">
        <f>'2.RL E tt'!N41</f>
        <v>0</v>
      </c>
    </row>
    <row r="18" spans="1:9" s="759" customFormat="1" ht="12.75" hidden="1" customHeight="1">
      <c r="A18" s="361">
        <v>2</v>
      </c>
      <c r="B18" s="765" t="s">
        <v>482</v>
      </c>
      <c r="C18" s="766"/>
      <c r="D18" s="755">
        <f>'2.RL E tt'!F20</f>
        <v>0</v>
      </c>
      <c r="E18" s="756">
        <f>'2.RL E tt'!J20</f>
        <v>0</v>
      </c>
      <c r="F18" s="756">
        <f>'2.RL E tt'!N20</f>
        <v>0</v>
      </c>
      <c r="G18" s="756">
        <f>'2.RL E tt'!F42</f>
        <v>0</v>
      </c>
      <c r="H18" s="756">
        <f>'2.RL E tt'!J42</f>
        <v>0</v>
      </c>
      <c r="I18" s="761">
        <f>'2.RL E tt'!N42</f>
        <v>0</v>
      </c>
    </row>
    <row r="19" spans="1:9" s="759" customFormat="1" ht="12.75" hidden="1" customHeight="1">
      <c r="A19" s="361">
        <v>3</v>
      </c>
      <c r="B19" s="765" t="s">
        <v>475</v>
      </c>
      <c r="C19" s="766"/>
      <c r="D19" s="755">
        <f>'2.RL E tt'!F21</f>
        <v>0</v>
      </c>
      <c r="E19" s="756">
        <f>'2.RL E tt'!J21</f>
        <v>0</v>
      </c>
      <c r="F19" s="756">
        <f>'2.RL E tt'!N21</f>
        <v>0</v>
      </c>
      <c r="G19" s="756">
        <f>'2.RL E tt'!F43</f>
        <v>0</v>
      </c>
      <c r="H19" s="756">
        <f>'2.RL E tt'!J43</f>
        <v>0</v>
      </c>
      <c r="I19" s="761">
        <f>'2.RL E tt'!N43</f>
        <v>0</v>
      </c>
    </row>
    <row r="20" spans="1:9" s="759" customFormat="1" ht="12.75" hidden="1" customHeight="1">
      <c r="A20" s="361">
        <v>4</v>
      </c>
      <c r="B20" s="765" t="s">
        <v>808</v>
      </c>
      <c r="C20" s="766"/>
      <c r="D20" s="755">
        <f>'2.RL E tt'!F22</f>
        <v>0</v>
      </c>
      <c r="E20" s="756">
        <f>'2.RL E tt'!J22</f>
        <v>0</v>
      </c>
      <c r="F20" s="756">
        <f>'2.RL E tt'!N22</f>
        <v>0</v>
      </c>
      <c r="G20" s="756">
        <f>'2.RL E tt'!F44</f>
        <v>0</v>
      </c>
      <c r="H20" s="756">
        <f>'2.RL E tt'!J44</f>
        <v>0</v>
      </c>
      <c r="I20" s="761">
        <f>'2.RL E tt'!N44</f>
        <v>0</v>
      </c>
    </row>
    <row r="21" spans="1:9" ht="12.75" hidden="1" customHeight="1">
      <c r="A21" s="2768" t="s">
        <v>7</v>
      </c>
      <c r="B21" s="2770" t="s">
        <v>800</v>
      </c>
      <c r="C21" s="746"/>
      <c r="D21" s="760" t="s">
        <v>172</v>
      </c>
      <c r="E21" s="747"/>
      <c r="F21" s="747"/>
      <c r="G21" s="747"/>
      <c r="H21" s="747"/>
      <c r="I21" s="767"/>
    </row>
    <row r="22" spans="1:9" ht="12.75" hidden="1" customHeight="1">
      <c r="A22" s="2769"/>
      <c r="B22" s="2771"/>
      <c r="C22" s="749"/>
      <c r="D22" s="763" t="s">
        <v>418</v>
      </c>
      <c r="E22" s="750" t="s">
        <v>419</v>
      </c>
      <c r="F22" s="750" t="s">
        <v>420</v>
      </c>
      <c r="G22" s="750" t="s">
        <v>421</v>
      </c>
      <c r="H22" s="750" t="s">
        <v>422</v>
      </c>
      <c r="I22" s="764" t="s">
        <v>423</v>
      </c>
    </row>
    <row r="23" spans="1:9" ht="12.75" hidden="1" customHeight="1">
      <c r="A23" s="361">
        <v>1</v>
      </c>
      <c r="B23" s="155" t="s">
        <v>801</v>
      </c>
      <c r="C23" s="439"/>
      <c r="D23" s="768">
        <f>'2.RL E tt'!H7</f>
        <v>0</v>
      </c>
      <c r="E23" s="769">
        <f>'2.RL E tt'!L7</f>
        <v>0</v>
      </c>
      <c r="F23" s="769">
        <f>'2.RL E tt'!P7</f>
        <v>0</v>
      </c>
      <c r="G23" s="769">
        <f>'2.RL E tt'!H29</f>
        <v>0</v>
      </c>
      <c r="H23" s="769">
        <f>'2.RL E tt'!L29</f>
        <v>0</v>
      </c>
      <c r="I23" s="775">
        <f>'2.RL E tt'!P29</f>
        <v>0</v>
      </c>
    </row>
    <row r="24" spans="1:9" ht="12.75" hidden="1" customHeight="1">
      <c r="A24" s="361"/>
      <c r="B24" s="155" t="s">
        <v>801</v>
      </c>
      <c r="C24" s="439"/>
      <c r="D24" s="768">
        <f>'2.RL E tt'!H8</f>
        <v>292.1875</v>
      </c>
      <c r="E24" s="769">
        <f>'2.RL E tt'!L8</f>
        <v>292.1875</v>
      </c>
      <c r="F24" s="769">
        <f>'2.RL E tt'!P8</f>
        <v>292.1875</v>
      </c>
      <c r="G24" s="769">
        <f>'2.RL E tt'!H30</f>
        <v>292.1875</v>
      </c>
      <c r="H24" s="769">
        <f>'2.RL E tt'!L30</f>
        <v>292.1875</v>
      </c>
      <c r="I24" s="775">
        <f>'2.RL E tt'!P30</f>
        <v>292.1875</v>
      </c>
    </row>
    <row r="25" spans="1:9" ht="12.75" hidden="1" customHeight="1">
      <c r="A25" s="361">
        <v>2</v>
      </c>
      <c r="B25" s="2766" t="s">
        <v>803</v>
      </c>
      <c r="C25" s="439"/>
      <c r="D25" s="768">
        <f>'2.RL E tt'!H9</f>
        <v>0</v>
      </c>
      <c r="E25" s="769">
        <f>'2.RL E tt'!L9</f>
        <v>0</v>
      </c>
      <c r="F25" s="769">
        <f>'2.RL E tt'!P9</f>
        <v>0</v>
      </c>
      <c r="G25" s="769">
        <f>'2.RL E tt'!H31</f>
        <v>0</v>
      </c>
      <c r="H25" s="769">
        <f>'2.RL E tt'!L31</f>
        <v>0</v>
      </c>
      <c r="I25" s="775">
        <f>'2.RL E tt'!P31</f>
        <v>0</v>
      </c>
    </row>
    <row r="26" spans="1:9" ht="12.75" hidden="1" customHeight="1">
      <c r="A26" s="361">
        <v>3</v>
      </c>
      <c r="B26" s="2772"/>
      <c r="C26" s="439"/>
      <c r="D26" s="768">
        <f>'2.RL E tt'!H10</f>
        <v>0</v>
      </c>
      <c r="E26" s="769">
        <f>'2.RL E tt'!L10</f>
        <v>0</v>
      </c>
      <c r="F26" s="769">
        <f>'2.RL E tt'!P10</f>
        <v>0</v>
      </c>
      <c r="G26" s="769">
        <f>'2.RL E tt'!H32</f>
        <v>0</v>
      </c>
      <c r="H26" s="769">
        <f>'2.RL E tt'!L32</f>
        <v>0</v>
      </c>
      <c r="I26" s="775">
        <f>'2.RL E tt'!P32</f>
        <v>0</v>
      </c>
    </row>
    <row r="27" spans="1:9" ht="12.75" hidden="1" customHeight="1">
      <c r="A27" s="361">
        <v>4</v>
      </c>
      <c r="B27" s="2767"/>
      <c r="C27" s="439"/>
      <c r="D27" s="768">
        <f>'2.RL E tt'!H11</f>
        <v>0</v>
      </c>
      <c r="E27" s="769">
        <f>'2.RL E tt'!L11</f>
        <v>0</v>
      </c>
      <c r="F27" s="769">
        <f>'2.RL E tt'!P11</f>
        <v>0</v>
      </c>
      <c r="G27" s="769">
        <f>'2.RL E tt'!H33</f>
        <v>0</v>
      </c>
      <c r="H27" s="769">
        <f>'2.RL E tt'!L33</f>
        <v>0</v>
      </c>
      <c r="I27" s="775">
        <f>'2.RL E tt'!P33</f>
        <v>0</v>
      </c>
    </row>
    <row r="28" spans="1:9" ht="12.75" hidden="1" customHeight="1">
      <c r="A28" s="361">
        <v>5</v>
      </c>
      <c r="B28" s="2766" t="s">
        <v>804</v>
      </c>
      <c r="C28" s="439"/>
      <c r="D28" s="768">
        <f>'2.RL E tt'!H12</f>
        <v>0</v>
      </c>
      <c r="E28" s="769">
        <f>'2.RL E tt'!L12</f>
        <v>0</v>
      </c>
      <c r="F28" s="769">
        <f>'2.RL E tt'!P12</f>
        <v>0</v>
      </c>
      <c r="G28" s="769">
        <f>'2.RL E tt'!H34</f>
        <v>0</v>
      </c>
      <c r="H28" s="769">
        <f>'2.RL E tt'!L34</f>
        <v>0</v>
      </c>
      <c r="I28" s="775">
        <f>'2.RL E tt'!P34</f>
        <v>0</v>
      </c>
    </row>
    <row r="29" spans="1:9" ht="12.75" hidden="1" customHeight="1">
      <c r="A29" s="361">
        <v>6</v>
      </c>
      <c r="B29" s="2772"/>
      <c r="C29" s="439"/>
      <c r="D29" s="768">
        <f>'2.RL E tt'!H13</f>
        <v>0</v>
      </c>
      <c r="E29" s="769">
        <f>'2.RL E tt'!L13</f>
        <v>0</v>
      </c>
      <c r="F29" s="769">
        <f>'2.RL E tt'!P13</f>
        <v>0</v>
      </c>
      <c r="G29" s="769">
        <f>'2.RL E tt'!H35</f>
        <v>0</v>
      </c>
      <c r="H29" s="769">
        <f>'2.RL E tt'!L35</f>
        <v>0</v>
      </c>
      <c r="I29" s="775">
        <f>'2.RL E tt'!P35</f>
        <v>0</v>
      </c>
    </row>
    <row r="30" spans="1:9" ht="12.75" hidden="1" customHeight="1">
      <c r="A30" s="361">
        <v>7</v>
      </c>
      <c r="B30" s="2767"/>
      <c r="C30" s="439"/>
      <c r="D30" s="768">
        <f>'2.RL E tt'!H14</f>
        <v>0</v>
      </c>
      <c r="E30" s="769">
        <f>'2.RL E tt'!L14</f>
        <v>0</v>
      </c>
      <c r="F30" s="769">
        <f>'2.RL E tt'!P14</f>
        <v>0</v>
      </c>
      <c r="G30" s="769">
        <f>'2.RL E tt'!H36</f>
        <v>0</v>
      </c>
      <c r="H30" s="769">
        <f>'2.RL E tt'!L36</f>
        <v>0</v>
      </c>
      <c r="I30" s="775">
        <f>'2.RL E tt'!P36</f>
        <v>0</v>
      </c>
    </row>
    <row r="31" spans="1:9" ht="12.75" hidden="1" customHeight="1">
      <c r="A31" s="361">
        <v>8</v>
      </c>
      <c r="B31" s="2766" t="s">
        <v>805</v>
      </c>
      <c r="C31" s="439"/>
      <c r="D31" s="768">
        <f>'2.RL E tt'!H15</f>
        <v>0</v>
      </c>
      <c r="E31" s="769">
        <f>'2.RL E tt'!L15</f>
        <v>0</v>
      </c>
      <c r="F31" s="769">
        <f>'2.RL E tt'!P15</f>
        <v>0</v>
      </c>
      <c r="G31" s="769">
        <f>'2.RL E tt'!H37</f>
        <v>0</v>
      </c>
      <c r="H31" s="769">
        <f>'2.RL E tt'!L37</f>
        <v>0</v>
      </c>
      <c r="I31" s="775">
        <f>'2.RL E tt'!P37</f>
        <v>0</v>
      </c>
    </row>
    <row r="32" spans="1:9" ht="12.75" hidden="1" customHeight="1">
      <c r="A32" s="361">
        <v>9</v>
      </c>
      <c r="B32" s="2767"/>
      <c r="C32" s="439"/>
      <c r="D32" s="768">
        <f>'2.RL E tt'!H16</f>
        <v>0</v>
      </c>
      <c r="E32" s="769">
        <f>'2.RL E tt'!L16</f>
        <v>0</v>
      </c>
      <c r="F32" s="769">
        <f>'2.RL E tt'!P16</f>
        <v>0</v>
      </c>
      <c r="G32" s="769">
        <f>'2.RL E tt'!H38</f>
        <v>0</v>
      </c>
      <c r="H32" s="769">
        <f>'2.RL E tt'!L38</f>
        <v>0</v>
      </c>
      <c r="I32" s="775">
        <f>'2.RL E tt'!P38</f>
        <v>0</v>
      </c>
    </row>
    <row r="33" spans="1:9" ht="12.75" hidden="1" customHeight="1">
      <c r="D33" s="771"/>
      <c r="I33" s="767"/>
    </row>
    <row r="34" spans="1:9" ht="12.75" hidden="1" customHeight="1">
      <c r="B34" s="744" t="s">
        <v>970</v>
      </c>
      <c r="C34" s="772"/>
      <c r="D34" s="771"/>
      <c r="I34" s="767"/>
    </row>
    <row r="35" spans="1:9" ht="12.75" hidden="1" customHeight="1">
      <c r="A35" s="2768" t="s">
        <v>7</v>
      </c>
      <c r="B35" s="2770" t="s">
        <v>800</v>
      </c>
      <c r="C35" s="746"/>
      <c r="D35" s="760" t="s">
        <v>171</v>
      </c>
      <c r="E35" s="747"/>
      <c r="F35" s="747"/>
      <c r="G35" s="747"/>
      <c r="H35" s="747"/>
      <c r="I35" s="767"/>
    </row>
    <row r="36" spans="1:9" ht="12.75" hidden="1" customHeight="1">
      <c r="A36" s="2769"/>
      <c r="B36" s="2771"/>
      <c r="C36" s="749"/>
      <c r="D36" s="763" t="s">
        <v>418</v>
      </c>
      <c r="E36" s="750" t="s">
        <v>419</v>
      </c>
      <c r="F36" s="750" t="s">
        <v>420</v>
      </c>
      <c r="G36" s="750" t="s">
        <v>421</v>
      </c>
      <c r="H36" s="750" t="s">
        <v>422</v>
      </c>
      <c r="I36" s="764" t="s">
        <v>423</v>
      </c>
    </row>
    <row r="37" spans="1:9" ht="12.75" hidden="1" customHeight="1">
      <c r="A37" s="361">
        <v>1</v>
      </c>
      <c r="B37" s="773" t="s">
        <v>484</v>
      </c>
      <c r="C37" s="439"/>
      <c r="D37" s="755">
        <f>'3.RL G tt'!E7</f>
        <v>0</v>
      </c>
      <c r="E37" s="756">
        <f>'3.RL G tt'!I7</f>
        <v>0</v>
      </c>
      <c r="F37" s="756">
        <f>'3.RL G tt'!M7</f>
        <v>0</v>
      </c>
      <c r="G37" s="756">
        <f>'3.RL G tt'!E24</f>
        <v>0</v>
      </c>
      <c r="H37" s="756">
        <f>'3.RL G tt'!I24</f>
        <v>0</v>
      </c>
      <c r="I37" s="767">
        <f>'3.RL G tt'!M24</f>
        <v>0</v>
      </c>
    </row>
    <row r="38" spans="1:9" ht="12.75" hidden="1" customHeight="1">
      <c r="A38" s="361">
        <v>2</v>
      </c>
      <c r="B38" s="773" t="s">
        <v>487</v>
      </c>
      <c r="C38" s="439"/>
      <c r="D38" s="755">
        <f>'3.RL G tt'!E8</f>
        <v>0</v>
      </c>
      <c r="E38" s="756">
        <f>'3.RL G tt'!I8</f>
        <v>0</v>
      </c>
      <c r="F38" s="756">
        <f>'3.RL G tt'!M8</f>
        <v>0</v>
      </c>
      <c r="G38" s="756">
        <f>'3.RL G tt'!E25</f>
        <v>0</v>
      </c>
      <c r="H38" s="756">
        <f>'3.RL G tt'!I25</f>
        <v>0</v>
      </c>
      <c r="I38" s="767">
        <f>'3.RL G tt'!M25</f>
        <v>0</v>
      </c>
    </row>
    <row r="39" spans="1:9" ht="12.75" hidden="1" customHeight="1">
      <c r="A39" s="361">
        <v>3</v>
      </c>
      <c r="B39" s="2766" t="s">
        <v>809</v>
      </c>
      <c r="C39" s="758" t="s">
        <v>645</v>
      </c>
      <c r="D39" s="755">
        <f>'3.RL G tt'!E9</f>
        <v>0</v>
      </c>
      <c r="E39" s="756">
        <f>'3.RL G tt'!I9</f>
        <v>0</v>
      </c>
      <c r="F39" s="756">
        <f>'3.RL G tt'!M9</f>
        <v>0</v>
      </c>
      <c r="G39" s="756">
        <f>'3.RL G tt'!E26</f>
        <v>0</v>
      </c>
      <c r="H39" s="756">
        <f>'3.RL G tt'!I26</f>
        <v>0</v>
      </c>
      <c r="I39" s="767">
        <f>'3.RL G tt'!M26</f>
        <v>0</v>
      </c>
    </row>
    <row r="40" spans="1:9" ht="12.75" hidden="1" customHeight="1">
      <c r="A40" s="361">
        <v>4</v>
      </c>
      <c r="B40" s="2772"/>
      <c r="C40" s="758" t="s">
        <v>649</v>
      </c>
      <c r="D40" s="755">
        <f>'3.RL G tt'!E10</f>
        <v>0</v>
      </c>
      <c r="E40" s="756">
        <f>'3.RL G tt'!I10</f>
        <v>0</v>
      </c>
      <c r="F40" s="756">
        <f>'3.RL G tt'!M10</f>
        <v>0</v>
      </c>
      <c r="G40" s="756">
        <f>'3.RL G tt'!E27</f>
        <v>0</v>
      </c>
      <c r="H40" s="756">
        <f>'3.RL G tt'!I27</f>
        <v>0</v>
      </c>
      <c r="I40" s="767">
        <f>'3.RL G tt'!M27</f>
        <v>0</v>
      </c>
    </row>
    <row r="41" spans="1:9" ht="12.75" hidden="1" customHeight="1">
      <c r="A41" s="361">
        <v>5</v>
      </c>
      <c r="B41" s="2767"/>
      <c r="C41" s="758" t="s">
        <v>651</v>
      </c>
      <c r="D41" s="755">
        <f>'3.RL G tt'!E11</f>
        <v>0</v>
      </c>
      <c r="E41" s="756">
        <f>'3.RL G tt'!I11</f>
        <v>0</v>
      </c>
      <c r="F41" s="756">
        <f>'3.RL G tt'!M11</f>
        <v>0</v>
      </c>
      <c r="G41" s="756">
        <f>'3.RL G tt'!E28</f>
        <v>0</v>
      </c>
      <c r="H41" s="756">
        <f>'3.RL G tt'!I28</f>
        <v>0</v>
      </c>
      <c r="I41" s="767">
        <f>'3.RL G tt'!M28</f>
        <v>0</v>
      </c>
    </row>
    <row r="42" spans="1:9" ht="12.75" hidden="1" customHeight="1">
      <c r="A42" s="361">
        <v>6</v>
      </c>
      <c r="B42" s="2766" t="s">
        <v>810</v>
      </c>
      <c r="C42" s="439"/>
      <c r="D42" s="755">
        <f>'3.RL G tt'!E12</f>
        <v>0</v>
      </c>
      <c r="E42" s="756">
        <f>'3.RL G tt'!I12</f>
        <v>0</v>
      </c>
      <c r="F42" s="756">
        <f>'3.RL G tt'!M12</f>
        <v>0</v>
      </c>
      <c r="G42" s="756">
        <f>'3.RL G tt'!E29</f>
        <v>0</v>
      </c>
      <c r="H42" s="756">
        <f>'3.RL G tt'!I29</f>
        <v>0</v>
      </c>
      <c r="I42" s="767">
        <f>'3.RL G tt'!M29</f>
        <v>0</v>
      </c>
    </row>
    <row r="43" spans="1:9" ht="12.75" hidden="1" customHeight="1">
      <c r="A43" s="361">
        <v>7</v>
      </c>
      <c r="B43" s="2767"/>
      <c r="C43" s="439"/>
      <c r="D43" s="755">
        <f>'3.RL G tt'!E13</f>
        <v>0</v>
      </c>
      <c r="E43" s="756">
        <f>'3.RL G tt'!I13</f>
        <v>0</v>
      </c>
      <c r="F43" s="756">
        <f>'3.RL G tt'!M13</f>
        <v>0</v>
      </c>
      <c r="G43" s="756">
        <f>'3.RL G tt'!E30</f>
        <v>0</v>
      </c>
      <c r="H43" s="756">
        <f>'3.RL G tt'!I30</f>
        <v>0</v>
      </c>
      <c r="I43" s="767">
        <f>'3.RL G tt'!M30</f>
        <v>0</v>
      </c>
    </row>
    <row r="44" spans="1:9" ht="12.75" hidden="1" customHeight="1">
      <c r="A44" s="2773" t="s">
        <v>2</v>
      </c>
      <c r="B44" s="2773"/>
      <c r="C44" s="746"/>
      <c r="D44" s="760" t="s">
        <v>173</v>
      </c>
      <c r="E44" s="747"/>
      <c r="F44" s="747"/>
      <c r="G44" s="747"/>
      <c r="H44" s="747"/>
      <c r="I44" s="767"/>
    </row>
    <row r="45" spans="1:9" ht="12.75" hidden="1" customHeight="1">
      <c r="A45" s="167" t="s">
        <v>57</v>
      </c>
      <c r="B45" s="762" t="s">
        <v>807</v>
      </c>
      <c r="C45" s="746"/>
      <c r="D45" s="763" t="s">
        <v>418</v>
      </c>
      <c r="E45" s="750" t="s">
        <v>419</v>
      </c>
      <c r="F45" s="750" t="s">
        <v>420</v>
      </c>
      <c r="G45" s="750" t="s">
        <v>421</v>
      </c>
      <c r="H45" s="750" t="s">
        <v>422</v>
      </c>
      <c r="I45" s="764" t="s">
        <v>423</v>
      </c>
    </row>
    <row r="46" spans="1:9" ht="12.75" hidden="1" customHeight="1">
      <c r="A46" s="361">
        <v>1</v>
      </c>
      <c r="B46" s="363" t="s">
        <v>489</v>
      </c>
      <c r="C46" s="774"/>
      <c r="D46" s="1376">
        <f>'3.RL G tt'!G16</f>
        <v>0</v>
      </c>
      <c r="E46" s="1377">
        <f>'3.RL G tt'!K16</f>
        <v>0</v>
      </c>
      <c r="F46" s="1377">
        <f>'3.RL G tt'!O16</f>
        <v>0</v>
      </c>
      <c r="G46" s="1377">
        <f>'3.RL G tt'!G33</f>
        <v>0</v>
      </c>
      <c r="H46" s="1377">
        <f>'3.RL G tt'!K33</f>
        <v>0</v>
      </c>
      <c r="I46" s="1378">
        <f>'3.RL G tt'!O33</f>
        <v>0</v>
      </c>
    </row>
    <row r="47" spans="1:9" ht="12.75" hidden="1" customHeight="1">
      <c r="A47" s="361">
        <v>2</v>
      </c>
      <c r="B47" s="363" t="s">
        <v>811</v>
      </c>
      <c r="C47" s="774"/>
      <c r="D47" s="1376">
        <f>'3.RL G tt'!G17</f>
        <v>0</v>
      </c>
      <c r="E47" s="1377">
        <f>'3.RL G tt'!K17</f>
        <v>0</v>
      </c>
      <c r="F47" s="1377">
        <f>'3.RL G tt'!O17</f>
        <v>0</v>
      </c>
      <c r="G47" s="1377">
        <f>'3.RL G tt'!G34</f>
        <v>0</v>
      </c>
      <c r="H47" s="1377">
        <f>'3.RL G tt'!K34</f>
        <v>0</v>
      </c>
      <c r="I47" s="1378">
        <f>'3.RL G tt'!O34</f>
        <v>0</v>
      </c>
    </row>
    <row r="48" spans="1:9" ht="12.75" hidden="1" customHeight="1">
      <c r="A48" s="361">
        <v>3</v>
      </c>
      <c r="B48" s="363" t="s">
        <v>776</v>
      </c>
      <c r="C48" s="774"/>
      <c r="D48" s="1376">
        <f>'3.RL G tt'!G18</f>
        <v>0</v>
      </c>
      <c r="E48" s="1377">
        <f>'3.RL G tt'!K18</f>
        <v>0</v>
      </c>
      <c r="F48" s="1377">
        <f>'3.RL G tt'!O18</f>
        <v>0</v>
      </c>
      <c r="G48" s="1377">
        <f>'3.RL G tt'!G35</f>
        <v>0</v>
      </c>
      <c r="H48" s="1377">
        <f>'3.RL G tt'!K35</f>
        <v>0</v>
      </c>
      <c r="I48" s="1378">
        <f>'3.RL G tt'!O35</f>
        <v>0</v>
      </c>
    </row>
    <row r="49" spans="1:9" ht="12.75" hidden="1" customHeight="1">
      <c r="A49" s="2768" t="s">
        <v>7</v>
      </c>
      <c r="B49" s="2770" t="s">
        <v>800</v>
      </c>
      <c r="C49" s="746"/>
      <c r="D49" s="760" t="s">
        <v>172</v>
      </c>
      <c r="E49" s="747"/>
      <c r="F49" s="747"/>
      <c r="G49" s="747"/>
      <c r="H49" s="747"/>
      <c r="I49" s="767"/>
    </row>
    <row r="50" spans="1:9" ht="12.75" hidden="1" customHeight="1">
      <c r="A50" s="2769"/>
      <c r="B50" s="2771"/>
      <c r="C50" s="749"/>
      <c r="D50" s="763" t="s">
        <v>418</v>
      </c>
      <c r="E50" s="750" t="s">
        <v>419</v>
      </c>
      <c r="F50" s="750" t="s">
        <v>420</v>
      </c>
      <c r="G50" s="750" t="s">
        <v>421</v>
      </c>
      <c r="H50" s="750" t="s">
        <v>422</v>
      </c>
      <c r="I50" s="764" t="s">
        <v>423</v>
      </c>
    </row>
    <row r="51" spans="1:9" ht="12.75" hidden="1" customHeight="1">
      <c r="A51" s="361">
        <v>1</v>
      </c>
      <c r="B51" s="773" t="s">
        <v>484</v>
      </c>
      <c r="C51" s="439"/>
      <c r="D51" s="768">
        <f>'3.RL G tt'!G7</f>
        <v>0</v>
      </c>
      <c r="E51" s="769">
        <f>'3.RL G tt'!K7</f>
        <v>0</v>
      </c>
      <c r="F51" s="769">
        <f>'3.RL G tt'!O7</f>
        <v>0</v>
      </c>
      <c r="G51" s="769">
        <f>'3.RL G tt'!G24</f>
        <v>0</v>
      </c>
      <c r="H51" s="769">
        <f>'3.RL G tt'!K24</f>
        <v>0</v>
      </c>
      <c r="I51" s="775">
        <f>'3.RL G tt'!O24</f>
        <v>0</v>
      </c>
    </row>
    <row r="52" spans="1:9" ht="12.75" hidden="1" customHeight="1">
      <c r="A52" s="361">
        <v>2</v>
      </c>
      <c r="B52" s="773" t="s">
        <v>487</v>
      </c>
      <c r="C52" s="439"/>
      <c r="D52" s="768">
        <f>'3.RL G tt'!G8</f>
        <v>0</v>
      </c>
      <c r="E52" s="769">
        <f>'3.RL G tt'!K8</f>
        <v>0</v>
      </c>
      <c r="F52" s="769">
        <f>'3.RL G tt'!O8</f>
        <v>0</v>
      </c>
      <c r="G52" s="769">
        <f>'3.RL G tt'!G25</f>
        <v>0</v>
      </c>
      <c r="H52" s="769">
        <f>'3.RL G tt'!K25</f>
        <v>0</v>
      </c>
      <c r="I52" s="775">
        <f>'3.RL G tt'!O25</f>
        <v>0</v>
      </c>
    </row>
    <row r="53" spans="1:9" ht="12.75" hidden="1" customHeight="1">
      <c r="A53" s="361">
        <v>3</v>
      </c>
      <c r="B53" s="2766" t="s">
        <v>809</v>
      </c>
      <c r="C53" s="439"/>
      <c r="D53" s="768">
        <f>'3.RL G tt'!G9</f>
        <v>0</v>
      </c>
      <c r="E53" s="769">
        <f>'3.RL G tt'!K9</f>
        <v>0</v>
      </c>
      <c r="F53" s="769">
        <f>'3.RL G tt'!O9</f>
        <v>0</v>
      </c>
      <c r="G53" s="769">
        <f>'3.RL G tt'!G26</f>
        <v>0</v>
      </c>
      <c r="H53" s="769">
        <f>'3.RL G tt'!K26</f>
        <v>0</v>
      </c>
      <c r="I53" s="775">
        <f>'3.RL G tt'!O26</f>
        <v>0</v>
      </c>
    </row>
    <row r="54" spans="1:9" ht="12.75" hidden="1" customHeight="1">
      <c r="A54" s="361">
        <v>4</v>
      </c>
      <c r="B54" s="2772"/>
      <c r="C54" s="439"/>
      <c r="D54" s="768">
        <f>'3.RL G tt'!G10</f>
        <v>0</v>
      </c>
      <c r="E54" s="769">
        <f>'3.RL G tt'!K10</f>
        <v>0</v>
      </c>
      <c r="F54" s="769">
        <f>'3.RL G tt'!O10</f>
        <v>0</v>
      </c>
      <c r="G54" s="769">
        <f>'3.RL G tt'!G27</f>
        <v>0</v>
      </c>
      <c r="H54" s="769">
        <f>'3.RL G tt'!K27</f>
        <v>0</v>
      </c>
      <c r="I54" s="775">
        <f>'3.RL G tt'!O27</f>
        <v>0</v>
      </c>
    </row>
    <row r="55" spans="1:9" ht="12.75" hidden="1" customHeight="1">
      <c r="A55" s="361">
        <v>5</v>
      </c>
      <c r="B55" s="2767"/>
      <c r="C55" s="439"/>
      <c r="D55" s="768">
        <f>'3.RL G tt'!G11</f>
        <v>0</v>
      </c>
      <c r="E55" s="769">
        <f>'3.RL G tt'!K11</f>
        <v>0</v>
      </c>
      <c r="F55" s="769">
        <f>'3.RL G tt'!O11</f>
        <v>0</v>
      </c>
      <c r="G55" s="769">
        <f>'3.RL G tt'!G28</f>
        <v>0</v>
      </c>
      <c r="H55" s="769">
        <f>'3.RL G tt'!K28</f>
        <v>0</v>
      </c>
      <c r="I55" s="775">
        <f>'3.RL G tt'!O28</f>
        <v>0</v>
      </c>
    </row>
    <row r="56" spans="1:9" ht="12.75" hidden="1" customHeight="1">
      <c r="A56" s="361">
        <v>6</v>
      </c>
      <c r="B56" s="2766" t="s">
        <v>810</v>
      </c>
      <c r="C56" s="439"/>
      <c r="D56" s="768">
        <f>'3.RL G tt'!G12</f>
        <v>0</v>
      </c>
      <c r="E56" s="769">
        <f>'3.RL G tt'!K12</f>
        <v>0</v>
      </c>
      <c r="F56" s="769">
        <f>'3.RL G tt'!O12</f>
        <v>0</v>
      </c>
      <c r="G56" s="769">
        <f>'3.RL G tt'!G29</f>
        <v>0</v>
      </c>
      <c r="H56" s="769">
        <f>'3.RL G tt'!K29</f>
        <v>0</v>
      </c>
      <c r="I56" s="775">
        <f>'3.RL G tt'!O29</f>
        <v>0</v>
      </c>
    </row>
    <row r="57" spans="1:9" ht="12.75" hidden="1" customHeight="1">
      <c r="A57" s="361">
        <v>7</v>
      </c>
      <c r="B57" s="2767"/>
      <c r="C57" s="439"/>
      <c r="D57" s="768">
        <f>'3.RL G tt'!G13</f>
        <v>0</v>
      </c>
      <c r="E57" s="769">
        <f>'3.RL G tt'!K13</f>
        <v>0</v>
      </c>
      <c r="F57" s="769">
        <f>'3.RL G tt'!O13</f>
        <v>0</v>
      </c>
      <c r="G57" s="769">
        <f>'3.RL G tt'!G30</f>
        <v>0</v>
      </c>
      <c r="H57" s="769">
        <f>'3.RL G tt'!K30</f>
        <v>0</v>
      </c>
      <c r="I57" s="775">
        <f>'3.RL G tt'!O30</f>
        <v>0</v>
      </c>
    </row>
    <row r="58" spans="1:9" ht="12.75" hidden="1" customHeight="1">
      <c r="D58" s="771"/>
      <c r="I58" s="767"/>
    </row>
    <row r="59" spans="1:9" ht="12.75" hidden="1" customHeight="1">
      <c r="B59" s="744" t="s">
        <v>971</v>
      </c>
      <c r="C59" s="772"/>
      <c r="D59" s="771"/>
      <c r="I59" s="767"/>
    </row>
    <row r="60" spans="1:9" ht="12.75" hidden="1" customHeight="1">
      <c r="A60" s="2768" t="s">
        <v>7</v>
      </c>
      <c r="B60" s="2770" t="s">
        <v>800</v>
      </c>
      <c r="C60" s="746"/>
      <c r="D60" s="760" t="s">
        <v>171</v>
      </c>
      <c r="E60" s="747"/>
      <c r="F60" s="747"/>
      <c r="G60" s="747"/>
      <c r="H60" s="747"/>
      <c r="I60" s="767"/>
    </row>
    <row r="61" spans="1:9" ht="12.75" hidden="1" customHeight="1">
      <c r="A61" s="2769"/>
      <c r="B61" s="2771"/>
      <c r="C61" s="749"/>
      <c r="D61" s="763" t="s">
        <v>418</v>
      </c>
      <c r="E61" s="750" t="s">
        <v>419</v>
      </c>
      <c r="F61" s="750" t="s">
        <v>420</v>
      </c>
      <c r="G61" s="750" t="s">
        <v>421</v>
      </c>
      <c r="H61" s="750" t="s">
        <v>422</v>
      </c>
      <c r="I61" s="764" t="s">
        <v>423</v>
      </c>
    </row>
    <row r="62" spans="1:9" ht="12.75" hidden="1" customHeight="1">
      <c r="A62" s="167">
        <v>1</v>
      </c>
      <c r="B62" s="155" t="s">
        <v>969</v>
      </c>
      <c r="C62" s="439"/>
      <c r="D62" s="755">
        <f>'4.RL F tt'!F7</f>
        <v>0</v>
      </c>
      <c r="E62" s="756">
        <f>'4.RL F tt'!J7</f>
        <v>0</v>
      </c>
      <c r="F62" s="756">
        <f>'4.RL F tt'!N7</f>
        <v>0</v>
      </c>
      <c r="G62" s="756">
        <f>'4.RL F tt'!F29</f>
        <v>0</v>
      </c>
      <c r="H62" s="756">
        <f>'4.RL F tt'!J29</f>
        <v>0</v>
      </c>
      <c r="I62" s="767">
        <f>'4.RL F tt'!N29</f>
        <v>0</v>
      </c>
    </row>
    <row r="63" spans="1:9" ht="12.75" hidden="1" customHeight="1">
      <c r="A63" s="167"/>
      <c r="B63" s="155" t="s">
        <v>801</v>
      </c>
      <c r="C63" s="439" t="s">
        <v>802</v>
      </c>
      <c r="D63" s="755">
        <f>'4.RL F tt'!F8</f>
        <v>0</v>
      </c>
      <c r="E63" s="756">
        <f>'4.RL F tt'!J8</f>
        <v>0</v>
      </c>
      <c r="F63" s="756">
        <f>'4.RL F tt'!N8</f>
        <v>0</v>
      </c>
      <c r="G63" s="756">
        <f>'4.RL F tt'!F30</f>
        <v>0</v>
      </c>
      <c r="H63" s="756">
        <f>'4.RL F tt'!J30</f>
        <v>0</v>
      </c>
      <c r="I63" s="767">
        <f>'4.RL F tt'!N30</f>
        <v>0</v>
      </c>
    </row>
    <row r="64" spans="1:9" ht="12.75" hidden="1" customHeight="1">
      <c r="A64" s="361">
        <v>2</v>
      </c>
      <c r="B64" s="2766" t="s">
        <v>803</v>
      </c>
      <c r="C64" s="758" t="s">
        <v>645</v>
      </c>
      <c r="D64" s="755">
        <f>'4.RL F tt'!F9</f>
        <v>0</v>
      </c>
      <c r="E64" s="756">
        <f>'4.RL F tt'!J9</f>
        <v>0</v>
      </c>
      <c r="F64" s="756">
        <f>'4.RL F tt'!N9</f>
        <v>0</v>
      </c>
      <c r="G64" s="756">
        <f>'4.RL F tt'!F31</f>
        <v>0</v>
      </c>
      <c r="H64" s="756">
        <f>'4.RL F tt'!J31</f>
        <v>0</v>
      </c>
      <c r="I64" s="767">
        <f>'4.RL F tt'!N31</f>
        <v>0</v>
      </c>
    </row>
    <row r="65" spans="1:9" ht="12.75" hidden="1" customHeight="1">
      <c r="A65" s="361">
        <v>3</v>
      </c>
      <c r="B65" s="2772"/>
      <c r="C65" s="758" t="s">
        <v>649</v>
      </c>
      <c r="D65" s="755">
        <f>'4.RL F tt'!F10</f>
        <v>0</v>
      </c>
      <c r="E65" s="756">
        <f>'4.RL F tt'!J10</f>
        <v>0</v>
      </c>
      <c r="F65" s="756">
        <f>'4.RL F tt'!N10</f>
        <v>0</v>
      </c>
      <c r="G65" s="756">
        <f>'4.RL F tt'!F32</f>
        <v>0</v>
      </c>
      <c r="H65" s="756">
        <f>'4.RL F tt'!J32</f>
        <v>0</v>
      </c>
      <c r="I65" s="767">
        <f>'4.RL F tt'!N32</f>
        <v>0</v>
      </c>
    </row>
    <row r="66" spans="1:9" ht="12.75" hidden="1" customHeight="1">
      <c r="A66" s="361">
        <v>4</v>
      </c>
      <c r="B66" s="2767"/>
      <c r="C66" s="758" t="s">
        <v>651</v>
      </c>
      <c r="D66" s="755">
        <f>'4.RL F tt'!F11</f>
        <v>0</v>
      </c>
      <c r="E66" s="756">
        <f>'4.RL F tt'!J11</f>
        <v>0</v>
      </c>
      <c r="F66" s="756">
        <f>'4.RL F tt'!N11</f>
        <v>0</v>
      </c>
      <c r="G66" s="756">
        <f>'4.RL F tt'!F33</f>
        <v>0</v>
      </c>
      <c r="H66" s="756">
        <f>'4.RL F tt'!J33</f>
        <v>0</v>
      </c>
      <c r="I66" s="767">
        <f>'4.RL F tt'!N33</f>
        <v>0</v>
      </c>
    </row>
    <row r="67" spans="1:9" ht="12.75" hidden="1" customHeight="1">
      <c r="A67" s="361">
        <v>5</v>
      </c>
      <c r="B67" s="2766" t="s">
        <v>804</v>
      </c>
      <c r="C67" s="758" t="s">
        <v>645</v>
      </c>
      <c r="D67" s="755" t="e">
        <f>'4.RL F tt'!F12</f>
        <v>#REF!</v>
      </c>
      <c r="E67" s="756" t="e">
        <f>'4.RL F tt'!J12</f>
        <v>#REF!</v>
      </c>
      <c r="F67" s="756" t="e">
        <f>'4.RL F tt'!N12</f>
        <v>#REF!</v>
      </c>
      <c r="G67" s="756" t="e">
        <f>'4.RL F tt'!F34</f>
        <v>#REF!</v>
      </c>
      <c r="H67" s="756" t="e">
        <f>'4.RL F tt'!J34</f>
        <v>#REF!</v>
      </c>
      <c r="I67" s="767" t="e">
        <f>'4.RL F tt'!N34</f>
        <v>#REF!</v>
      </c>
    </row>
    <row r="68" spans="1:9" ht="12.75" hidden="1" customHeight="1">
      <c r="A68" s="361">
        <v>6</v>
      </c>
      <c r="B68" s="2772"/>
      <c r="C68" s="758" t="s">
        <v>649</v>
      </c>
      <c r="D68" s="755" t="e">
        <f>'4.RL F tt'!F13</f>
        <v>#REF!</v>
      </c>
      <c r="E68" s="756" t="e">
        <f>'4.RL F tt'!J13</f>
        <v>#REF!</v>
      </c>
      <c r="F68" s="756" t="e">
        <f>'4.RL F tt'!N13</f>
        <v>#REF!</v>
      </c>
      <c r="G68" s="756" t="e">
        <f>'4.RL F tt'!F35</f>
        <v>#REF!</v>
      </c>
      <c r="H68" s="756" t="e">
        <f>'4.RL F tt'!J35</f>
        <v>#REF!</v>
      </c>
      <c r="I68" s="767" t="e">
        <f>'4.RL F tt'!N35</f>
        <v>#REF!</v>
      </c>
    </row>
    <row r="69" spans="1:9" ht="12.75" hidden="1" customHeight="1">
      <c r="A69" s="361">
        <v>7</v>
      </c>
      <c r="B69" s="2767"/>
      <c r="C69" s="758" t="s">
        <v>651</v>
      </c>
      <c r="D69" s="755" t="e">
        <f>'4.RL F tt'!F14</f>
        <v>#REF!</v>
      </c>
      <c r="E69" s="756" t="e">
        <f>'4.RL F tt'!J14</f>
        <v>#REF!</v>
      </c>
      <c r="F69" s="756" t="e">
        <f>'4.RL F tt'!N14</f>
        <v>#REF!</v>
      </c>
      <c r="G69" s="756" t="e">
        <f>'4.RL F tt'!F36</f>
        <v>#REF!</v>
      </c>
      <c r="H69" s="756" t="e">
        <f>'4.RL F tt'!J36</f>
        <v>#REF!</v>
      </c>
      <c r="I69" s="767" t="e">
        <f>'4.RL F tt'!N36</f>
        <v>#REF!</v>
      </c>
    </row>
    <row r="70" spans="1:9" ht="12.75" hidden="1" customHeight="1">
      <c r="A70" s="361">
        <v>8</v>
      </c>
      <c r="B70" s="2766" t="s">
        <v>805</v>
      </c>
      <c r="C70" s="439" t="s">
        <v>806</v>
      </c>
      <c r="D70" s="755">
        <f>'4.RL F tt'!F15</f>
        <v>0</v>
      </c>
      <c r="E70" s="756">
        <f>'4.RL F tt'!J15</f>
        <v>0</v>
      </c>
      <c r="F70" s="756">
        <f>'4.RL F tt'!N15</f>
        <v>0</v>
      </c>
      <c r="G70" s="756">
        <f>'4.RL F tt'!F37</f>
        <v>0</v>
      </c>
      <c r="H70" s="756">
        <f>'4.RL F tt'!J37</f>
        <v>0</v>
      </c>
      <c r="I70" s="767">
        <f>'4.RL F tt'!N37</f>
        <v>0</v>
      </c>
    </row>
    <row r="71" spans="1:9" ht="12.75" hidden="1" customHeight="1">
      <c r="A71" s="361">
        <v>9</v>
      </c>
      <c r="B71" s="2767"/>
      <c r="C71" s="439" t="s">
        <v>657</v>
      </c>
      <c r="D71" s="755">
        <f>'4.RL F tt'!F16</f>
        <v>0</v>
      </c>
      <c r="E71" s="756">
        <f>'4.RL F tt'!J16</f>
        <v>0</v>
      </c>
      <c r="F71" s="756">
        <f>'4.RL F tt'!N16</f>
        <v>0</v>
      </c>
      <c r="G71" s="756">
        <f>'4.RL F tt'!F38</f>
        <v>0</v>
      </c>
      <c r="H71" s="756">
        <f>'4.RL F tt'!J38</f>
        <v>0</v>
      </c>
      <c r="I71" s="767">
        <f>'4.RL F tt'!N38</f>
        <v>0</v>
      </c>
    </row>
    <row r="72" spans="1:9" ht="12.75" hidden="1" customHeight="1">
      <c r="A72" s="2773" t="s">
        <v>2</v>
      </c>
      <c r="B72" s="2773"/>
      <c r="C72" s="746"/>
      <c r="D72" s="760" t="s">
        <v>173</v>
      </c>
      <c r="E72" s="747"/>
      <c r="F72" s="747"/>
      <c r="G72" s="747"/>
      <c r="H72" s="747"/>
      <c r="I72" s="767"/>
    </row>
    <row r="73" spans="1:9" ht="12.75" hidden="1" customHeight="1">
      <c r="A73" s="167" t="s">
        <v>57</v>
      </c>
      <c r="B73" s="762" t="s">
        <v>807</v>
      </c>
      <c r="C73" s="746"/>
      <c r="D73" s="763" t="s">
        <v>418</v>
      </c>
      <c r="E73" s="750" t="s">
        <v>419</v>
      </c>
      <c r="F73" s="750" t="s">
        <v>420</v>
      </c>
      <c r="G73" s="750" t="s">
        <v>421</v>
      </c>
      <c r="H73" s="750" t="s">
        <v>422</v>
      </c>
      <c r="I73" s="764" t="s">
        <v>423</v>
      </c>
    </row>
    <row r="74" spans="1:9" ht="12.75" hidden="1" customHeight="1">
      <c r="A74" s="361">
        <v>1</v>
      </c>
      <c r="B74" s="995" t="s">
        <v>969</v>
      </c>
      <c r="C74" s="766"/>
      <c r="D74" s="1376">
        <f>'4.RL F tt'!H19</f>
        <v>0</v>
      </c>
      <c r="E74" s="1377">
        <f>'4.RL F tt'!L19</f>
        <v>0</v>
      </c>
      <c r="F74" s="1377">
        <f>'4.RL F tt'!P19</f>
        <v>0</v>
      </c>
      <c r="G74" s="1377">
        <f>'4.RL F tt'!H41</f>
        <v>0</v>
      </c>
      <c r="H74" s="1377">
        <f>'4.RL F tt'!L41</f>
        <v>0</v>
      </c>
      <c r="I74" s="1378">
        <f>'4.RL F tt'!P41</f>
        <v>0</v>
      </c>
    </row>
    <row r="75" spans="1:9" ht="12.75" hidden="1" customHeight="1">
      <c r="A75" s="361">
        <v>2</v>
      </c>
      <c r="B75" s="765" t="s">
        <v>482</v>
      </c>
      <c r="C75" s="766"/>
      <c r="D75" s="1376">
        <f>'4.RL F tt'!H20</f>
        <v>0</v>
      </c>
      <c r="E75" s="1377">
        <f>'4.RL F tt'!L20</f>
        <v>0</v>
      </c>
      <c r="F75" s="1377">
        <f>'4.RL F tt'!P20</f>
        <v>0</v>
      </c>
      <c r="G75" s="1377">
        <f>'4.RL F tt'!H42</f>
        <v>0</v>
      </c>
      <c r="H75" s="1377">
        <f>'4.RL F tt'!L42</f>
        <v>0</v>
      </c>
      <c r="I75" s="1378">
        <f>'4.RL F tt'!P42</f>
        <v>0</v>
      </c>
    </row>
    <row r="76" spans="1:9" ht="12.75" hidden="1" customHeight="1">
      <c r="A76" s="361">
        <v>3</v>
      </c>
      <c r="B76" s="765" t="s">
        <v>475</v>
      </c>
      <c r="C76" s="766"/>
      <c r="D76" s="1376">
        <f>'4.RL F tt'!H21</f>
        <v>0</v>
      </c>
      <c r="E76" s="1377">
        <f>'4.RL F tt'!L21</f>
        <v>0</v>
      </c>
      <c r="F76" s="1377">
        <f>'4.RL F tt'!P21</f>
        <v>0</v>
      </c>
      <c r="G76" s="1377">
        <f>'4.RL F tt'!H43</f>
        <v>0</v>
      </c>
      <c r="H76" s="1377">
        <f>'4.RL F tt'!L43</f>
        <v>0</v>
      </c>
      <c r="I76" s="1378">
        <f>'4.RL F tt'!P43</f>
        <v>0</v>
      </c>
    </row>
    <row r="77" spans="1:9" ht="12.75" hidden="1" customHeight="1">
      <c r="A77" s="361">
        <v>4</v>
      </c>
      <c r="B77" s="765" t="s">
        <v>808</v>
      </c>
      <c r="C77" s="766"/>
      <c r="D77" s="755">
        <f>'4.RL F tt'!F22</f>
        <v>0</v>
      </c>
      <c r="E77" s="756">
        <f>'4.RL F tt'!J22</f>
        <v>0</v>
      </c>
      <c r="F77" s="756">
        <f>'4.RL F tt'!N22</f>
        <v>0</v>
      </c>
      <c r="G77" s="756">
        <f>'4.RL F tt'!F44</f>
        <v>0</v>
      </c>
      <c r="H77" s="756">
        <f>'4.RL F tt'!J44</f>
        <v>0</v>
      </c>
      <c r="I77" s="767">
        <f>'4.RL F tt'!N44</f>
        <v>0</v>
      </c>
    </row>
    <row r="78" spans="1:9" ht="12.75" hidden="1" customHeight="1">
      <c r="A78" s="2768" t="s">
        <v>7</v>
      </c>
      <c r="B78" s="2770" t="s">
        <v>800</v>
      </c>
      <c r="C78" s="746"/>
      <c r="D78" s="760" t="s">
        <v>172</v>
      </c>
      <c r="E78" s="747"/>
      <c r="F78" s="747"/>
      <c r="G78" s="747"/>
      <c r="H78" s="747"/>
      <c r="I78" s="767"/>
    </row>
    <row r="79" spans="1:9" ht="12.75" hidden="1" customHeight="1">
      <c r="A79" s="2769"/>
      <c r="B79" s="2771"/>
      <c r="C79" s="749"/>
      <c r="D79" s="763" t="s">
        <v>418</v>
      </c>
      <c r="E79" s="750" t="s">
        <v>419</v>
      </c>
      <c r="F79" s="750" t="s">
        <v>420</v>
      </c>
      <c r="G79" s="750" t="s">
        <v>421</v>
      </c>
      <c r="H79" s="750" t="s">
        <v>422</v>
      </c>
      <c r="I79" s="764" t="s">
        <v>423</v>
      </c>
    </row>
    <row r="80" spans="1:9" ht="12.75" hidden="1" customHeight="1">
      <c r="A80" s="361">
        <v>1</v>
      </c>
      <c r="B80" s="155" t="s">
        <v>969</v>
      </c>
      <c r="C80" s="439"/>
      <c r="D80" s="768">
        <f>'4.RL F tt'!H7</f>
        <v>0</v>
      </c>
      <c r="E80" s="769">
        <f>'4.RL F tt'!L7</f>
        <v>0</v>
      </c>
      <c r="F80" s="769">
        <f>'4.RL F tt'!P7</f>
        <v>0</v>
      </c>
      <c r="G80" s="769">
        <f>'4.RL F tt'!H29</f>
        <v>0</v>
      </c>
      <c r="H80" s="769">
        <f>'4.RL F tt'!L29</f>
        <v>0</v>
      </c>
      <c r="I80" s="775">
        <f>'4.RL F tt'!P29</f>
        <v>0</v>
      </c>
    </row>
    <row r="81" spans="1:9" ht="12.75" hidden="1" customHeight="1">
      <c r="A81" s="361"/>
      <c r="B81" s="155" t="s">
        <v>801</v>
      </c>
      <c r="C81" s="439"/>
      <c r="D81" s="768">
        <f>'4.RL F tt'!H8</f>
        <v>0</v>
      </c>
      <c r="E81" s="769">
        <f>'4.RL F tt'!L8</f>
        <v>0</v>
      </c>
      <c r="F81" s="769">
        <f>'4.RL F tt'!P8</f>
        <v>0</v>
      </c>
      <c r="G81" s="769">
        <f>'4.RL F tt'!H30</f>
        <v>0</v>
      </c>
      <c r="H81" s="769">
        <f>'4.RL F tt'!L30</f>
        <v>0</v>
      </c>
      <c r="I81" s="775">
        <f>'4.RL F tt'!P30</f>
        <v>0</v>
      </c>
    </row>
    <row r="82" spans="1:9" ht="12.75" hidden="1" customHeight="1">
      <c r="A82" s="361">
        <v>2</v>
      </c>
      <c r="B82" s="2766" t="s">
        <v>803</v>
      </c>
      <c r="C82" s="439"/>
      <c r="D82" s="768">
        <f>'4.RL F tt'!H9</f>
        <v>0</v>
      </c>
      <c r="E82" s="769">
        <f>'4.RL F tt'!L9</f>
        <v>0</v>
      </c>
      <c r="F82" s="769">
        <f>'4.RL F tt'!P9</f>
        <v>0</v>
      </c>
      <c r="G82" s="769">
        <f>'4.RL F tt'!H31</f>
        <v>0</v>
      </c>
      <c r="H82" s="769">
        <f>'4.RL F tt'!L31</f>
        <v>0</v>
      </c>
      <c r="I82" s="775">
        <f>'4.RL F tt'!P31</f>
        <v>0</v>
      </c>
    </row>
    <row r="83" spans="1:9" ht="12.75" hidden="1" customHeight="1">
      <c r="A83" s="361">
        <v>3</v>
      </c>
      <c r="B83" s="2772"/>
      <c r="C83" s="439"/>
      <c r="D83" s="768">
        <f>'4.RL F tt'!H10</f>
        <v>0</v>
      </c>
      <c r="E83" s="769">
        <f>'4.RL F tt'!L10</f>
        <v>0</v>
      </c>
      <c r="F83" s="769">
        <f>'4.RL F tt'!P10</f>
        <v>0</v>
      </c>
      <c r="G83" s="769">
        <f>'4.RL F tt'!H32</f>
        <v>0</v>
      </c>
      <c r="H83" s="769">
        <f>'4.RL F tt'!L32</f>
        <v>0</v>
      </c>
      <c r="I83" s="775">
        <f>'4.RL F tt'!P32</f>
        <v>0</v>
      </c>
    </row>
    <row r="84" spans="1:9" ht="12.75" hidden="1" customHeight="1">
      <c r="A84" s="361">
        <v>4</v>
      </c>
      <c r="B84" s="2767"/>
      <c r="C84" s="439"/>
      <c r="D84" s="768">
        <f>'4.RL F tt'!H11</f>
        <v>0</v>
      </c>
      <c r="E84" s="769">
        <f>'4.RL F tt'!L11</f>
        <v>0</v>
      </c>
      <c r="F84" s="769">
        <f>'4.RL F tt'!P11</f>
        <v>0</v>
      </c>
      <c r="G84" s="769">
        <f>'4.RL F tt'!H33</f>
        <v>0</v>
      </c>
      <c r="H84" s="769">
        <f>'4.RL F tt'!L33</f>
        <v>0</v>
      </c>
      <c r="I84" s="775">
        <f>'4.RL F tt'!P33</f>
        <v>0</v>
      </c>
    </row>
    <row r="85" spans="1:9" ht="12.75" hidden="1" customHeight="1">
      <c r="A85" s="361">
        <v>5</v>
      </c>
      <c r="B85" s="2766" t="s">
        <v>804</v>
      </c>
      <c r="C85" s="439"/>
      <c r="D85" s="768" t="e">
        <f>'4.RL F tt'!H12</f>
        <v>#REF!</v>
      </c>
      <c r="E85" s="769" t="e">
        <f>'4.RL F tt'!L12</f>
        <v>#REF!</v>
      </c>
      <c r="F85" s="769" t="e">
        <f>'4.RL F tt'!P12</f>
        <v>#REF!</v>
      </c>
      <c r="G85" s="769" t="e">
        <f>'4.RL F tt'!H34</f>
        <v>#REF!</v>
      </c>
      <c r="H85" s="769" t="e">
        <f>'4.RL F tt'!L34</f>
        <v>#REF!</v>
      </c>
      <c r="I85" s="775" t="e">
        <f>'4.RL F tt'!P34</f>
        <v>#REF!</v>
      </c>
    </row>
    <row r="86" spans="1:9" ht="12.75" hidden="1" customHeight="1">
      <c r="A86" s="361">
        <v>6</v>
      </c>
      <c r="B86" s="2772"/>
      <c r="C86" s="439"/>
      <c r="D86" s="768" t="e">
        <f>'4.RL F tt'!H13</f>
        <v>#REF!</v>
      </c>
      <c r="E86" s="769" t="e">
        <f>'4.RL F tt'!L13</f>
        <v>#REF!</v>
      </c>
      <c r="F86" s="769" t="e">
        <f>'4.RL F tt'!P13</f>
        <v>#REF!</v>
      </c>
      <c r="G86" s="769" t="e">
        <f>'4.RL F tt'!H35</f>
        <v>#REF!</v>
      </c>
      <c r="H86" s="769" t="e">
        <f>'4.RL F tt'!L35</f>
        <v>#REF!</v>
      </c>
      <c r="I86" s="775" t="e">
        <f>'4.RL F tt'!P35</f>
        <v>#REF!</v>
      </c>
    </row>
    <row r="87" spans="1:9" ht="12.75" hidden="1" customHeight="1">
      <c r="A87" s="361">
        <v>7</v>
      </c>
      <c r="B87" s="2767"/>
      <c r="C87" s="439"/>
      <c r="D87" s="768" t="e">
        <f>'4.RL F tt'!H14</f>
        <v>#REF!</v>
      </c>
      <c r="E87" s="769" t="e">
        <f>'4.RL F tt'!L14</f>
        <v>#REF!</v>
      </c>
      <c r="F87" s="769" t="e">
        <f>'4.RL F tt'!P14</f>
        <v>#REF!</v>
      </c>
      <c r="G87" s="769" t="e">
        <f>'4.RL F tt'!H36</f>
        <v>#REF!</v>
      </c>
      <c r="H87" s="769" t="e">
        <f>'4.RL F tt'!L36</f>
        <v>#REF!</v>
      </c>
      <c r="I87" s="775" t="e">
        <f>'4.RL F tt'!P36</f>
        <v>#REF!</v>
      </c>
    </row>
    <row r="88" spans="1:9" ht="12.75" hidden="1" customHeight="1">
      <c r="A88" s="361">
        <v>8</v>
      </c>
      <c r="B88" s="2766" t="s">
        <v>805</v>
      </c>
      <c r="C88" s="439"/>
      <c r="D88" s="768">
        <f>'4.RL F tt'!H15</f>
        <v>0</v>
      </c>
      <c r="E88" s="769">
        <f>'4.RL F tt'!L15</f>
        <v>0</v>
      </c>
      <c r="F88" s="769">
        <f>'4.RL F tt'!P15</f>
        <v>0</v>
      </c>
      <c r="G88" s="769">
        <f>'4.RL F tt'!H37</f>
        <v>0</v>
      </c>
      <c r="H88" s="769">
        <f>'4.RL F tt'!L37</f>
        <v>0</v>
      </c>
      <c r="I88" s="775">
        <f>'4.RL F tt'!P37</f>
        <v>0</v>
      </c>
    </row>
    <row r="89" spans="1:9" ht="12.75" hidden="1" customHeight="1">
      <c r="A89" s="361">
        <v>9</v>
      </c>
      <c r="B89" s="2767"/>
      <c r="C89" s="439"/>
      <c r="D89" s="768">
        <f>'4.RL F tt'!H16</f>
        <v>0</v>
      </c>
      <c r="E89" s="769">
        <f>'4.RL F tt'!L16</f>
        <v>0</v>
      </c>
      <c r="F89" s="769">
        <f>'4.RL F tt'!P16</f>
        <v>0</v>
      </c>
      <c r="G89" s="769">
        <f>'4.RL F tt'!H38</f>
        <v>0</v>
      </c>
      <c r="H89" s="769">
        <f>'4.RL F tt'!L38</f>
        <v>0</v>
      </c>
      <c r="I89" s="775">
        <f>'4.RL F tt'!P38</f>
        <v>0</v>
      </c>
    </row>
    <row r="90" spans="1:9" s="781" customFormat="1" ht="12.75" hidden="1" customHeight="1">
      <c r="A90" s="776"/>
      <c r="B90" s="777"/>
      <c r="C90" s="777"/>
      <c r="D90" s="778"/>
      <c r="E90" s="779"/>
      <c r="F90" s="779"/>
      <c r="G90" s="779"/>
      <c r="H90" s="779"/>
      <c r="I90" s="780"/>
    </row>
    <row r="91" spans="1:9" s="781" customFormat="1" ht="16.5" hidden="1" customHeight="1">
      <c r="A91" s="776"/>
      <c r="B91" s="782" t="s">
        <v>812</v>
      </c>
      <c r="C91" s="783"/>
      <c r="D91" s="784">
        <f>R.HN!C12</f>
        <v>3</v>
      </c>
      <c r="E91" s="785">
        <f>R.HN!D12</f>
        <v>3</v>
      </c>
      <c r="F91" s="785">
        <f>R.HN!E12</f>
        <v>3</v>
      </c>
      <c r="G91" s="785">
        <f>R.HN!F12</f>
        <v>3</v>
      </c>
      <c r="H91" s="785">
        <f>R.HN!G12</f>
        <v>3</v>
      </c>
      <c r="I91" s="786">
        <f>R.HN!H12</f>
        <v>3</v>
      </c>
    </row>
    <row r="92" spans="1:9" s="781" customFormat="1" ht="10.5" hidden="1" customHeight="1">
      <c r="A92" s="776"/>
      <c r="B92" s="782" t="s">
        <v>813</v>
      </c>
      <c r="C92" s="783"/>
      <c r="D92" s="778">
        <f>R.HN!C13</f>
        <v>4</v>
      </c>
      <c r="E92" s="779">
        <f>R.HN!D13</f>
        <v>4</v>
      </c>
      <c r="F92" s="779">
        <f>R.HN!E13</f>
        <v>4</v>
      </c>
      <c r="G92" s="779">
        <f>R.HN!F13</f>
        <v>4</v>
      </c>
      <c r="H92" s="779">
        <f>R.HN!G13</f>
        <v>4</v>
      </c>
      <c r="I92" s="787">
        <f>R.HN!H13</f>
        <v>4</v>
      </c>
    </row>
    <row r="93" spans="1:9" s="781" customFormat="1" ht="11.25" hidden="1" customHeight="1">
      <c r="A93" s="776"/>
      <c r="B93" s="782" t="s">
        <v>814</v>
      </c>
      <c r="C93" s="783"/>
      <c r="D93" s="784">
        <f>R.HN!C35</f>
        <v>0</v>
      </c>
      <c r="E93" s="785">
        <f>R.HN!D35</f>
        <v>0</v>
      </c>
      <c r="F93" s="785">
        <f>R.HN!E35</f>
        <v>0</v>
      </c>
      <c r="G93" s="785">
        <f>R.HN!F35</f>
        <v>0</v>
      </c>
      <c r="H93" s="785">
        <f>R.HN!G35</f>
        <v>0</v>
      </c>
      <c r="I93" s="786">
        <f>R.HN!H35</f>
        <v>0</v>
      </c>
    </row>
    <row r="94" spans="1:9" s="781" customFormat="1" ht="15.75" hidden="1" customHeight="1">
      <c r="A94" s="776"/>
      <c r="B94" s="782" t="s">
        <v>815</v>
      </c>
      <c r="C94" s="783"/>
      <c r="D94" s="778">
        <f>R.HN!C36</f>
        <v>0</v>
      </c>
      <c r="E94" s="779">
        <f>R.HN!D36</f>
        <v>0</v>
      </c>
      <c r="F94" s="779">
        <f>R.HN!E36</f>
        <v>0</v>
      </c>
      <c r="G94" s="779">
        <f>R.HN!F36</f>
        <v>0</v>
      </c>
      <c r="H94" s="779">
        <f>R.HN!G36</f>
        <v>0</v>
      </c>
      <c r="I94" s="787">
        <f>R.HN!H36</f>
        <v>0</v>
      </c>
    </row>
    <row r="95" spans="1:9" s="781" customFormat="1" ht="15.75" hidden="1" customHeight="1">
      <c r="A95" s="776"/>
      <c r="B95" s="825" t="s">
        <v>828</v>
      </c>
      <c r="C95" s="826"/>
      <c r="D95" s="827" t="e">
        <f>'3.RL G tt'!#REF!</f>
        <v>#REF!</v>
      </c>
      <c r="E95" s="828" t="e">
        <f>'3.RL G tt'!#REF!</f>
        <v>#REF!</v>
      </c>
      <c r="F95" s="828" t="e">
        <f>'3.RL G tt'!#REF!</f>
        <v>#REF!</v>
      </c>
      <c r="G95" s="828" t="e">
        <f>'3.RL G tt'!#REF!</f>
        <v>#REF!</v>
      </c>
      <c r="H95" s="828" t="e">
        <f>'3.RL G tt'!#REF!</f>
        <v>#REF!</v>
      </c>
      <c r="I95" s="829" t="e">
        <f>'3.RL G tt'!#REF!</f>
        <v>#REF!</v>
      </c>
    </row>
    <row r="96" spans="1:9" ht="12.75" customHeight="1" thickBot="1">
      <c r="A96" s="756"/>
      <c r="B96" s="439"/>
      <c r="C96" s="439"/>
      <c r="D96" s="788"/>
      <c r="E96" s="789"/>
      <c r="F96" s="789"/>
      <c r="G96" s="789"/>
      <c r="H96" s="789"/>
      <c r="I96" s="790"/>
    </row>
    <row r="97" spans="1:8" ht="12.75" customHeight="1">
      <c r="A97" s="756"/>
      <c r="B97" s="439"/>
      <c r="C97" s="439"/>
      <c r="D97" s="769"/>
      <c r="E97" s="769"/>
      <c r="F97" s="769"/>
      <c r="G97" s="769"/>
      <c r="H97" s="769"/>
    </row>
    <row r="99" spans="1:8" ht="12.75" customHeight="1">
      <c r="B99" s="744" t="s">
        <v>816</v>
      </c>
    </row>
    <row r="100" spans="1:8" ht="12.75" customHeight="1">
      <c r="A100" s="2756" t="s">
        <v>7</v>
      </c>
      <c r="B100" s="2758" t="s">
        <v>79</v>
      </c>
      <c r="C100" s="747" t="s">
        <v>171</v>
      </c>
      <c r="D100" s="747"/>
    </row>
    <row r="101" spans="1:8" ht="12.75" customHeight="1" thickBot="1">
      <c r="A101" s="2757"/>
      <c r="B101" s="2759"/>
      <c r="C101" s="750">
        <v>0.375</v>
      </c>
      <c r="D101" s="750">
        <v>0.54166666666666663</v>
      </c>
    </row>
    <row r="102" spans="1:8" ht="12.75" customHeight="1">
      <c r="A102" s="791">
        <v>1</v>
      </c>
      <c r="B102" s="363" t="s">
        <v>608</v>
      </c>
      <c r="C102" s="792">
        <f>'1.xi den TT'!H7</f>
        <v>0</v>
      </c>
      <c r="D102" s="793">
        <f>'1.xi den TT'!L7</f>
        <v>0</v>
      </c>
      <c r="E102" s="741"/>
      <c r="F102" s="741"/>
      <c r="G102" s="741"/>
      <c r="H102" s="741"/>
    </row>
    <row r="103" spans="1:8" ht="12.75" hidden="1" customHeight="1" thickBot="1">
      <c r="A103" s="791">
        <v>2</v>
      </c>
      <c r="B103" s="363" t="s">
        <v>609</v>
      </c>
      <c r="C103" s="792">
        <f>'1.xi den TT'!H8</f>
        <v>0</v>
      </c>
      <c r="D103" s="793">
        <f>'1.xi den TT'!L8</f>
        <v>0</v>
      </c>
      <c r="E103" s="741"/>
      <c r="F103" s="741"/>
      <c r="G103" s="741"/>
      <c r="H103" s="741"/>
    </row>
    <row r="104" spans="1:8" ht="12.75" hidden="1" customHeight="1" thickBot="1">
      <c r="A104" s="791">
        <v>3</v>
      </c>
      <c r="B104" s="363" t="s">
        <v>610</v>
      </c>
      <c r="C104" s="792">
        <f>'1.xi den TT'!H9</f>
        <v>0</v>
      </c>
      <c r="D104" s="793">
        <f>'1.xi den TT'!L9</f>
        <v>0</v>
      </c>
      <c r="E104" s="741"/>
      <c r="F104" s="741"/>
      <c r="G104" s="741"/>
      <c r="H104" s="741"/>
    </row>
    <row r="105" spans="1:8" ht="12.75" hidden="1" customHeight="1" thickBot="1">
      <c r="A105" s="791">
        <v>4</v>
      </c>
      <c r="B105" s="363" t="s">
        <v>612</v>
      </c>
      <c r="C105" s="792">
        <f>'1.xi den TT'!H10</f>
        <v>0</v>
      </c>
      <c r="D105" s="793">
        <f>'1.xi den TT'!L10</f>
        <v>0</v>
      </c>
      <c r="E105" s="741"/>
      <c r="F105" s="741"/>
      <c r="G105" s="741"/>
      <c r="H105" s="741"/>
    </row>
    <row r="106" spans="1:8" ht="12.75" hidden="1" customHeight="1" thickBot="1">
      <c r="A106" s="791">
        <v>5</v>
      </c>
      <c r="B106" s="796" t="s">
        <v>614</v>
      </c>
      <c r="C106" s="792">
        <f>'1.xi den TT'!H11</f>
        <v>0</v>
      </c>
      <c r="D106" s="793">
        <f>'1.xi den TT'!L11</f>
        <v>0</v>
      </c>
      <c r="E106" s="741"/>
      <c r="F106" s="741"/>
      <c r="G106" s="741"/>
      <c r="H106" s="741"/>
    </row>
    <row r="107" spans="1:8" ht="12.75" hidden="1" customHeight="1" thickBot="1">
      <c r="A107" s="791">
        <v>6</v>
      </c>
      <c r="B107" s="796" t="s">
        <v>616</v>
      </c>
      <c r="C107" s="792">
        <f>'1.xi den TT'!H12</f>
        <v>0</v>
      </c>
      <c r="D107" s="793">
        <f>'1.xi den TT'!L12</f>
        <v>0</v>
      </c>
      <c r="E107" s="741"/>
      <c r="F107" s="741"/>
      <c r="G107" s="741"/>
      <c r="H107" s="741"/>
    </row>
    <row r="108" spans="1:8" ht="12.75" hidden="1" customHeight="1" thickBot="1">
      <c r="A108" s="791">
        <v>7</v>
      </c>
      <c r="B108" s="796" t="s">
        <v>618</v>
      </c>
      <c r="C108" s="792">
        <f>'1.xi den TT'!H13</f>
        <v>0</v>
      </c>
      <c r="D108" s="793">
        <f>'1.xi den TT'!L13</f>
        <v>0</v>
      </c>
      <c r="E108" s="741"/>
      <c r="F108" s="741"/>
      <c r="G108" s="741"/>
      <c r="H108" s="741"/>
    </row>
    <row r="109" spans="1:8" ht="12.75" hidden="1" customHeight="1" thickBot="1">
      <c r="A109" s="791">
        <v>8</v>
      </c>
      <c r="B109" s="363" t="s">
        <v>620</v>
      </c>
      <c r="C109" s="792">
        <f>'1.xi den TT'!H14</f>
        <v>0</v>
      </c>
      <c r="D109" s="793">
        <f>'1.xi den TT'!L14</f>
        <v>0</v>
      </c>
      <c r="E109" s="741"/>
      <c r="F109" s="741"/>
      <c r="G109" s="741"/>
      <c r="H109" s="741"/>
    </row>
    <row r="110" spans="1:8" ht="12.75" hidden="1" customHeight="1" thickBot="1">
      <c r="A110" s="791">
        <v>9</v>
      </c>
      <c r="B110" s="796" t="s">
        <v>817</v>
      </c>
      <c r="C110" s="792">
        <f>'1.xi den TT'!H15</f>
        <v>0</v>
      </c>
      <c r="D110" s="793">
        <f>'1.xi den TT'!L15</f>
        <v>0</v>
      </c>
      <c r="E110" s="741"/>
      <c r="F110" s="741"/>
      <c r="G110" s="741"/>
      <c r="H110" s="741"/>
    </row>
    <row r="111" spans="1:8" ht="12.75" hidden="1" customHeight="1" thickBot="1">
      <c r="A111" s="797">
        <v>10</v>
      </c>
      <c r="B111" s="798" t="s">
        <v>818</v>
      </c>
      <c r="C111" s="792" t="str">
        <f>'1.xi den TT'!H17</f>
        <v/>
      </c>
      <c r="D111" s="793" t="str">
        <f>'1.xi den TT'!L17</f>
        <v>\</v>
      </c>
      <c r="E111" s="741"/>
      <c r="F111" s="741"/>
      <c r="G111" s="741"/>
      <c r="H111" s="741"/>
    </row>
    <row r="112" spans="1:8" ht="12.75" hidden="1" customHeight="1" thickBot="1">
      <c r="A112" s="797">
        <v>11</v>
      </c>
      <c r="B112" s="798" t="s">
        <v>819</v>
      </c>
      <c r="C112" s="792" t="str">
        <f>'1.xi den TT'!H18</f>
        <v/>
      </c>
      <c r="D112" s="793" t="str">
        <f>'1.xi den TT'!L18</f>
        <v>\</v>
      </c>
      <c r="E112" s="741"/>
      <c r="F112" s="741"/>
      <c r="G112" s="741"/>
      <c r="H112" s="741"/>
    </row>
    <row r="113" spans="1:8" ht="12.75" hidden="1" customHeight="1" thickBot="1">
      <c r="A113" s="797">
        <v>12</v>
      </c>
      <c r="B113" s="798" t="s">
        <v>412</v>
      </c>
      <c r="C113" s="792" t="str">
        <f>'1.xi den TT'!H21</f>
        <v/>
      </c>
      <c r="D113" s="793" t="str">
        <f>'1.xi den TT'!L21</f>
        <v>\</v>
      </c>
      <c r="E113" s="741"/>
      <c r="F113" s="741"/>
      <c r="G113" s="741"/>
      <c r="H113" s="741"/>
    </row>
    <row r="114" spans="1:8" ht="12.75" hidden="1" customHeight="1">
      <c r="A114" s="797">
        <v>13</v>
      </c>
      <c r="B114" s="798" t="s">
        <v>415</v>
      </c>
      <c r="C114" s="792" t="str">
        <f>'1.xi den TT'!H22</f>
        <v/>
      </c>
      <c r="D114" s="793" t="str">
        <f>'1.xi den TT'!L22</f>
        <v>\</v>
      </c>
      <c r="E114" s="741"/>
      <c r="F114" s="741"/>
      <c r="G114" s="741"/>
      <c r="H114" s="741"/>
    </row>
    <row r="115" spans="1:8" ht="12.75" hidden="1" customHeight="1">
      <c r="A115" s="361"/>
      <c r="B115" s="799" t="s">
        <v>117</v>
      </c>
      <c r="C115" s="800" t="s">
        <v>173</v>
      </c>
      <c r="D115" s="801"/>
      <c r="E115" s="741"/>
      <c r="F115" s="741"/>
      <c r="G115" s="741"/>
      <c r="H115" s="741"/>
    </row>
    <row r="116" spans="1:8" ht="12.75" hidden="1" customHeight="1">
      <c r="A116" s="526" t="s">
        <v>7</v>
      </c>
      <c r="B116" s="799" t="s">
        <v>64</v>
      </c>
      <c r="C116" s="802">
        <v>0.375</v>
      </c>
      <c r="D116" s="803">
        <v>0.54166666666666663</v>
      </c>
      <c r="E116" s="741"/>
      <c r="F116" s="741"/>
      <c r="G116" s="741"/>
      <c r="H116" s="741"/>
    </row>
    <row r="117" spans="1:8" ht="12.75" hidden="1" customHeight="1">
      <c r="A117" s="526">
        <v>1</v>
      </c>
      <c r="B117" s="155" t="s">
        <v>509</v>
      </c>
      <c r="C117" s="794">
        <f>'1.xi den TT'!H25</f>
        <v>0</v>
      </c>
      <c r="D117" s="795">
        <f>'1.xi den TT'!L25</f>
        <v>0</v>
      </c>
      <c r="E117" s="741"/>
      <c r="F117" s="741"/>
      <c r="G117" s="741"/>
      <c r="H117" s="741"/>
    </row>
    <row r="118" spans="1:8" ht="12.75" hidden="1" customHeight="1">
      <c r="A118" s="526">
        <v>2</v>
      </c>
      <c r="B118" s="155" t="s">
        <v>513</v>
      </c>
      <c r="C118" s="794">
        <f>'1.xi den TT'!H26</f>
        <v>0</v>
      </c>
      <c r="D118" s="795">
        <f>'1.xi den TT'!L26</f>
        <v>0</v>
      </c>
      <c r="E118" s="741"/>
      <c r="F118" s="741"/>
      <c r="G118" s="741"/>
      <c r="H118" s="741"/>
    </row>
    <row r="119" spans="1:8" ht="12.75" hidden="1" customHeight="1">
      <c r="A119" s="526">
        <v>3</v>
      </c>
      <c r="B119" s="155" t="s">
        <v>515</v>
      </c>
      <c r="C119" s="794">
        <f>'1.xi den TT'!H27</f>
        <v>0</v>
      </c>
      <c r="D119" s="795">
        <f>'1.xi den TT'!L27</f>
        <v>0</v>
      </c>
      <c r="E119" s="741"/>
      <c r="F119" s="741"/>
      <c r="G119" s="741"/>
      <c r="H119" s="741"/>
    </row>
    <row r="120" spans="1:8" ht="12.75" hidden="1" customHeight="1">
      <c r="A120" s="526">
        <v>4</v>
      </c>
      <c r="B120" s="155" t="s">
        <v>546</v>
      </c>
      <c r="C120" s="794">
        <f>'1.xi den TT'!H28</f>
        <v>0</v>
      </c>
      <c r="D120" s="795">
        <f>'1.xi den TT'!L28</f>
        <v>0</v>
      </c>
      <c r="E120" s="741"/>
      <c r="F120" s="741"/>
      <c r="G120" s="741"/>
      <c r="H120" s="741"/>
    </row>
    <row r="121" spans="1:8" ht="12.75" hidden="1" customHeight="1">
      <c r="A121" s="526">
        <v>5</v>
      </c>
      <c r="B121" s="155" t="s">
        <v>820</v>
      </c>
      <c r="C121" s="794">
        <f>'1.xi den TT'!H29</f>
        <v>0</v>
      </c>
      <c r="D121" s="795">
        <f>'1.xi den TT'!L29</f>
        <v>0</v>
      </c>
      <c r="E121" s="741"/>
      <c r="F121" s="741"/>
      <c r="G121" s="741"/>
      <c r="H121" s="741"/>
    </row>
    <row r="122" spans="1:8" ht="12.75" hidden="1" customHeight="1">
      <c r="A122" s="526">
        <v>6</v>
      </c>
      <c r="B122" s="155" t="s">
        <v>554</v>
      </c>
      <c r="C122" s="794">
        <f>'1.xi den TT'!I31</f>
        <v>0</v>
      </c>
      <c r="D122" s="795">
        <f>'1.xi den TT'!M31</f>
        <v>0</v>
      </c>
      <c r="E122" s="741"/>
      <c r="F122" s="741"/>
      <c r="G122" s="741"/>
      <c r="H122" s="741"/>
    </row>
    <row r="123" spans="1:8" ht="12.75" hidden="1" customHeight="1">
      <c r="A123" s="526">
        <v>1</v>
      </c>
      <c r="B123" s="804" t="s">
        <v>821</v>
      </c>
      <c r="C123" s="802">
        <v>0.375</v>
      </c>
      <c r="D123" s="803">
        <v>0.54166666666666663</v>
      </c>
      <c r="E123" s="741"/>
      <c r="F123" s="741"/>
      <c r="G123" s="741"/>
      <c r="H123" s="741"/>
    </row>
    <row r="124" spans="1:8" ht="12.75" hidden="1" customHeight="1">
      <c r="A124" s="526">
        <v>2</v>
      </c>
      <c r="B124" s="805" t="s">
        <v>556</v>
      </c>
      <c r="C124" s="794">
        <f>'1.xi den TT'!H33</f>
        <v>0</v>
      </c>
      <c r="D124" s="795">
        <f>'1.xi den TT'!L33</f>
        <v>0</v>
      </c>
      <c r="E124" s="741"/>
      <c r="F124" s="741"/>
      <c r="G124" s="741"/>
      <c r="H124" s="741"/>
    </row>
    <row r="125" spans="1:8" ht="12.75" hidden="1" customHeight="1">
      <c r="A125" s="806"/>
      <c r="B125" s="807" t="s">
        <v>559</v>
      </c>
      <c r="C125" s="794">
        <f>'1.xi den TT'!H34</f>
        <v>0</v>
      </c>
      <c r="D125" s="795">
        <f>'1.xi den TT'!L34</f>
        <v>0</v>
      </c>
      <c r="E125" s="741"/>
      <c r="F125" s="741"/>
      <c r="G125" s="741"/>
      <c r="H125" s="741"/>
    </row>
    <row r="126" spans="1:8" ht="12.75" hidden="1" customHeight="1">
      <c r="A126" s="808"/>
      <c r="B126" s="809"/>
      <c r="C126" s="810" t="s">
        <v>172</v>
      </c>
      <c r="D126" s="801"/>
      <c r="E126" s="741"/>
      <c r="F126" s="741"/>
      <c r="G126" s="741"/>
      <c r="H126" s="741"/>
    </row>
    <row r="127" spans="1:8" ht="12.75" hidden="1" customHeight="1">
      <c r="A127" s="811"/>
      <c r="B127" s="812"/>
      <c r="C127" s="802">
        <v>0.375</v>
      </c>
      <c r="D127" s="803">
        <v>0.54166666666666663</v>
      </c>
      <c r="E127" s="741"/>
      <c r="F127" s="741"/>
      <c r="G127" s="741"/>
      <c r="H127" s="741"/>
    </row>
    <row r="128" spans="1:8" ht="12.75" hidden="1" customHeight="1">
      <c r="A128" s="791">
        <v>1</v>
      </c>
      <c r="B128" s="363" t="s">
        <v>608</v>
      </c>
      <c r="C128" s="813">
        <f>'1.xi den TT'!J7</f>
        <v>0</v>
      </c>
      <c r="D128" s="814">
        <f>'1.xi den TT'!N7</f>
        <v>0</v>
      </c>
      <c r="E128" s="741"/>
      <c r="F128" s="741"/>
      <c r="G128" s="741"/>
      <c r="H128" s="741"/>
    </row>
    <row r="129" spans="1:8" ht="12.75" hidden="1" customHeight="1">
      <c r="A129" s="791">
        <v>2</v>
      </c>
      <c r="B129" s="363" t="s">
        <v>609</v>
      </c>
      <c r="C129" s="813">
        <f>'1.xi den TT'!J8</f>
        <v>0</v>
      </c>
      <c r="D129" s="814">
        <f>'1.xi den TT'!N8</f>
        <v>0</v>
      </c>
      <c r="E129" s="741"/>
      <c r="F129" s="741"/>
      <c r="G129" s="741"/>
      <c r="H129" s="741"/>
    </row>
    <row r="130" spans="1:8" ht="12.75" hidden="1" customHeight="1">
      <c r="A130" s="791">
        <v>3</v>
      </c>
      <c r="B130" s="363" t="s">
        <v>610</v>
      </c>
      <c r="C130" s="813">
        <f>'1.xi den TT'!J9</f>
        <v>0</v>
      </c>
      <c r="D130" s="814">
        <f>'1.xi den TT'!N9</f>
        <v>0</v>
      </c>
      <c r="E130" s="741"/>
      <c r="F130" s="741"/>
      <c r="G130" s="741"/>
      <c r="H130" s="741"/>
    </row>
    <row r="131" spans="1:8" ht="12.75" hidden="1" customHeight="1">
      <c r="A131" s="791">
        <v>4</v>
      </c>
      <c r="B131" s="363" t="s">
        <v>612</v>
      </c>
      <c r="C131" s="813">
        <f>'1.xi den TT'!J10</f>
        <v>124.63199999999999</v>
      </c>
      <c r="D131" s="814">
        <f>'1.xi den TT'!N10</f>
        <v>124.63199999999999</v>
      </c>
      <c r="E131" s="741"/>
      <c r="F131" s="741"/>
      <c r="G131" s="741"/>
      <c r="H131" s="741"/>
    </row>
    <row r="132" spans="1:8" ht="12.75" hidden="1" customHeight="1">
      <c r="A132" s="791">
        <v>5</v>
      </c>
      <c r="B132" s="796" t="s">
        <v>614</v>
      </c>
      <c r="C132" s="813">
        <f>'1.xi den TT'!J11</f>
        <v>0</v>
      </c>
      <c r="D132" s="814">
        <f>'1.xi den TT'!N11</f>
        <v>0</v>
      </c>
      <c r="E132" s="741"/>
      <c r="F132" s="741"/>
      <c r="G132" s="741"/>
      <c r="H132" s="741"/>
    </row>
    <row r="133" spans="1:8" ht="12.75" hidden="1" customHeight="1">
      <c r="A133" s="791">
        <v>6</v>
      </c>
      <c r="B133" s="796" t="s">
        <v>616</v>
      </c>
      <c r="C133" s="813">
        <f>'1.xi den TT'!J12</f>
        <v>0</v>
      </c>
      <c r="D133" s="814">
        <f>'1.xi den TT'!N12</f>
        <v>0</v>
      </c>
      <c r="E133" s="741"/>
      <c r="F133" s="741"/>
      <c r="G133" s="741"/>
      <c r="H133" s="741"/>
    </row>
    <row r="134" spans="1:8" ht="12.75" hidden="1" customHeight="1">
      <c r="A134" s="791">
        <v>7</v>
      </c>
      <c r="B134" s="796" t="s">
        <v>618</v>
      </c>
      <c r="C134" s="813">
        <f>'1.xi den TT'!J13</f>
        <v>0</v>
      </c>
      <c r="D134" s="814">
        <f>'1.xi den TT'!N13</f>
        <v>0</v>
      </c>
      <c r="E134" s="741"/>
      <c r="F134" s="741"/>
      <c r="G134" s="741"/>
      <c r="H134" s="741"/>
    </row>
    <row r="135" spans="1:8" ht="12.75" hidden="1" customHeight="1">
      <c r="A135" s="791">
        <v>8</v>
      </c>
      <c r="B135" s="363" t="s">
        <v>620</v>
      </c>
      <c r="C135" s="813">
        <f>'1.xi den TT'!J14</f>
        <v>0</v>
      </c>
      <c r="D135" s="814">
        <f>'1.xi den TT'!N14</f>
        <v>0</v>
      </c>
      <c r="E135" s="741"/>
      <c r="F135" s="741"/>
      <c r="G135" s="741"/>
      <c r="H135" s="741"/>
    </row>
    <row r="136" spans="1:8" ht="12.75" hidden="1" customHeight="1">
      <c r="A136" s="791">
        <v>9</v>
      </c>
      <c r="B136" s="796" t="s">
        <v>817</v>
      </c>
      <c r="C136" s="813">
        <f>'1.xi den TT'!J15</f>
        <v>0</v>
      </c>
      <c r="D136" s="814">
        <f>'1.xi den TT'!N15</f>
        <v>0</v>
      </c>
      <c r="E136" s="741"/>
      <c r="F136" s="741"/>
      <c r="G136" s="741"/>
      <c r="H136" s="741"/>
    </row>
    <row r="137" spans="1:8" ht="12.75" hidden="1" customHeight="1">
      <c r="A137" s="797">
        <v>10</v>
      </c>
      <c r="B137" s="798" t="s">
        <v>818</v>
      </c>
      <c r="C137" s="813" t="str">
        <f>'1.xi den TT'!J17</f>
        <v/>
      </c>
      <c r="D137" s="814">
        <f>'1.xi den TT'!N17</f>
        <v>0</v>
      </c>
      <c r="E137" s="741"/>
      <c r="F137" s="741"/>
      <c r="G137" s="741"/>
      <c r="H137" s="741"/>
    </row>
    <row r="138" spans="1:8" ht="12.75" hidden="1" customHeight="1">
      <c r="A138" s="797">
        <v>11</v>
      </c>
      <c r="B138" s="798" t="s">
        <v>819</v>
      </c>
      <c r="C138" s="813" t="str">
        <f>'1.xi den TT'!J18</f>
        <v/>
      </c>
      <c r="D138" s="814">
        <f>'1.xi den TT'!N18</f>
        <v>0</v>
      </c>
      <c r="E138" s="741"/>
      <c r="F138" s="741"/>
      <c r="G138" s="741"/>
      <c r="H138" s="741"/>
    </row>
    <row r="139" spans="1:8" ht="12.75" hidden="1" customHeight="1">
      <c r="A139" s="797">
        <v>12</v>
      </c>
      <c r="B139" s="798" t="s">
        <v>412</v>
      </c>
      <c r="C139" s="813"/>
      <c r="D139" s="814"/>
      <c r="E139" s="741"/>
      <c r="F139" s="741"/>
      <c r="G139" s="741"/>
      <c r="H139" s="741"/>
    </row>
    <row r="140" spans="1:8" ht="12.75" hidden="1" customHeight="1">
      <c r="A140" s="797">
        <v>13</v>
      </c>
      <c r="B140" s="798" t="s">
        <v>415</v>
      </c>
      <c r="C140" s="813"/>
      <c r="D140" s="814"/>
      <c r="E140" s="741"/>
      <c r="F140" s="741"/>
      <c r="G140" s="741"/>
      <c r="H140" s="741"/>
    </row>
    <row r="141" spans="1:8" ht="12.75" customHeight="1" thickBot="1">
      <c r="A141" s="748"/>
      <c r="B141" s="439"/>
      <c r="C141" s="815"/>
      <c r="D141" s="816"/>
      <c r="E141" s="741"/>
      <c r="F141" s="741"/>
      <c r="G141" s="741"/>
      <c r="H141" s="741"/>
    </row>
    <row r="142" spans="1:8" ht="12.75" customHeight="1">
      <c r="A142" s="748"/>
      <c r="B142" s="439"/>
      <c r="E142" s="741"/>
      <c r="F142" s="741"/>
      <c r="G142" s="741"/>
      <c r="H142" s="741"/>
    </row>
    <row r="144" spans="1:8" ht="12.75" customHeight="1">
      <c r="A144" s="2760" t="s">
        <v>822</v>
      </c>
      <c r="B144" s="2761"/>
      <c r="E144" s="741"/>
      <c r="F144" s="741"/>
      <c r="G144" s="741"/>
      <c r="H144" s="741"/>
    </row>
    <row r="145" spans="1:8" ht="12.75" customHeight="1">
      <c r="A145" s="2762" t="s">
        <v>7</v>
      </c>
      <c r="B145" s="2764" t="s">
        <v>79</v>
      </c>
      <c r="C145" s="747" t="s">
        <v>171</v>
      </c>
      <c r="D145" s="747" t="s">
        <v>171</v>
      </c>
      <c r="E145" s="741"/>
      <c r="F145" s="741"/>
      <c r="G145" s="741"/>
      <c r="H145" s="741"/>
    </row>
    <row r="146" spans="1:8" ht="12.75" customHeight="1" thickBot="1">
      <c r="A146" s="2763"/>
      <c r="B146" s="2765"/>
      <c r="C146" s="750">
        <v>0.33333333333333331</v>
      </c>
      <c r="D146" s="750">
        <v>0.83333333333333337</v>
      </c>
      <c r="E146" s="741"/>
      <c r="F146" s="741"/>
      <c r="G146" s="741"/>
      <c r="H146" s="741"/>
    </row>
    <row r="147" spans="1:8" ht="12.75" customHeight="1">
      <c r="A147" s="817">
        <v>1</v>
      </c>
      <c r="B147" s="818" t="s">
        <v>563</v>
      </c>
      <c r="C147" s="792">
        <f>'R.GUI MAIL'!H89</f>
        <v>0</v>
      </c>
      <c r="D147" s="793">
        <f>'R.GUI MAIL'!N89</f>
        <v>0</v>
      </c>
      <c r="E147" s="741"/>
      <c r="F147" s="741"/>
      <c r="G147" s="741"/>
      <c r="H147" s="741"/>
    </row>
    <row r="148" spans="1:8" ht="12.75" hidden="1" customHeight="1" thickBot="1">
      <c r="A148" s="817">
        <v>2</v>
      </c>
      <c r="B148" s="818" t="s">
        <v>567</v>
      </c>
      <c r="C148" s="792">
        <f>'R.GUI MAIL'!H90</f>
        <v>0</v>
      </c>
      <c r="D148" s="795">
        <f>'R.GUI MAIL'!N90</f>
        <v>0</v>
      </c>
      <c r="E148" s="741"/>
      <c r="F148" s="741"/>
      <c r="G148" s="741"/>
      <c r="H148" s="741"/>
    </row>
    <row r="149" spans="1:8" ht="12.75" hidden="1" customHeight="1" thickBot="1">
      <c r="A149" s="817">
        <v>3</v>
      </c>
      <c r="B149" s="818" t="s">
        <v>569</v>
      </c>
      <c r="C149" s="792">
        <f>'R.GUI MAIL'!H91</f>
        <v>0</v>
      </c>
      <c r="D149" s="795">
        <f>'R.GUI MAIL'!N91</f>
        <v>0</v>
      </c>
      <c r="E149" s="741"/>
      <c r="F149" s="741"/>
      <c r="G149" s="741"/>
      <c r="H149" s="741"/>
    </row>
    <row r="150" spans="1:8" ht="12.75" hidden="1" customHeight="1" thickBot="1">
      <c r="A150" s="817">
        <v>4</v>
      </c>
      <c r="B150" s="364" t="s">
        <v>449</v>
      </c>
      <c r="C150" s="792">
        <f>'R.GUI MAIL'!H92</f>
        <v>0</v>
      </c>
      <c r="D150" s="795">
        <f>'R.GUI MAIL'!N92</f>
        <v>0</v>
      </c>
      <c r="E150" s="741"/>
      <c r="F150" s="741"/>
      <c r="G150" s="741"/>
      <c r="H150" s="741"/>
    </row>
    <row r="151" spans="1:8" ht="12.75" hidden="1" customHeight="1" thickBot="1">
      <c r="A151" s="817">
        <v>5</v>
      </c>
      <c r="B151" s="364" t="s">
        <v>450</v>
      </c>
      <c r="C151" s="792">
        <f>'R.GUI MAIL'!H93</f>
        <v>0</v>
      </c>
      <c r="D151" s="795">
        <f>'R.GUI MAIL'!N93</f>
        <v>0</v>
      </c>
      <c r="E151" s="741"/>
      <c r="F151" s="741"/>
      <c r="G151" s="741"/>
      <c r="H151" s="741"/>
    </row>
    <row r="152" spans="1:8" ht="12.75" hidden="1" customHeight="1" thickBot="1">
      <c r="A152" s="817">
        <v>6</v>
      </c>
      <c r="B152" s="369" t="s">
        <v>451</v>
      </c>
      <c r="C152" s="792">
        <f>'R.GUI MAIL'!H94</f>
        <v>0</v>
      </c>
      <c r="D152" s="795">
        <f>'R.GUI MAIL'!N94</f>
        <v>0</v>
      </c>
      <c r="E152" s="741"/>
      <c r="F152" s="741"/>
      <c r="G152" s="741"/>
      <c r="H152" s="741"/>
    </row>
    <row r="153" spans="1:8" ht="12.75" hidden="1" customHeight="1" thickBot="1">
      <c r="A153" s="817">
        <v>7</v>
      </c>
      <c r="B153" s="369" t="s">
        <v>452</v>
      </c>
      <c r="C153" s="792">
        <f>'R.GUI MAIL'!H95</f>
        <v>0</v>
      </c>
      <c r="D153" s="795">
        <f>'R.GUI MAIL'!N95</f>
        <v>0</v>
      </c>
      <c r="E153" s="741"/>
      <c r="F153" s="741"/>
      <c r="G153" s="741"/>
      <c r="H153" s="741"/>
    </row>
    <row r="154" spans="1:8" ht="12.75" hidden="1" customHeight="1" thickBot="1">
      <c r="A154" s="817">
        <v>8</v>
      </c>
      <c r="B154" s="369" t="s">
        <v>453</v>
      </c>
      <c r="C154" s="792">
        <f>'R.GUI MAIL'!H96</f>
        <v>0</v>
      </c>
      <c r="D154" s="795">
        <f>'R.GUI MAIL'!N96</f>
        <v>0</v>
      </c>
      <c r="E154" s="741"/>
      <c r="F154" s="741"/>
      <c r="G154" s="741"/>
      <c r="H154" s="741"/>
    </row>
    <row r="155" spans="1:8" ht="12.75" hidden="1" customHeight="1" thickBot="1">
      <c r="A155" s="817">
        <v>9</v>
      </c>
      <c r="B155" s="369" t="s">
        <v>454</v>
      </c>
      <c r="C155" s="792">
        <f>'R.GUI MAIL'!H97</f>
        <v>0</v>
      </c>
      <c r="D155" s="795">
        <f>'R.GUI MAIL'!N97</f>
        <v>0</v>
      </c>
      <c r="E155" s="741"/>
      <c r="F155" s="741"/>
      <c r="G155" s="741"/>
      <c r="H155" s="741"/>
    </row>
    <row r="156" spans="1:8" ht="12.75" hidden="1" customHeight="1" thickBot="1">
      <c r="A156" s="2753">
        <v>10</v>
      </c>
      <c r="B156" s="2398" t="s">
        <v>823</v>
      </c>
      <c r="C156" s="792">
        <f>'R.GUI MAIL'!H98</f>
        <v>0</v>
      </c>
      <c r="D156" s="795">
        <f>'R.GUI MAIL'!N98</f>
        <v>0</v>
      </c>
      <c r="E156" s="741"/>
      <c r="F156" s="741"/>
      <c r="G156" s="741"/>
      <c r="H156" s="741"/>
    </row>
    <row r="157" spans="1:8" ht="12.75" hidden="1" customHeight="1" thickBot="1">
      <c r="A157" s="2754"/>
      <c r="B157" s="2755"/>
      <c r="C157" s="792">
        <f>'R.GUI MAIL'!H99</f>
        <v>0</v>
      </c>
      <c r="D157" s="795">
        <f>'R.GUI MAIL'!N99</f>
        <v>0</v>
      </c>
      <c r="E157" s="741"/>
      <c r="F157" s="741"/>
      <c r="G157" s="741"/>
      <c r="H157" s="741"/>
    </row>
    <row r="158" spans="1:8" ht="12.75" hidden="1" customHeight="1" thickBot="1">
      <c r="A158" s="817">
        <v>12</v>
      </c>
      <c r="B158" s="819" t="s">
        <v>585</v>
      </c>
      <c r="C158" s="792">
        <f>'R.GUI MAIL'!H100</f>
        <v>0</v>
      </c>
      <c r="D158" s="795">
        <f>'R.GUI MAIL'!N100</f>
        <v>0</v>
      </c>
      <c r="E158" s="741"/>
      <c r="F158" s="741"/>
      <c r="G158" s="741"/>
      <c r="H158" s="741"/>
    </row>
    <row r="159" spans="1:8" ht="12.75" hidden="1" customHeight="1" thickBot="1">
      <c r="A159" s="817">
        <v>13</v>
      </c>
      <c r="B159" s="820" t="s">
        <v>588</v>
      </c>
      <c r="C159" s="792">
        <f>'R.GUI MAIL'!H101</f>
        <v>0</v>
      </c>
      <c r="D159" s="795">
        <f>'R.GUI MAIL'!N101</f>
        <v>0</v>
      </c>
      <c r="E159" s="741"/>
      <c r="F159" s="741"/>
      <c r="G159" s="741"/>
      <c r="H159" s="741"/>
    </row>
    <row r="160" spans="1:8" ht="12.75" hidden="1" customHeight="1">
      <c r="A160" s="817">
        <v>14</v>
      </c>
      <c r="B160" s="821" t="s">
        <v>591</v>
      </c>
      <c r="C160" s="792">
        <f>'R.GUI MAIL'!H102</f>
        <v>0</v>
      </c>
      <c r="D160" s="795">
        <f>'R.GUI MAIL'!N102</f>
        <v>0</v>
      </c>
      <c r="E160" s="741"/>
      <c r="F160" s="741"/>
      <c r="G160" s="741"/>
      <c r="H160" s="741"/>
    </row>
    <row r="161" spans="1:8" ht="12.75" hidden="1" customHeight="1">
      <c r="A161" s="817"/>
      <c r="B161" s="822" t="s">
        <v>76</v>
      </c>
      <c r="C161" s="800" t="s">
        <v>173</v>
      </c>
      <c r="D161" s="823" t="s">
        <v>173</v>
      </c>
      <c r="E161" s="741"/>
      <c r="F161" s="741"/>
      <c r="G161" s="741"/>
      <c r="H161" s="741"/>
    </row>
    <row r="162" spans="1:8" ht="12.75" hidden="1" customHeight="1">
      <c r="A162" s="817" t="s">
        <v>7</v>
      </c>
      <c r="B162" s="824" t="s">
        <v>64</v>
      </c>
      <c r="C162" s="802">
        <v>0.33333333333333331</v>
      </c>
      <c r="D162" s="803">
        <v>0.375</v>
      </c>
      <c r="E162" s="741"/>
      <c r="F162" s="741"/>
      <c r="G162" s="741"/>
      <c r="H162" s="741"/>
    </row>
    <row r="163" spans="1:8" ht="12.75" hidden="1" customHeight="1">
      <c r="A163" s="817">
        <v>1</v>
      </c>
      <c r="B163" s="818" t="s">
        <v>563</v>
      </c>
      <c r="C163" s="794">
        <f>'R.GUI MAIL'!H105</f>
        <v>0</v>
      </c>
      <c r="D163" s="795">
        <f>'R.GUI MAIL'!N105</f>
        <v>0</v>
      </c>
      <c r="E163" s="741"/>
      <c r="F163" s="741"/>
      <c r="G163" s="741"/>
      <c r="H163" s="741"/>
    </row>
    <row r="164" spans="1:8" ht="12.75" hidden="1" customHeight="1">
      <c r="A164" s="817">
        <v>2</v>
      </c>
      <c r="B164" s="818" t="s">
        <v>567</v>
      </c>
      <c r="C164" s="794">
        <f>'R.GUI MAIL'!H106</f>
        <v>0</v>
      </c>
      <c r="D164" s="795">
        <f>'R.GUI MAIL'!N106</f>
        <v>0</v>
      </c>
      <c r="E164" s="741"/>
      <c r="F164" s="741"/>
      <c r="G164" s="741"/>
      <c r="H164" s="741"/>
    </row>
    <row r="165" spans="1:8" ht="12.75" hidden="1" customHeight="1">
      <c r="A165" s="817">
        <v>3</v>
      </c>
      <c r="B165" s="364" t="s">
        <v>824</v>
      </c>
      <c r="C165" s="794">
        <f>'R.GUI MAIL'!H107</f>
        <v>0</v>
      </c>
      <c r="D165" s="795">
        <f>'R.GUI MAIL'!N107</f>
        <v>0</v>
      </c>
      <c r="E165" s="741"/>
      <c r="F165" s="741"/>
      <c r="G165" s="741"/>
      <c r="H165" s="741"/>
    </row>
    <row r="166" spans="1:8" ht="12.75" hidden="1" customHeight="1">
      <c r="A166" s="817">
        <v>4</v>
      </c>
      <c r="B166" s="364" t="s">
        <v>825</v>
      </c>
      <c r="C166" s="794">
        <f>'R.GUI MAIL'!H108</f>
        <v>0</v>
      </c>
      <c r="D166" s="795">
        <f>'R.GUI MAIL'!N108</f>
        <v>0</v>
      </c>
      <c r="E166" s="741"/>
      <c r="F166" s="741"/>
      <c r="G166" s="741"/>
      <c r="H166" s="741"/>
    </row>
    <row r="167" spans="1:8" ht="12.75" hidden="1" customHeight="1">
      <c r="A167" s="817">
        <v>5</v>
      </c>
      <c r="B167" s="364" t="s">
        <v>826</v>
      </c>
      <c r="C167" s="794">
        <f>'R.GUI MAIL'!H109</f>
        <v>0</v>
      </c>
      <c r="D167" s="795">
        <f>'R.GUI MAIL'!N109</f>
        <v>0</v>
      </c>
      <c r="E167" s="741"/>
      <c r="F167" s="741"/>
      <c r="G167" s="741"/>
      <c r="H167" s="741"/>
    </row>
    <row r="168" spans="1:8" ht="12.75" hidden="1" customHeight="1">
      <c r="A168" s="817">
        <v>6</v>
      </c>
      <c r="B168" s="364" t="s">
        <v>823</v>
      </c>
      <c r="C168" s="794">
        <f>'R.GUI MAIL'!H110</f>
        <v>0</v>
      </c>
      <c r="D168" s="795">
        <f>'R.GUI MAIL'!N110</f>
        <v>0</v>
      </c>
      <c r="E168" s="741"/>
      <c r="F168" s="741"/>
      <c r="G168" s="741"/>
      <c r="H168" s="741"/>
    </row>
    <row r="169" spans="1:8" ht="12.75" hidden="1" customHeight="1">
      <c r="A169" s="817">
        <v>8</v>
      </c>
      <c r="B169" s="819" t="s">
        <v>585</v>
      </c>
      <c r="C169" s="794">
        <f>'R.GUI MAIL'!H111</f>
        <v>0</v>
      </c>
      <c r="D169" s="795">
        <f>'R.GUI MAIL'!N111</f>
        <v>0</v>
      </c>
      <c r="E169" s="741"/>
      <c r="F169" s="741"/>
      <c r="G169" s="741"/>
      <c r="H169" s="741"/>
    </row>
    <row r="170" spans="1:8" ht="12.75" hidden="1" customHeight="1">
      <c r="A170" s="817">
        <v>9</v>
      </c>
      <c r="B170" s="820" t="s">
        <v>588</v>
      </c>
      <c r="C170" s="794">
        <f>'R.GUI MAIL'!H112</f>
        <v>0</v>
      </c>
      <c r="D170" s="795">
        <f>'R.GUI MAIL'!N112</f>
        <v>0</v>
      </c>
      <c r="E170" s="741"/>
      <c r="F170" s="741"/>
      <c r="G170" s="741"/>
      <c r="H170" s="741"/>
    </row>
    <row r="171" spans="1:8" ht="12.75" hidden="1" customHeight="1">
      <c r="A171" s="817">
        <v>10</v>
      </c>
      <c r="B171" s="821" t="s">
        <v>591</v>
      </c>
      <c r="C171" s="794">
        <f>'R.GUI MAIL'!H113</f>
        <v>0</v>
      </c>
      <c r="D171" s="795">
        <f>'R.GUI MAIL'!N113</f>
        <v>0</v>
      </c>
      <c r="E171" s="741"/>
      <c r="F171" s="741"/>
      <c r="G171" s="741"/>
      <c r="H171" s="741"/>
    </row>
    <row r="172" spans="1:8" ht="12.75" hidden="1" customHeight="1">
      <c r="A172" s="817">
        <v>11</v>
      </c>
      <c r="B172" s="818" t="s">
        <v>827</v>
      </c>
      <c r="C172" s="794" t="e">
        <f>'R.GUI MAIL'!#REF!</f>
        <v>#REF!</v>
      </c>
      <c r="D172" s="795" t="e">
        <f>'R.GUI MAIL'!#REF!</f>
        <v>#REF!</v>
      </c>
      <c r="E172" s="741"/>
      <c r="F172" s="741"/>
      <c r="G172" s="741"/>
      <c r="H172" s="741"/>
    </row>
    <row r="173" spans="1:8" ht="12.75" hidden="1" customHeight="1">
      <c r="A173" s="817">
        <v>12</v>
      </c>
      <c r="B173" s="364" t="s">
        <v>603</v>
      </c>
      <c r="C173" s="881">
        <f>'5.ML tt'!G33</f>
        <v>0</v>
      </c>
      <c r="D173" s="882">
        <f>'5.ML tt'!K33</f>
        <v>0</v>
      </c>
      <c r="E173" s="741"/>
      <c r="F173" s="741"/>
      <c r="G173" s="741"/>
      <c r="H173" s="741"/>
    </row>
    <row r="174" spans="1:8" ht="12.75" hidden="1" customHeight="1">
      <c r="A174" s="808"/>
      <c r="B174" s="809"/>
      <c r="C174" s="810" t="s">
        <v>172</v>
      </c>
      <c r="D174" s="801"/>
      <c r="E174" s="741"/>
      <c r="F174" s="741"/>
      <c r="G174" s="741"/>
      <c r="H174" s="741"/>
    </row>
    <row r="175" spans="1:8" ht="12.75" hidden="1" customHeight="1">
      <c r="A175" s="808"/>
      <c r="B175" s="809"/>
      <c r="C175" s="802">
        <v>0.33333333333333331</v>
      </c>
      <c r="D175" s="803"/>
      <c r="E175" s="741"/>
      <c r="F175" s="741"/>
      <c r="G175" s="741"/>
      <c r="H175" s="741"/>
    </row>
    <row r="176" spans="1:8" ht="12.75" hidden="1" customHeight="1">
      <c r="A176" s="817">
        <v>1</v>
      </c>
      <c r="B176" s="818" t="s">
        <v>563</v>
      </c>
      <c r="C176" s="813">
        <f>'R.GUI MAIL'!K89</f>
        <v>0</v>
      </c>
      <c r="D176" s="814">
        <f>'R.FILE GOC'!Q89</f>
        <v>40.799999999999997</v>
      </c>
      <c r="E176" s="741"/>
      <c r="F176" s="741"/>
      <c r="G176" s="741"/>
      <c r="H176" s="741"/>
    </row>
    <row r="177" spans="1:8" ht="12.75" hidden="1" customHeight="1">
      <c r="A177" s="817">
        <v>2</v>
      </c>
      <c r="B177" s="818" t="s">
        <v>567</v>
      </c>
      <c r="C177" s="813">
        <f>'R.GUI MAIL'!K90</f>
        <v>0</v>
      </c>
      <c r="D177" s="814">
        <f>'R.FILE GOC'!Q90</f>
        <v>40.799999999999997</v>
      </c>
      <c r="E177" s="741"/>
      <c r="F177" s="741"/>
      <c r="G177" s="741"/>
      <c r="H177" s="741"/>
    </row>
    <row r="178" spans="1:8" ht="12.75" hidden="1" customHeight="1">
      <c r="A178" s="817">
        <v>3</v>
      </c>
      <c r="B178" s="818" t="s">
        <v>569</v>
      </c>
      <c r="C178" s="813">
        <f>'R.GUI MAIL'!K91</f>
        <v>0</v>
      </c>
      <c r="D178" s="814">
        <f>'R.FILE GOC'!Q91</f>
        <v>408</v>
      </c>
      <c r="E178" s="741"/>
      <c r="F178" s="741"/>
      <c r="G178" s="741"/>
      <c r="H178" s="741"/>
    </row>
    <row r="179" spans="1:8" ht="12.75" hidden="1" customHeight="1">
      <c r="A179" s="817">
        <v>4</v>
      </c>
      <c r="B179" s="364" t="s">
        <v>449</v>
      </c>
      <c r="C179" s="813">
        <f>'R.GUI MAIL'!K92</f>
        <v>0</v>
      </c>
      <c r="D179" s="814">
        <f>'R.FILE GOC'!Q92</f>
        <v>224.64</v>
      </c>
      <c r="E179" s="741"/>
      <c r="F179" s="741"/>
      <c r="G179" s="741"/>
      <c r="H179" s="741"/>
    </row>
    <row r="180" spans="1:8" ht="12.75" hidden="1" customHeight="1">
      <c r="A180" s="817">
        <v>5</v>
      </c>
      <c r="B180" s="364" t="s">
        <v>450</v>
      </c>
      <c r="C180" s="813">
        <f>'R.GUI MAIL'!K93</f>
        <v>0</v>
      </c>
      <c r="D180" s="814" t="str">
        <f>'R.FILE GOC'!Q93</f>
        <v>N/A</v>
      </c>
      <c r="E180" s="741"/>
      <c r="F180" s="741"/>
      <c r="G180" s="741"/>
      <c r="H180" s="741"/>
    </row>
    <row r="181" spans="1:8" ht="12.75" hidden="1" customHeight="1">
      <c r="A181" s="817">
        <v>6</v>
      </c>
      <c r="B181" s="369" t="s">
        <v>451</v>
      </c>
      <c r="C181" s="813">
        <f>'R.GUI MAIL'!K94</f>
        <v>0</v>
      </c>
      <c r="D181" s="814">
        <f>'R.FILE GOC'!Q94</f>
        <v>224.64</v>
      </c>
      <c r="E181" s="741"/>
      <c r="F181" s="741"/>
      <c r="G181" s="741"/>
      <c r="H181" s="741"/>
    </row>
    <row r="182" spans="1:8" ht="12.75" hidden="1" customHeight="1">
      <c r="A182" s="817">
        <v>7</v>
      </c>
      <c r="B182" s="369" t="s">
        <v>452</v>
      </c>
      <c r="C182" s="813">
        <f>'R.GUI MAIL'!K95</f>
        <v>0</v>
      </c>
      <c r="D182" s="814" t="str">
        <f>'R.FILE GOC'!Q95</f>
        <v>N/A</v>
      </c>
      <c r="E182" s="741"/>
      <c r="F182" s="741"/>
      <c r="G182" s="741"/>
      <c r="H182" s="741"/>
    </row>
    <row r="183" spans="1:8" ht="12.75" hidden="1" customHeight="1">
      <c r="A183" s="817">
        <v>8</v>
      </c>
      <c r="B183" s="369" t="s">
        <v>453</v>
      </c>
      <c r="C183" s="813">
        <f>'R.GUI MAIL'!K96</f>
        <v>0</v>
      </c>
      <c r="D183" s="814">
        <f>'R.FILE GOC'!Q96</f>
        <v>224.64</v>
      </c>
      <c r="E183" s="741"/>
      <c r="F183" s="741"/>
      <c r="G183" s="741"/>
      <c r="H183" s="741"/>
    </row>
    <row r="184" spans="1:8" ht="12.75" hidden="1" customHeight="1">
      <c r="A184" s="817">
        <v>9</v>
      </c>
      <c r="B184" s="369" t="s">
        <v>454</v>
      </c>
      <c r="C184" s="813">
        <f>'R.GUI MAIL'!K97</f>
        <v>0</v>
      </c>
      <c r="D184" s="814" t="str">
        <f>'R.FILE GOC'!Q97</f>
        <v>N/A</v>
      </c>
      <c r="E184" s="741"/>
      <c r="F184" s="741"/>
      <c r="G184" s="741"/>
      <c r="H184" s="741"/>
    </row>
    <row r="185" spans="1:8" ht="12.75" hidden="1" customHeight="1">
      <c r="A185" s="2753">
        <v>10</v>
      </c>
      <c r="B185" s="2398" t="s">
        <v>823</v>
      </c>
      <c r="C185" s="813">
        <f>'R.GUI MAIL'!K98</f>
        <v>0</v>
      </c>
      <c r="D185" s="814">
        <f>'R.FILE GOC'!Q98</f>
        <v>17.28</v>
      </c>
      <c r="E185" s="741"/>
      <c r="F185" s="741"/>
      <c r="G185" s="741"/>
      <c r="H185" s="741"/>
    </row>
    <row r="186" spans="1:8" ht="12.75" hidden="1" customHeight="1">
      <c r="A186" s="2754"/>
      <c r="B186" s="2755"/>
      <c r="C186" s="813">
        <f>'R.GUI MAIL'!K99</f>
        <v>0</v>
      </c>
      <c r="D186" s="814">
        <f>'R.FILE GOC'!Q99</f>
        <v>0</v>
      </c>
      <c r="E186" s="741"/>
      <c r="F186" s="741"/>
      <c r="G186" s="741"/>
      <c r="H186" s="741"/>
    </row>
    <row r="187" spans="1:8" ht="12.75" customHeight="1" thickBot="1">
      <c r="C187" s="815"/>
      <c r="D187" s="830"/>
      <c r="E187" s="741"/>
      <c r="F187" s="741"/>
      <c r="G187" s="741"/>
      <c r="H187" s="741"/>
    </row>
  </sheetData>
  <mergeCells count="40">
    <mergeCell ref="A15:B15"/>
    <mergeCell ref="A3:A4"/>
    <mergeCell ref="B3:B4"/>
    <mergeCell ref="B7:B9"/>
    <mergeCell ref="B10:B12"/>
    <mergeCell ref="B13:B14"/>
    <mergeCell ref="B53:B55"/>
    <mergeCell ref="A21:A22"/>
    <mergeCell ref="B21:B22"/>
    <mergeCell ref="B25:B27"/>
    <mergeCell ref="B28:B30"/>
    <mergeCell ref="B31:B32"/>
    <mergeCell ref="A35:A36"/>
    <mergeCell ref="B35:B36"/>
    <mergeCell ref="B39:B41"/>
    <mergeCell ref="B42:B43"/>
    <mergeCell ref="A44:B44"/>
    <mergeCell ref="A49:A50"/>
    <mergeCell ref="B49:B50"/>
    <mergeCell ref="B88:B89"/>
    <mergeCell ref="B56:B57"/>
    <mergeCell ref="A60:A61"/>
    <mergeCell ref="B60:B61"/>
    <mergeCell ref="B64:B66"/>
    <mergeCell ref="B67:B69"/>
    <mergeCell ref="B70:B71"/>
    <mergeCell ref="A72:B72"/>
    <mergeCell ref="A78:A79"/>
    <mergeCell ref="B78:B79"/>
    <mergeCell ref="B82:B84"/>
    <mergeCell ref="B85:B87"/>
    <mergeCell ref="A185:A186"/>
    <mergeCell ref="B185:B186"/>
    <mergeCell ref="A100:A101"/>
    <mergeCell ref="B100:B101"/>
    <mergeCell ref="A144:B144"/>
    <mergeCell ref="A145:A146"/>
    <mergeCell ref="B145:B146"/>
    <mergeCell ref="A156:A157"/>
    <mergeCell ref="B156:B157"/>
  </mergeCells>
  <phoneticPr fontId="6" type="noConversion"/>
  <pageMargins left="0.7" right="0.7" top="0.75" bottom="0.75" header="0.3" footer="0.3"/>
  <pageSetup paperSize="9" orientation="portrait" verticalDpi="0" r:id="rId1"/>
  <drawing r:id="rId2"/>
</worksheet>
</file>

<file path=xl/worksheets/sheet47.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K2" sqref="K2"/>
    </sheetView>
  </sheetViews>
  <sheetFormatPr defaultColWidth="14.875" defaultRowHeight="15.75"/>
  <cols>
    <col min="1" max="1" width="6.75" style="381" customWidth="1"/>
    <col min="2" max="2" width="13.625" style="381" customWidth="1"/>
    <col min="3" max="3" width="16.5" style="381" customWidth="1"/>
    <col min="4" max="4" width="16.875" style="907" customWidth="1"/>
    <col min="5" max="5" width="17.375" style="907" customWidth="1"/>
    <col min="6" max="7" width="14.5" style="907" customWidth="1"/>
    <col min="8" max="8" width="14.5" style="381" customWidth="1"/>
    <col min="9" max="10" width="14.875" style="381"/>
    <col min="11" max="11" width="22.375" style="381" customWidth="1"/>
    <col min="12" max="16384" width="14.875" style="381"/>
  </cols>
  <sheetData>
    <row r="1" spans="1:11" ht="58.5" customHeight="1">
      <c r="C1" s="2774" t="s">
        <v>884</v>
      </c>
      <c r="D1" s="2774"/>
      <c r="E1" s="2774"/>
      <c r="F1" s="2774"/>
      <c r="G1" s="2774"/>
      <c r="H1" s="2774"/>
      <c r="I1" s="2774"/>
      <c r="J1" s="996"/>
      <c r="K1" s="997" t="s">
        <v>1065</v>
      </c>
    </row>
    <row r="2" spans="1:11" s="906" customFormat="1" ht="71.25" customHeight="1">
      <c r="A2" s="918" t="s">
        <v>896</v>
      </c>
      <c r="B2" s="918" t="s">
        <v>892</v>
      </c>
      <c r="C2" s="913" t="s">
        <v>885</v>
      </c>
      <c r="D2" s="914" t="s">
        <v>886</v>
      </c>
      <c r="E2" s="914" t="s">
        <v>887</v>
      </c>
      <c r="F2" s="914" t="s">
        <v>893</v>
      </c>
      <c r="G2" s="914" t="s">
        <v>888</v>
      </c>
      <c r="H2" s="914" t="s">
        <v>889</v>
      </c>
      <c r="I2" s="914" t="s">
        <v>894</v>
      </c>
      <c r="K2" s="1170" t="s">
        <v>1066</v>
      </c>
    </row>
    <row r="3" spans="1:11" ht="33.75" customHeight="1">
      <c r="A3" s="919">
        <v>1</v>
      </c>
      <c r="B3" s="915">
        <v>10</v>
      </c>
      <c r="C3" s="908" t="str">
        <f>MENU!AC9</f>
        <v>2023/03/21</v>
      </c>
      <c r="D3" s="909" t="s">
        <v>890</v>
      </c>
      <c r="E3" s="909">
        <f>(B3*1*36.5)/(1*10*1.16)/100</f>
        <v>0.31465517241379309</v>
      </c>
      <c r="F3" s="909" t="s">
        <v>891</v>
      </c>
      <c r="G3" s="910"/>
      <c r="H3" s="909"/>
      <c r="I3" s="909"/>
    </row>
    <row r="4" spans="1:11" ht="33.75" customHeight="1">
      <c r="A4" s="919">
        <v>2</v>
      </c>
      <c r="B4" s="916"/>
      <c r="C4" s="908" t="str">
        <f>IF(B4="","",C3)</f>
        <v/>
      </c>
      <c r="D4" s="909" t="str">
        <f>IF(B4="","","31~ 33%")</f>
        <v/>
      </c>
      <c r="E4" s="909" t="str">
        <f>IF(B4="","",(B4*1*36.5)/(1*10*1.16)/100)</f>
        <v/>
      </c>
      <c r="F4" s="909"/>
      <c r="G4" s="912"/>
      <c r="H4" s="912"/>
      <c r="I4" s="911"/>
    </row>
    <row r="5" spans="1:11" ht="33.75" customHeight="1">
      <c r="A5" s="919">
        <v>3</v>
      </c>
      <c r="B5" s="916"/>
      <c r="C5" s="908" t="str">
        <f t="shared" ref="C5:C8" si="0">IF(B5="","",C4)</f>
        <v/>
      </c>
      <c r="D5" s="909" t="str">
        <f t="shared" ref="D5:D8" si="1">IF(B5="","","31~ 33%")</f>
        <v/>
      </c>
      <c r="E5" s="909" t="str">
        <f t="shared" ref="E5:E8" si="2">IF(B5="","",(B5*1*36.5)/(1*10*1.16)/100)</f>
        <v/>
      </c>
      <c r="F5" s="909"/>
      <c r="G5" s="912"/>
      <c r="H5" s="912"/>
      <c r="I5" s="911"/>
    </row>
    <row r="6" spans="1:11" ht="33.75" customHeight="1">
      <c r="A6" s="919">
        <v>4</v>
      </c>
      <c r="B6" s="916"/>
      <c r="C6" s="908" t="str">
        <f t="shared" si="0"/>
        <v/>
      </c>
      <c r="D6" s="909" t="str">
        <f t="shared" si="1"/>
        <v/>
      </c>
      <c r="E6" s="909" t="str">
        <f t="shared" si="2"/>
        <v/>
      </c>
      <c r="F6" s="909"/>
      <c r="G6" s="912"/>
      <c r="H6" s="912"/>
      <c r="I6" s="911"/>
    </row>
    <row r="7" spans="1:11" ht="33.75" customHeight="1">
      <c r="A7" s="919">
        <v>5</v>
      </c>
      <c r="B7" s="916"/>
      <c r="C7" s="908" t="str">
        <f t="shared" si="0"/>
        <v/>
      </c>
      <c r="D7" s="909" t="str">
        <f t="shared" si="1"/>
        <v/>
      </c>
      <c r="E7" s="909" t="str">
        <f t="shared" si="2"/>
        <v/>
      </c>
      <c r="F7" s="909"/>
      <c r="G7" s="912"/>
      <c r="H7" s="912"/>
      <c r="I7" s="911"/>
    </row>
    <row r="8" spans="1:11" ht="33.75" customHeight="1">
      <c r="A8" s="919">
        <v>6</v>
      </c>
      <c r="B8" s="916"/>
      <c r="C8" s="908" t="str">
        <f t="shared" si="0"/>
        <v/>
      </c>
      <c r="D8" s="909" t="str">
        <f t="shared" si="1"/>
        <v/>
      </c>
      <c r="E8" s="909" t="str">
        <f t="shared" si="2"/>
        <v/>
      </c>
      <c r="F8" s="909"/>
      <c r="G8" s="912"/>
      <c r="H8" s="912"/>
      <c r="I8" s="911"/>
    </row>
    <row r="10" spans="1:11">
      <c r="E10" s="996"/>
    </row>
    <row r="11" spans="1:11" ht="60.75" customHeight="1">
      <c r="B11" s="1169" t="s">
        <v>1062</v>
      </c>
      <c r="C11" s="1167" t="s">
        <v>1056</v>
      </c>
      <c r="E11" s="1168"/>
    </row>
    <row r="12" spans="1:11">
      <c r="C12" s="1167" t="s">
        <v>1057</v>
      </c>
    </row>
    <row r="13" spans="1:11">
      <c r="C13" s="1167" t="s">
        <v>1058</v>
      </c>
    </row>
    <row r="14" spans="1:11">
      <c r="C14" s="1167" t="s">
        <v>1059</v>
      </c>
    </row>
    <row r="15" spans="1:11">
      <c r="C15" s="1167" t="s">
        <v>1063</v>
      </c>
    </row>
    <row r="16" spans="1:11">
      <c r="C16" s="1167" t="s">
        <v>1060</v>
      </c>
    </row>
    <row r="17" spans="3:3">
      <c r="C17" s="1167" t="s">
        <v>1061</v>
      </c>
    </row>
    <row r="18" spans="3:3">
      <c r="C18" s="1167" t="s">
        <v>1064</v>
      </c>
    </row>
  </sheetData>
  <sheetProtection formatCells="0" formatColumns="0" formatRows="0" insertColumns="0" insertRows="0" insertHyperlinks="0" deleteColumns="0" deleteRows="0" selectLockedCells="1" sort="0" autoFilter="0" pivotTables="0"/>
  <mergeCells count="1">
    <mergeCell ref="C1:I1"/>
  </mergeCells>
  <phoneticPr fontId="6"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legacyDrawing r:id="rId4"/>
</worksheet>
</file>

<file path=xl/worksheets/sheet48.xml><?xml version="1.0" encoding="utf-8"?>
<worksheet xmlns="http://schemas.openxmlformats.org/spreadsheetml/2006/main" xmlns:r="http://schemas.openxmlformats.org/officeDocument/2006/relationships">
  <sheetPr codeName="Sheet21"/>
  <dimension ref="A2:R77"/>
  <sheetViews>
    <sheetView topLeftCell="A16" zoomScale="70" zoomScaleNormal="70" workbookViewId="0"/>
  </sheetViews>
  <sheetFormatPr defaultRowHeight="15.75"/>
  <cols>
    <col min="1" max="1" width="15.875" style="1315" customWidth="1"/>
    <col min="2" max="3" width="10.625" style="1316" customWidth="1"/>
    <col min="4" max="4" width="10.625" style="1315" customWidth="1"/>
    <col min="5" max="5" width="12.375" style="1315" customWidth="1"/>
    <col min="6" max="7" width="10.625" style="1316" customWidth="1"/>
    <col min="8" max="9" width="10.625" style="1315" customWidth="1"/>
    <col min="10" max="10" width="13.875" style="1316" customWidth="1"/>
    <col min="11" max="11" width="10.625" style="1316" customWidth="1"/>
    <col min="12" max="12" width="14.375" style="1315" customWidth="1"/>
    <col min="13" max="13" width="15.125" style="1315" customWidth="1"/>
    <col min="14" max="14" width="10.125" style="1315" customWidth="1"/>
    <col min="15" max="15" width="9" style="371"/>
    <col min="16" max="16" width="17" style="1315" customWidth="1"/>
    <col min="17" max="16384" width="9" style="1315"/>
  </cols>
  <sheetData>
    <row r="2" spans="1:18">
      <c r="B2" s="1316" t="s">
        <v>251</v>
      </c>
    </row>
    <row r="3" spans="1:18">
      <c r="B3" s="1317" t="s">
        <v>175</v>
      </c>
      <c r="C3" s="1317" t="s">
        <v>176</v>
      </c>
      <c r="D3" s="1318" t="s">
        <v>177</v>
      </c>
      <c r="E3" s="1318" t="s">
        <v>176</v>
      </c>
      <c r="F3" s="1317" t="s">
        <v>178</v>
      </c>
      <c r="G3" s="1317" t="s">
        <v>176</v>
      </c>
      <c r="H3" s="1318" t="s">
        <v>179</v>
      </c>
      <c r="I3" s="1318" t="s">
        <v>176</v>
      </c>
      <c r="J3" s="1317" t="s">
        <v>180</v>
      </c>
      <c r="K3" s="1317" t="s">
        <v>181</v>
      </c>
      <c r="L3" s="1317" t="s">
        <v>182</v>
      </c>
      <c r="M3" s="1317" t="s">
        <v>183</v>
      </c>
      <c r="N3" s="1317" t="s">
        <v>184</v>
      </c>
      <c r="P3" s="1315" t="s">
        <v>186</v>
      </c>
      <c r="R3" s="1315" t="s">
        <v>187</v>
      </c>
    </row>
    <row r="4" spans="1:18">
      <c r="B4" s="1317">
        <v>305</v>
      </c>
      <c r="C4" s="1317">
        <v>500</v>
      </c>
      <c r="D4" s="1318">
        <v>305</v>
      </c>
      <c r="E4" s="1316">
        <v>500</v>
      </c>
      <c r="F4" s="1317">
        <v>305</v>
      </c>
      <c r="G4" s="1317">
        <v>130</v>
      </c>
      <c r="H4" s="1318">
        <v>305</v>
      </c>
      <c r="I4" s="1318">
        <v>130</v>
      </c>
      <c r="J4" s="1317">
        <v>305</v>
      </c>
      <c r="K4" s="1317">
        <v>700</v>
      </c>
      <c r="L4" s="1315">
        <v>305</v>
      </c>
      <c r="M4" s="1315">
        <v>305</v>
      </c>
      <c r="N4" s="1315">
        <v>305</v>
      </c>
      <c r="O4" s="371" t="s">
        <v>1194</v>
      </c>
      <c r="P4" s="1315">
        <v>305</v>
      </c>
      <c r="Q4" s="1315">
        <v>305</v>
      </c>
      <c r="R4" s="1315">
        <v>300</v>
      </c>
    </row>
    <row r="5" spans="1:18">
      <c r="B5" s="1317">
        <v>260</v>
      </c>
      <c r="C5" s="1317">
        <v>90</v>
      </c>
      <c r="D5" s="1318">
        <v>165</v>
      </c>
      <c r="E5" s="1316">
        <v>90</v>
      </c>
      <c r="F5" s="1317">
        <v>176</v>
      </c>
      <c r="G5" s="1317">
        <v>80</v>
      </c>
      <c r="H5" s="1318">
        <v>187</v>
      </c>
      <c r="I5" s="1318">
        <v>80</v>
      </c>
      <c r="J5" s="1317">
        <v>205</v>
      </c>
      <c r="K5" s="1317">
        <v>134</v>
      </c>
      <c r="L5" s="1315">
        <v>158</v>
      </c>
      <c r="M5" s="1315">
        <v>247</v>
      </c>
      <c r="N5" s="1315">
        <v>76</v>
      </c>
      <c r="O5" s="371" t="s">
        <v>1194</v>
      </c>
      <c r="P5" s="1315">
        <v>68</v>
      </c>
      <c r="Q5" s="1315">
        <v>95</v>
      </c>
      <c r="R5" s="1315">
        <v>80</v>
      </c>
    </row>
    <row r="6" spans="1:18">
      <c r="B6" s="1317">
        <v>155</v>
      </c>
      <c r="C6" s="1317">
        <v>110</v>
      </c>
      <c r="D6" s="1318">
        <v>155</v>
      </c>
      <c r="E6" s="1316">
        <v>110</v>
      </c>
      <c r="F6" s="1317">
        <v>155</v>
      </c>
      <c r="G6" s="1317">
        <v>76</v>
      </c>
      <c r="H6" s="1318">
        <v>155</v>
      </c>
      <c r="I6" s="1318">
        <v>76</v>
      </c>
      <c r="J6" s="1317">
        <v>155</v>
      </c>
      <c r="K6" s="1317">
        <v>112</v>
      </c>
      <c r="L6" s="1315">
        <v>155</v>
      </c>
      <c r="M6" s="1315">
        <v>155</v>
      </c>
      <c r="N6" s="1315">
        <v>155</v>
      </c>
      <c r="O6" s="371" t="s">
        <v>1194</v>
      </c>
      <c r="P6" s="1315">
        <v>155</v>
      </c>
      <c r="Q6" s="1315">
        <v>155</v>
      </c>
      <c r="R6" s="1315">
        <v>140</v>
      </c>
    </row>
    <row r="7" spans="1:18">
      <c r="B7" s="1319">
        <f>B4*B5*B6/1000</f>
        <v>12291.5</v>
      </c>
      <c r="C7" s="1319">
        <f t="shared" ref="C7:R7" si="0">C4*C5*C6/1000</f>
        <v>4950</v>
      </c>
      <c r="D7" s="1320">
        <f t="shared" si="0"/>
        <v>7800.375</v>
      </c>
      <c r="E7" s="1320">
        <f t="shared" si="0"/>
        <v>4950</v>
      </c>
      <c r="F7" s="1319">
        <f t="shared" si="0"/>
        <v>8320.4</v>
      </c>
      <c r="G7" s="1319">
        <f t="shared" si="0"/>
        <v>790.4</v>
      </c>
      <c r="H7" s="1320">
        <f t="shared" si="0"/>
        <v>8840.4249999999993</v>
      </c>
      <c r="I7" s="1320">
        <f t="shared" si="0"/>
        <v>790.4</v>
      </c>
      <c r="J7" s="1321">
        <f>J4*J5*J6/1000*5</f>
        <v>48456.875</v>
      </c>
      <c r="K7" s="1319">
        <f t="shared" si="0"/>
        <v>10505.6</v>
      </c>
      <c r="L7" s="1319">
        <f t="shared" si="0"/>
        <v>7469.45</v>
      </c>
      <c r="M7" s="1319">
        <f t="shared" si="0"/>
        <v>11676.924999999999</v>
      </c>
      <c r="N7" s="1319">
        <f t="shared" si="0"/>
        <v>3592.9</v>
      </c>
      <c r="P7" s="1319">
        <f t="shared" si="0"/>
        <v>3214.7</v>
      </c>
      <c r="Q7" s="1319">
        <f t="shared" si="0"/>
        <v>4491.125</v>
      </c>
      <c r="R7" s="1319">
        <f t="shared" si="0"/>
        <v>3360</v>
      </c>
    </row>
    <row r="8" spans="1:18">
      <c r="B8" s="2776">
        <f>B7+C7</f>
        <v>17241.5</v>
      </c>
      <c r="C8" s="2776"/>
      <c r="D8" s="2777">
        <f>D7+E7</f>
        <v>12750.375</v>
      </c>
      <c r="E8" s="2777"/>
      <c r="F8" s="2776">
        <f>F7+G7</f>
        <v>9110.7999999999993</v>
      </c>
      <c r="G8" s="2776"/>
      <c r="H8" s="2777">
        <f>H7+I7</f>
        <v>9630.8249999999989</v>
      </c>
      <c r="I8" s="2777"/>
      <c r="J8" s="2776">
        <f>J7+K7</f>
        <v>58962.474999999999</v>
      </c>
      <c r="K8" s="2776"/>
      <c r="L8" s="1322">
        <f t="shared" ref="L8:Q8" si="1">L7</f>
        <v>7469.45</v>
      </c>
      <c r="M8" s="1322">
        <f t="shared" si="1"/>
        <v>11676.924999999999</v>
      </c>
      <c r="N8" s="1322">
        <f t="shared" si="1"/>
        <v>3592.9</v>
      </c>
      <c r="P8" s="1322">
        <f t="shared" si="1"/>
        <v>3214.7</v>
      </c>
      <c r="Q8" s="1322">
        <f t="shared" si="1"/>
        <v>4491.125</v>
      </c>
    </row>
    <row r="9" spans="1:18">
      <c r="A9" s="1315" t="s">
        <v>1195</v>
      </c>
      <c r="B9" s="2778">
        <f>B8*90%</f>
        <v>15517.35</v>
      </c>
      <c r="C9" s="2778"/>
      <c r="D9" s="2779">
        <f>D8*90%</f>
        <v>11475.3375</v>
      </c>
      <c r="E9" s="2779"/>
      <c r="F9" s="2775">
        <f>F8*90%</f>
        <v>8199.7199999999993</v>
      </c>
      <c r="G9" s="2775"/>
      <c r="H9" s="2775">
        <f>H8*90%</f>
        <v>8667.7424999999985</v>
      </c>
      <c r="I9" s="2775"/>
      <c r="J9" s="2775">
        <f>J8*90%</f>
        <v>53066.227500000001</v>
      </c>
      <c r="K9" s="2775"/>
      <c r="L9" s="1323">
        <f t="shared" ref="L9:Q9" si="2">L8*90%</f>
        <v>6722.5050000000001</v>
      </c>
      <c r="M9" s="1323">
        <f t="shared" si="2"/>
        <v>10509.2325</v>
      </c>
      <c r="N9" s="1323">
        <f t="shared" si="2"/>
        <v>3233.61</v>
      </c>
      <c r="P9" s="1323">
        <f t="shared" si="2"/>
        <v>2893.23</v>
      </c>
      <c r="Q9" s="1323">
        <f t="shared" si="2"/>
        <v>4042.0125000000003</v>
      </c>
      <c r="R9" s="1319">
        <v>3360</v>
      </c>
    </row>
    <row r="10" spans="1:18">
      <c r="F10" s="1324"/>
      <c r="G10" s="1324"/>
    </row>
    <row r="11" spans="1:18">
      <c r="C11" s="1316">
        <v>500</v>
      </c>
    </row>
    <row r="12" spans="1:18">
      <c r="C12" s="1316">
        <v>90</v>
      </c>
    </row>
    <row r="13" spans="1:18">
      <c r="C13" s="1316">
        <v>110</v>
      </c>
    </row>
    <row r="14" spans="1:18">
      <c r="C14" s="1316" t="s">
        <v>188</v>
      </c>
    </row>
    <row r="18" spans="2:13" ht="33.75" customHeight="1">
      <c r="B18" s="2272" t="s">
        <v>114</v>
      </c>
      <c r="C18" s="2273"/>
      <c r="D18" s="2273"/>
      <c r="E18" s="2274"/>
    </row>
    <row r="19" spans="2:13" ht="39" customHeight="1">
      <c r="B19" s="2275"/>
      <c r="C19" s="2276"/>
      <c r="D19" s="2276"/>
      <c r="E19" s="2277"/>
    </row>
    <row r="20" spans="2:13" ht="18" customHeight="1">
      <c r="B20" s="1314"/>
      <c r="C20" s="1314" t="s">
        <v>193</v>
      </c>
      <c r="D20" s="1314" t="s">
        <v>5</v>
      </c>
      <c r="E20" s="1314"/>
    </row>
    <row r="21" spans="2:13">
      <c r="B21" s="1316" t="s">
        <v>191</v>
      </c>
      <c r="C21" s="1316" t="s">
        <v>194</v>
      </c>
      <c r="D21" s="1315" t="s">
        <v>196</v>
      </c>
      <c r="E21" s="1315" t="s">
        <v>198</v>
      </c>
    </row>
    <row r="22" spans="2:13">
      <c r="B22" s="1316" t="s">
        <v>192</v>
      </c>
      <c r="C22" s="1316" t="s">
        <v>195</v>
      </c>
      <c r="D22" s="1315" t="s">
        <v>197</v>
      </c>
      <c r="E22" s="1315" t="s">
        <v>199</v>
      </c>
    </row>
    <row r="24" spans="2:13">
      <c r="B24" s="1316" t="s">
        <v>200</v>
      </c>
      <c r="C24" s="1314" t="s">
        <v>5</v>
      </c>
      <c r="D24" s="1315" t="s">
        <v>201</v>
      </c>
      <c r="E24" s="1315" t="s">
        <v>203</v>
      </c>
    </row>
    <row r="25" spans="2:13">
      <c r="C25" s="1325" t="s">
        <v>202</v>
      </c>
      <c r="D25" s="1326">
        <v>0.15</v>
      </c>
      <c r="E25" s="1315" t="s">
        <v>204</v>
      </c>
      <c r="F25" s="1316" t="s">
        <v>1196</v>
      </c>
    </row>
    <row r="26" spans="2:13">
      <c r="C26" s="1325">
        <v>1.8</v>
      </c>
      <c r="D26" s="1326">
        <v>0.15</v>
      </c>
      <c r="E26" s="1315" t="s">
        <v>204</v>
      </c>
      <c r="F26" s="1316" t="s">
        <v>205</v>
      </c>
    </row>
    <row r="27" spans="2:13">
      <c r="C27" s="1325" t="s">
        <v>206</v>
      </c>
      <c r="D27" s="1326">
        <v>0.15</v>
      </c>
      <c r="E27" s="1315" t="s">
        <v>204</v>
      </c>
      <c r="F27" s="1316" t="s">
        <v>207</v>
      </c>
    </row>
    <row r="28" spans="2:13">
      <c r="B28" s="1316" t="s">
        <v>1197</v>
      </c>
      <c r="D28" s="1326"/>
    </row>
    <row r="29" spans="2:13" ht="34.5" customHeight="1"/>
    <row r="30" spans="2:13" ht="16.5" customHeight="1">
      <c r="B30" s="1327" t="s">
        <v>1198</v>
      </c>
      <c r="C30" s="1327"/>
      <c r="D30" s="1328"/>
    </row>
    <row r="31" spans="2:13">
      <c r="B31" s="1316" t="s">
        <v>216</v>
      </c>
      <c r="C31" s="1316" t="s">
        <v>217</v>
      </c>
      <c r="D31" s="1315" t="s">
        <v>218</v>
      </c>
      <c r="E31" s="1315" t="s">
        <v>219</v>
      </c>
      <c r="F31" s="1316" t="s">
        <v>220</v>
      </c>
      <c r="G31" s="1316" t="s">
        <v>221</v>
      </c>
      <c r="H31" s="1315" t="s">
        <v>222</v>
      </c>
      <c r="I31" s="1329" t="s">
        <v>223</v>
      </c>
      <c r="J31" s="1330" t="s">
        <v>227</v>
      </c>
      <c r="K31" s="1316" t="s">
        <v>224</v>
      </c>
      <c r="L31" s="1315" t="s">
        <v>185</v>
      </c>
    </row>
    <row r="32" spans="2:13">
      <c r="B32" s="1316">
        <v>8</v>
      </c>
      <c r="C32" s="1316">
        <v>8</v>
      </c>
      <c r="D32" s="1316">
        <v>8</v>
      </c>
      <c r="E32" s="1316">
        <v>8</v>
      </c>
      <c r="F32" s="1316">
        <v>8</v>
      </c>
      <c r="G32" s="1316">
        <v>8</v>
      </c>
      <c r="H32" s="1316">
        <v>8</v>
      </c>
      <c r="I32" s="1330">
        <v>8</v>
      </c>
      <c r="J32" s="1330">
        <v>17</v>
      </c>
      <c r="K32" s="1316">
        <v>8</v>
      </c>
      <c r="L32" s="1316">
        <v>8</v>
      </c>
      <c r="M32" s="1315" t="s">
        <v>225</v>
      </c>
    </row>
    <row r="33" spans="2:13">
      <c r="B33" s="1316">
        <v>6.5</v>
      </c>
      <c r="C33" s="1316">
        <v>6.5</v>
      </c>
      <c r="D33" s="1316">
        <v>6.5</v>
      </c>
      <c r="E33" s="1316">
        <v>6.5</v>
      </c>
      <c r="F33" s="1316">
        <v>6.5</v>
      </c>
      <c r="G33" s="1316">
        <v>6.5</v>
      </c>
      <c r="H33" s="1316">
        <v>6.5</v>
      </c>
      <c r="I33" s="1330">
        <v>6.5</v>
      </c>
      <c r="J33" s="1330">
        <v>6.5</v>
      </c>
      <c r="K33" s="1316">
        <v>6.5</v>
      </c>
      <c r="L33" s="1316">
        <v>6.5</v>
      </c>
      <c r="M33" s="1315" t="s">
        <v>225</v>
      </c>
    </row>
    <row r="34" spans="2:13">
      <c r="B34" s="1316">
        <v>15</v>
      </c>
      <c r="C34" s="1316">
        <v>15</v>
      </c>
      <c r="D34" s="1315">
        <v>17</v>
      </c>
      <c r="E34" s="1315">
        <v>17</v>
      </c>
      <c r="F34" s="1316">
        <v>13</v>
      </c>
      <c r="G34" s="1316">
        <v>19.5</v>
      </c>
      <c r="H34" s="1315">
        <v>6.5</v>
      </c>
      <c r="I34" s="1329">
        <f>29.5*4</f>
        <v>118</v>
      </c>
      <c r="J34" s="1330">
        <v>25</v>
      </c>
      <c r="K34" s="1316">
        <v>6.5</v>
      </c>
      <c r="L34" s="1315">
        <v>6.5</v>
      </c>
      <c r="M34" s="1315" t="s">
        <v>225</v>
      </c>
    </row>
    <row r="35" spans="2:13">
      <c r="B35" s="1327">
        <f>B32*B33*B34</f>
        <v>780</v>
      </c>
      <c r="C35" s="1327">
        <f t="shared" ref="C35:L35" si="3">C32*C33*C34</f>
        <v>780</v>
      </c>
      <c r="D35" s="1327">
        <f t="shared" si="3"/>
        <v>884</v>
      </c>
      <c r="E35" s="1327">
        <f t="shared" si="3"/>
        <v>884</v>
      </c>
      <c r="F35" s="1327">
        <f t="shared" si="3"/>
        <v>676</v>
      </c>
      <c r="G35" s="1327">
        <f t="shared" si="3"/>
        <v>1014</v>
      </c>
      <c r="H35" s="1327">
        <f t="shared" si="3"/>
        <v>338</v>
      </c>
      <c r="I35" s="1330">
        <f t="shared" si="3"/>
        <v>6136</v>
      </c>
      <c r="J35" s="1330">
        <f t="shared" si="3"/>
        <v>2762.5</v>
      </c>
      <c r="K35" s="1327">
        <f t="shared" si="3"/>
        <v>338</v>
      </c>
      <c r="L35" s="1327">
        <f t="shared" si="3"/>
        <v>338</v>
      </c>
      <c r="M35" s="1315" t="s">
        <v>226</v>
      </c>
    </row>
    <row r="36" spans="2:13">
      <c r="B36" s="1331">
        <f>B35*85%</f>
        <v>663</v>
      </c>
      <c r="C36" s="1331">
        <f t="shared" ref="C36:L36" si="4">C35*85%</f>
        <v>663</v>
      </c>
      <c r="D36" s="1331">
        <f t="shared" si="4"/>
        <v>751.4</v>
      </c>
      <c r="E36" s="1331">
        <f t="shared" si="4"/>
        <v>751.4</v>
      </c>
      <c r="F36" s="1331">
        <f t="shared" si="4"/>
        <v>574.6</v>
      </c>
      <c r="G36" s="1331">
        <f t="shared" si="4"/>
        <v>861.9</v>
      </c>
      <c r="H36" s="1331">
        <f t="shared" si="4"/>
        <v>287.3</v>
      </c>
      <c r="I36" s="1331">
        <f t="shared" si="4"/>
        <v>5215.5999999999995</v>
      </c>
      <c r="J36" s="1331">
        <f t="shared" si="4"/>
        <v>2348.125</v>
      </c>
      <c r="K36" s="1331">
        <f t="shared" si="4"/>
        <v>287.3</v>
      </c>
      <c r="L36" s="1331">
        <f t="shared" si="4"/>
        <v>287.3</v>
      </c>
      <c r="M36" s="1315" t="s">
        <v>229</v>
      </c>
    </row>
    <row r="37" spans="2:13">
      <c r="B37" s="1316" t="s">
        <v>246</v>
      </c>
      <c r="I37" s="1332">
        <f>I36+J36</f>
        <v>7563.7249999999995</v>
      </c>
    </row>
    <row r="38" spans="2:13">
      <c r="B38" s="1316" t="s">
        <v>1199</v>
      </c>
    </row>
    <row r="39" spans="2:13">
      <c r="B39" s="1316" t="s">
        <v>247</v>
      </c>
      <c r="C39" s="1333">
        <f>0.05%*7564</f>
        <v>3.782</v>
      </c>
      <c r="D39" s="1315" t="s">
        <v>248</v>
      </c>
    </row>
    <row r="40" spans="2:13">
      <c r="B40" s="1316" t="s">
        <v>249</v>
      </c>
      <c r="C40" s="1334">
        <f>3%*7564</f>
        <v>226.92</v>
      </c>
      <c r="D40" s="1315" t="s">
        <v>248</v>
      </c>
    </row>
    <row r="43" spans="2:13" ht="16.5" customHeight="1">
      <c r="B43" s="1327" t="s">
        <v>1200</v>
      </c>
      <c r="C43" s="1327"/>
      <c r="D43" s="1328"/>
    </row>
    <row r="44" spans="2:13">
      <c r="B44" s="1316" t="s">
        <v>216</v>
      </c>
      <c r="C44" s="1316" t="s">
        <v>217</v>
      </c>
      <c r="D44" s="1315" t="s">
        <v>218</v>
      </c>
      <c r="E44" s="1315" t="s">
        <v>219</v>
      </c>
      <c r="F44" s="1316" t="s">
        <v>220</v>
      </c>
      <c r="G44" s="1316" t="s">
        <v>221</v>
      </c>
      <c r="H44" s="1315" t="s">
        <v>222</v>
      </c>
      <c r="I44" s="1329" t="s">
        <v>223</v>
      </c>
      <c r="J44" s="1330" t="s">
        <v>227</v>
      </c>
      <c r="K44" s="1316" t="s">
        <v>224</v>
      </c>
      <c r="L44" s="1315" t="s">
        <v>185</v>
      </c>
    </row>
    <row r="45" spans="2:13">
      <c r="B45" s="1316">
        <v>16</v>
      </c>
      <c r="C45" s="1316">
        <v>16</v>
      </c>
      <c r="D45" s="1316">
        <v>16</v>
      </c>
      <c r="E45" s="1316">
        <v>16</v>
      </c>
      <c r="F45" s="1316">
        <v>16</v>
      </c>
      <c r="G45" s="1316">
        <v>16</v>
      </c>
      <c r="H45" s="1316">
        <v>16</v>
      </c>
      <c r="I45" s="1333">
        <v>16</v>
      </c>
      <c r="J45" s="1316">
        <v>12</v>
      </c>
      <c r="K45" s="1316">
        <v>16</v>
      </c>
      <c r="L45" s="1316">
        <v>16</v>
      </c>
      <c r="M45" s="1315" t="s">
        <v>225</v>
      </c>
    </row>
    <row r="46" spans="2:13">
      <c r="B46" s="1316">
        <v>22.5</v>
      </c>
      <c r="C46" s="1316">
        <v>30</v>
      </c>
      <c r="D46" s="1316">
        <v>17</v>
      </c>
      <c r="E46" s="1316">
        <v>16.5</v>
      </c>
      <c r="F46" s="1316">
        <v>7.5</v>
      </c>
      <c r="G46" s="1316">
        <v>24</v>
      </c>
      <c r="H46" s="1316">
        <v>6.5</v>
      </c>
      <c r="I46" s="1335">
        <v>180</v>
      </c>
      <c r="J46" s="1330">
        <v>42</v>
      </c>
      <c r="K46" s="1316">
        <v>6.5</v>
      </c>
      <c r="L46" s="1316">
        <v>6.5</v>
      </c>
      <c r="M46" s="1315" t="s">
        <v>225</v>
      </c>
    </row>
    <row r="47" spans="2:13">
      <c r="B47" s="1316">
        <v>6</v>
      </c>
      <c r="C47" s="1316">
        <v>6</v>
      </c>
      <c r="D47" s="1315">
        <v>5</v>
      </c>
      <c r="E47" s="1315">
        <v>6.5</v>
      </c>
      <c r="F47" s="1316">
        <v>6</v>
      </c>
      <c r="G47" s="1315">
        <v>6.5</v>
      </c>
      <c r="H47" s="1315">
        <v>6.5</v>
      </c>
      <c r="I47" s="1336">
        <v>6.4</v>
      </c>
      <c r="J47" s="1330">
        <v>10</v>
      </c>
      <c r="K47" s="1316">
        <v>6.5</v>
      </c>
      <c r="L47" s="1315">
        <v>6</v>
      </c>
      <c r="M47" s="1315" t="s">
        <v>225</v>
      </c>
    </row>
    <row r="48" spans="2:13">
      <c r="B48" s="1327">
        <f>B45*B46*B47</f>
        <v>2160</v>
      </c>
      <c r="C48" s="1327">
        <f t="shared" ref="C48:L48" si="5">C45*C46*C47</f>
        <v>2880</v>
      </c>
      <c r="D48" s="1327">
        <f t="shared" si="5"/>
        <v>1360</v>
      </c>
      <c r="E48" s="1327">
        <f t="shared" si="5"/>
        <v>1716</v>
      </c>
      <c r="F48" s="1327">
        <f t="shared" si="5"/>
        <v>720</v>
      </c>
      <c r="G48" s="1327">
        <f t="shared" si="5"/>
        <v>2496</v>
      </c>
      <c r="H48" s="1327">
        <f t="shared" si="5"/>
        <v>676</v>
      </c>
      <c r="I48" s="1330">
        <f t="shared" si="5"/>
        <v>18432</v>
      </c>
      <c r="J48" s="1330">
        <f t="shared" si="5"/>
        <v>5040</v>
      </c>
      <c r="K48" s="1327">
        <f t="shared" si="5"/>
        <v>676</v>
      </c>
      <c r="L48" s="1327">
        <f t="shared" si="5"/>
        <v>624</v>
      </c>
      <c r="M48" s="1315" t="s">
        <v>226</v>
      </c>
    </row>
    <row r="49" spans="2:13">
      <c r="B49" s="1331">
        <f>B48*85%</f>
        <v>1836</v>
      </c>
      <c r="C49" s="1331">
        <f t="shared" ref="C49:L49" si="6">C48*85%</f>
        <v>2448</v>
      </c>
      <c r="D49" s="1331">
        <f t="shared" si="6"/>
        <v>1156</v>
      </c>
      <c r="E49" s="1331">
        <f t="shared" si="6"/>
        <v>1458.6</v>
      </c>
      <c r="F49" s="1331">
        <f t="shared" si="6"/>
        <v>612</v>
      </c>
      <c r="G49" s="1331">
        <f t="shared" si="6"/>
        <v>2121.6</v>
      </c>
      <c r="H49" s="1331">
        <f t="shared" si="6"/>
        <v>574.6</v>
      </c>
      <c r="I49" s="1331">
        <f t="shared" si="6"/>
        <v>15667.199999999999</v>
      </c>
      <c r="J49" s="1331">
        <f t="shared" si="6"/>
        <v>4284</v>
      </c>
      <c r="K49" s="1331">
        <f t="shared" si="6"/>
        <v>574.6</v>
      </c>
      <c r="L49" s="1331">
        <f t="shared" si="6"/>
        <v>530.4</v>
      </c>
      <c r="M49" s="1315" t="s">
        <v>229</v>
      </c>
    </row>
    <row r="50" spans="2:13">
      <c r="I50" s="1332">
        <f>I49+J49</f>
        <v>19951.199999999997</v>
      </c>
    </row>
    <row r="52" spans="2:13">
      <c r="B52" s="1316" t="s">
        <v>900</v>
      </c>
      <c r="C52" s="1333"/>
    </row>
    <row r="53" spans="2:13">
      <c r="B53" s="1316" t="s">
        <v>897</v>
      </c>
      <c r="C53" s="1334"/>
    </row>
    <row r="54" spans="2:13">
      <c r="B54" s="1316" t="s">
        <v>898</v>
      </c>
    </row>
    <row r="55" spans="2:13">
      <c r="B55" s="1316" t="s">
        <v>1201</v>
      </c>
    </row>
    <row r="56" spans="2:13">
      <c r="B56" s="1316" t="s">
        <v>899</v>
      </c>
    </row>
    <row r="58" spans="2:13">
      <c r="B58" s="1337" t="s">
        <v>1202</v>
      </c>
    </row>
    <row r="59" spans="2:13">
      <c r="B59" s="1316" t="s">
        <v>1203</v>
      </c>
    </row>
    <row r="60" spans="2:13">
      <c r="B60" s="1316" t="s">
        <v>1204</v>
      </c>
    </row>
    <row r="61" spans="2:13">
      <c r="B61" s="1316" t="s">
        <v>1205</v>
      </c>
    </row>
    <row r="64" spans="2:13" ht="22.5" customHeight="1">
      <c r="B64" s="1239" t="s">
        <v>1206</v>
      </c>
      <c r="C64" s="1239"/>
      <c r="D64" s="1240"/>
    </row>
    <row r="65" spans="1:8">
      <c r="B65" s="1316" t="s">
        <v>1207</v>
      </c>
      <c r="C65" s="1316" t="s">
        <v>1208</v>
      </c>
      <c r="D65" s="1315" t="s">
        <v>1209</v>
      </c>
      <c r="E65" s="1315" t="s">
        <v>1210</v>
      </c>
    </row>
    <row r="66" spans="1:8">
      <c r="A66" s="1315" t="s">
        <v>1211</v>
      </c>
      <c r="B66" s="1316">
        <v>12.8</v>
      </c>
      <c r="C66" s="1316">
        <v>12.8</v>
      </c>
      <c r="D66" s="1316">
        <v>12.8</v>
      </c>
      <c r="E66" s="1316">
        <v>12.8</v>
      </c>
      <c r="F66" s="1316" t="s">
        <v>1212</v>
      </c>
    </row>
    <row r="67" spans="1:8">
      <c r="A67" s="1315" t="s">
        <v>1213</v>
      </c>
      <c r="B67" s="1316">
        <v>17</v>
      </c>
      <c r="C67" s="1316">
        <v>19</v>
      </c>
      <c r="D67" s="1315">
        <v>36</v>
      </c>
      <c r="E67" s="1315">
        <v>9</v>
      </c>
      <c r="F67" s="1316" t="s">
        <v>1212</v>
      </c>
    </row>
    <row r="68" spans="1:8">
      <c r="A68" s="1315" t="s">
        <v>1214</v>
      </c>
      <c r="B68" s="1316">
        <v>12.6</v>
      </c>
      <c r="C68" s="1316">
        <v>12.6</v>
      </c>
      <c r="D68" s="1316">
        <v>12.6</v>
      </c>
      <c r="E68" s="1316">
        <v>12.6</v>
      </c>
      <c r="F68" s="1316" t="s">
        <v>1212</v>
      </c>
    </row>
    <row r="69" spans="1:8">
      <c r="B69" s="1338">
        <f>B66*B67*B68</f>
        <v>2741.76</v>
      </c>
      <c r="C69" s="1338">
        <f t="shared" ref="C69:E69" si="7">C66*C67*C68</f>
        <v>3064.32</v>
      </c>
      <c r="D69" s="1338">
        <f t="shared" si="7"/>
        <v>5806.08</v>
      </c>
      <c r="E69" s="1338">
        <f t="shared" si="7"/>
        <v>1451.52</v>
      </c>
      <c r="F69" s="1315" t="s">
        <v>226</v>
      </c>
    </row>
    <row r="70" spans="1:8">
      <c r="B70" s="1339">
        <f>B69*85%</f>
        <v>2330.4960000000001</v>
      </c>
      <c r="C70" s="1339">
        <f t="shared" ref="C70:E70" si="8">C69*85%</f>
        <v>2604.672</v>
      </c>
      <c r="D70" s="1339">
        <f t="shared" si="8"/>
        <v>4935.1679999999997</v>
      </c>
      <c r="E70" s="1339">
        <f t="shared" si="8"/>
        <v>1233.7919999999999</v>
      </c>
      <c r="F70" s="1315" t="s">
        <v>229</v>
      </c>
    </row>
    <row r="73" spans="1:8">
      <c r="B73" s="1340">
        <v>1</v>
      </c>
      <c r="C73" s="1316" t="s">
        <v>1215</v>
      </c>
    </row>
    <row r="74" spans="1:8">
      <c r="B74" s="1316">
        <v>2</v>
      </c>
      <c r="C74" s="1316" t="s">
        <v>1216</v>
      </c>
    </row>
    <row r="76" spans="1:8">
      <c r="A76" s="1315" t="s">
        <v>1219</v>
      </c>
      <c r="G76" s="1327">
        <f>11*25</f>
        <v>275</v>
      </c>
      <c r="H76" s="1315" t="s">
        <v>1217</v>
      </c>
    </row>
    <row r="77" spans="1:8">
      <c r="A77" s="1315" t="s">
        <v>1220</v>
      </c>
      <c r="G77" s="1328">
        <f>25*17</f>
        <v>425</v>
      </c>
      <c r="H77" s="1316" t="s">
        <v>1218</v>
      </c>
    </row>
  </sheetData>
  <mergeCells count="11">
    <mergeCell ref="B18:E19"/>
    <mergeCell ref="B9:C9"/>
    <mergeCell ref="D9:E9"/>
    <mergeCell ref="F9:G9"/>
    <mergeCell ref="H9:I9"/>
    <mergeCell ref="J9:K9"/>
    <mergeCell ref="B8:C8"/>
    <mergeCell ref="D8:E8"/>
    <mergeCell ref="F8:G8"/>
    <mergeCell ref="H8:I8"/>
    <mergeCell ref="J8:K8"/>
  </mergeCells>
  <phoneticPr fontId="6" type="noConversion"/>
  <pageMargins left="0.7" right="0.7" top="0.75" bottom="0.75" header="0.3" footer="0.3"/>
  <pageSetup paperSize="9" orientation="portrait" verticalDpi="0" r:id="rId1"/>
  <drawing r:id="rId2"/>
</worksheet>
</file>

<file path=xl/worksheets/sheet49.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990" customWidth="1"/>
    <col min="2" max="2" width="12.875" style="990" customWidth="1"/>
    <col min="3" max="10" width="12.375" style="990" customWidth="1"/>
    <col min="11" max="16384" width="9" style="990"/>
  </cols>
  <sheetData>
    <row r="1" spans="1:10" ht="32.25" customHeight="1">
      <c r="B1" s="2780" t="s">
        <v>940</v>
      </c>
      <c r="C1" s="2780"/>
      <c r="D1" s="2780"/>
      <c r="E1" s="2780"/>
      <c r="F1" s="2780"/>
      <c r="G1" s="2780"/>
      <c r="H1" s="2780"/>
      <c r="I1" s="2780"/>
      <c r="J1" s="2780"/>
    </row>
    <row r="2" spans="1:10" ht="21" customHeight="1">
      <c r="B2" s="2780" t="s">
        <v>941</v>
      </c>
      <c r="C2" s="2780" t="s">
        <v>942</v>
      </c>
      <c r="D2" s="2780"/>
      <c r="E2" s="2780"/>
      <c r="F2" s="2780"/>
      <c r="G2" s="2780"/>
      <c r="H2" s="2780"/>
      <c r="I2" s="2780"/>
      <c r="J2" s="2780"/>
    </row>
    <row r="3" spans="1:10" ht="21" customHeight="1">
      <c r="B3" s="2780"/>
      <c r="C3" s="991">
        <v>1</v>
      </c>
      <c r="D3" s="991">
        <v>2</v>
      </c>
      <c r="E3" s="991">
        <v>3</v>
      </c>
      <c r="F3" s="991">
        <v>4</v>
      </c>
      <c r="G3" s="991">
        <v>5</v>
      </c>
      <c r="H3" s="991">
        <v>6</v>
      </c>
      <c r="I3" s="991">
        <v>7</v>
      </c>
      <c r="J3" s="991">
        <v>8</v>
      </c>
    </row>
    <row r="4" spans="1:10" ht="21" customHeight="1">
      <c r="A4" s="990" t="s">
        <v>943</v>
      </c>
      <c r="B4" s="992" t="s">
        <v>944</v>
      </c>
      <c r="C4" s="993" t="s">
        <v>945</v>
      </c>
      <c r="D4" s="993" t="s">
        <v>946</v>
      </c>
      <c r="E4" s="993" t="s">
        <v>947</v>
      </c>
      <c r="F4" s="993"/>
      <c r="G4" s="993" t="s">
        <v>948</v>
      </c>
      <c r="H4" s="993" t="s">
        <v>949</v>
      </c>
      <c r="I4" s="993" t="s">
        <v>950</v>
      </c>
      <c r="J4" s="993" t="s">
        <v>951</v>
      </c>
    </row>
    <row r="5" spans="1:10" ht="21" customHeight="1">
      <c r="A5" s="990" t="s">
        <v>943</v>
      </c>
      <c r="B5" s="992" t="s">
        <v>952</v>
      </c>
      <c r="C5" s="993" t="s">
        <v>945</v>
      </c>
      <c r="D5" s="993" t="s">
        <v>946</v>
      </c>
      <c r="E5" s="993" t="s">
        <v>947</v>
      </c>
      <c r="F5" s="993"/>
      <c r="G5" s="993" t="s">
        <v>948</v>
      </c>
      <c r="H5" s="993" t="s">
        <v>949</v>
      </c>
      <c r="I5" s="993" t="s">
        <v>950</v>
      </c>
      <c r="J5" s="993" t="s">
        <v>951</v>
      </c>
    </row>
    <row r="6" spans="1:10" ht="21" customHeight="1">
      <c r="A6" s="990" t="s">
        <v>953</v>
      </c>
      <c r="B6" s="992" t="s">
        <v>954</v>
      </c>
      <c r="C6" s="993" t="s">
        <v>945</v>
      </c>
      <c r="D6" s="993" t="s">
        <v>946</v>
      </c>
      <c r="E6" s="993" t="s">
        <v>947</v>
      </c>
      <c r="F6" s="993"/>
      <c r="G6" s="993" t="s">
        <v>948</v>
      </c>
      <c r="H6" s="993" t="s">
        <v>949</v>
      </c>
      <c r="I6" s="993" t="s">
        <v>950</v>
      </c>
      <c r="J6" s="993" t="s">
        <v>951</v>
      </c>
    </row>
    <row r="7" spans="1:10" ht="21" customHeight="1">
      <c r="A7" s="990" t="s">
        <v>955</v>
      </c>
      <c r="B7" s="992" t="s">
        <v>956</v>
      </c>
      <c r="C7" s="993" t="s">
        <v>945</v>
      </c>
      <c r="D7" s="994"/>
      <c r="E7" s="993" t="s">
        <v>947</v>
      </c>
      <c r="F7" s="993" t="s">
        <v>957</v>
      </c>
      <c r="G7" s="993" t="s">
        <v>948</v>
      </c>
      <c r="H7" s="993"/>
      <c r="I7" s="993" t="s">
        <v>950</v>
      </c>
      <c r="J7" s="993" t="s">
        <v>951</v>
      </c>
    </row>
    <row r="8" spans="1:10" ht="21" customHeight="1">
      <c r="A8" s="990" t="s">
        <v>955</v>
      </c>
      <c r="B8" s="992" t="s">
        <v>958</v>
      </c>
      <c r="C8" s="993" t="s">
        <v>945</v>
      </c>
      <c r="D8" s="994"/>
      <c r="E8" s="993" t="s">
        <v>947</v>
      </c>
      <c r="F8" s="993" t="s">
        <v>957</v>
      </c>
      <c r="G8" s="993" t="s">
        <v>948</v>
      </c>
      <c r="H8" s="993"/>
      <c r="I8" s="993" t="s">
        <v>950</v>
      </c>
      <c r="J8" s="993" t="s">
        <v>951</v>
      </c>
    </row>
    <row r="9" spans="1:10" ht="21" customHeight="1">
      <c r="A9" s="990" t="s">
        <v>955</v>
      </c>
      <c r="B9" s="992" t="s">
        <v>959</v>
      </c>
      <c r="C9" s="993" t="s">
        <v>945</v>
      </c>
      <c r="D9" s="994"/>
      <c r="E9" s="993" t="s">
        <v>947</v>
      </c>
      <c r="F9" s="993" t="s">
        <v>957</v>
      </c>
      <c r="G9" s="993" t="s">
        <v>948</v>
      </c>
      <c r="H9" s="993"/>
      <c r="I9" s="993" t="s">
        <v>950</v>
      </c>
      <c r="J9" s="993" t="s">
        <v>951</v>
      </c>
    </row>
    <row r="10" spans="1:10" ht="21" customHeight="1">
      <c r="A10" s="990" t="s">
        <v>960</v>
      </c>
      <c r="B10" s="992" t="s">
        <v>961</v>
      </c>
      <c r="C10" s="993" t="s">
        <v>945</v>
      </c>
      <c r="D10" s="993"/>
      <c r="E10" s="993"/>
      <c r="F10" s="993"/>
      <c r="G10" s="993" t="s">
        <v>948</v>
      </c>
      <c r="H10" s="993"/>
      <c r="I10" s="993"/>
      <c r="J10" s="993"/>
    </row>
    <row r="11" spans="1:10" ht="21" customHeight="1">
      <c r="A11" s="990" t="s">
        <v>962</v>
      </c>
      <c r="B11" s="992" t="s">
        <v>963</v>
      </c>
      <c r="C11" s="993" t="s">
        <v>945</v>
      </c>
      <c r="D11" s="993"/>
      <c r="E11" s="993"/>
      <c r="F11" s="993" t="s">
        <v>957</v>
      </c>
      <c r="G11" s="993"/>
      <c r="H11" s="993"/>
      <c r="I11" s="993"/>
      <c r="J11" s="993"/>
    </row>
  </sheetData>
  <mergeCells count="3">
    <mergeCell ref="B1:J1"/>
    <mergeCell ref="B2:B3"/>
    <mergeCell ref="C2:J2"/>
  </mergeCells>
  <phoneticPr fontId="6" type="noConversion"/>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52" customWidth="1"/>
    <col min="2" max="2" width="13" style="352" customWidth="1"/>
    <col min="3" max="3" width="33.125" style="352" customWidth="1"/>
    <col min="4" max="5" width="12.625" style="352" customWidth="1"/>
    <col min="6" max="6" width="27.5" style="352" customWidth="1"/>
    <col min="7" max="7" width="12.5" style="874" bestFit="1" customWidth="1"/>
    <col min="8" max="8" width="12.5" style="874" customWidth="1"/>
    <col min="9" max="9" width="12.5" style="875" customWidth="1"/>
    <col min="10" max="10" width="13.375" style="874" bestFit="1" customWidth="1"/>
    <col min="11" max="11" width="13.375" style="874" customWidth="1"/>
    <col min="12" max="12" width="13.375" style="875" customWidth="1"/>
    <col min="13" max="13" width="13.375" style="874" bestFit="1" customWidth="1"/>
    <col min="14" max="14" width="13.375" style="874" customWidth="1"/>
    <col min="15" max="15" width="13.375" style="875" customWidth="1"/>
    <col min="16" max="16" width="15.125" style="874" customWidth="1"/>
    <col min="17" max="17" width="11.75" style="874" customWidth="1"/>
    <col min="18" max="18" width="10.125" style="875" customWidth="1"/>
    <col min="19" max="19" width="10.125" style="874" bestFit="1" customWidth="1"/>
    <col min="20" max="20" width="10.125" style="353" customWidth="1"/>
    <col min="21" max="21" width="10.125" style="349" customWidth="1"/>
    <col min="22" max="22" width="10.125" style="874" bestFit="1" customWidth="1"/>
    <col min="23" max="23" width="10.125" style="353" customWidth="1"/>
    <col min="24" max="24" width="10.125" style="349" customWidth="1"/>
    <col min="25" max="25" width="9" style="349"/>
    <col min="26" max="37" width="9" style="349" hidden="1" customWidth="1"/>
    <col min="38" max="16384" width="9" style="349"/>
  </cols>
  <sheetData>
    <row r="1" spans="1:49" ht="71.45" customHeight="1">
      <c r="A1" s="852" t="s">
        <v>351</v>
      </c>
      <c r="B1" s="852"/>
      <c r="C1" s="852"/>
      <c r="D1" s="852"/>
      <c r="E1" s="852"/>
      <c r="F1" s="852"/>
      <c r="G1" s="870"/>
      <c r="H1" s="870"/>
      <c r="I1" s="870"/>
      <c r="J1" s="870"/>
      <c r="K1" s="870"/>
      <c r="L1" s="870"/>
      <c r="M1" s="870"/>
      <c r="N1" s="870"/>
      <c r="O1" s="870"/>
      <c r="P1" s="870"/>
      <c r="Q1" s="870"/>
      <c r="R1" s="870"/>
      <c r="S1" s="870"/>
      <c r="T1" s="852"/>
      <c r="U1" s="852"/>
      <c r="V1" s="870"/>
      <c r="W1" s="853"/>
      <c r="X1" s="854"/>
    </row>
    <row r="2" spans="1:49" s="354" customFormat="1" ht="15">
      <c r="A2" s="351" t="s">
        <v>352</v>
      </c>
      <c r="B2" s="351" t="s">
        <v>353</v>
      </c>
      <c r="C2" s="351" t="s">
        <v>354</v>
      </c>
      <c r="D2" s="351" t="s">
        <v>355</v>
      </c>
      <c r="E2" s="351" t="s">
        <v>356</v>
      </c>
      <c r="F2" s="351" t="s">
        <v>357</v>
      </c>
      <c r="G2" s="871" t="s">
        <v>358</v>
      </c>
      <c r="H2" s="871" t="s">
        <v>359</v>
      </c>
      <c r="I2" s="872" t="s">
        <v>360</v>
      </c>
      <c r="J2" s="871" t="s">
        <v>361</v>
      </c>
      <c r="K2" s="871" t="s">
        <v>362</v>
      </c>
      <c r="L2" s="872" t="s">
        <v>363</v>
      </c>
      <c r="M2" s="871" t="s">
        <v>364</v>
      </c>
      <c r="N2" s="871" t="s">
        <v>365</v>
      </c>
      <c r="O2" s="872" t="s">
        <v>366</v>
      </c>
      <c r="P2" s="871" t="s">
        <v>367</v>
      </c>
      <c r="Q2" s="871" t="s">
        <v>368</v>
      </c>
      <c r="R2" s="872" t="s">
        <v>369</v>
      </c>
      <c r="S2" s="871" t="s">
        <v>370</v>
      </c>
      <c r="T2" s="350" t="s">
        <v>371</v>
      </c>
      <c r="U2" s="351" t="s">
        <v>372</v>
      </c>
      <c r="V2" s="871" t="s">
        <v>373</v>
      </c>
      <c r="W2" s="350" t="s">
        <v>374</v>
      </c>
      <c r="X2" s="351" t="s">
        <v>375</v>
      </c>
      <c r="Z2" s="865">
        <v>1</v>
      </c>
      <c r="AA2" s="865" t="s">
        <v>876</v>
      </c>
      <c r="AB2" s="865">
        <v>2</v>
      </c>
      <c r="AC2" s="865" t="s">
        <v>876</v>
      </c>
      <c r="AD2" s="865">
        <v>3</v>
      </c>
      <c r="AE2" s="865" t="s">
        <v>876</v>
      </c>
      <c r="AF2" s="865">
        <v>4</v>
      </c>
      <c r="AG2" s="865" t="s">
        <v>876</v>
      </c>
      <c r="AH2" s="865">
        <v>5</v>
      </c>
      <c r="AI2" s="865" t="s">
        <v>876</v>
      </c>
      <c r="AJ2" s="865">
        <v>6</v>
      </c>
      <c r="AK2" s="865" t="s">
        <v>876</v>
      </c>
      <c r="AL2" s="883">
        <v>1</v>
      </c>
      <c r="AM2" s="883" t="s">
        <v>876</v>
      </c>
      <c r="AN2" s="883">
        <v>2</v>
      </c>
      <c r="AO2" s="883" t="s">
        <v>876</v>
      </c>
      <c r="AP2" s="883">
        <v>3</v>
      </c>
      <c r="AQ2" s="883" t="s">
        <v>876</v>
      </c>
      <c r="AR2" s="883">
        <v>4</v>
      </c>
      <c r="AS2" s="883" t="s">
        <v>876</v>
      </c>
      <c r="AT2" s="883">
        <v>5</v>
      </c>
      <c r="AU2" s="883" t="s">
        <v>876</v>
      </c>
      <c r="AV2" s="883">
        <v>6</v>
      </c>
      <c r="AW2" s="883" t="s">
        <v>876</v>
      </c>
    </row>
    <row r="3" spans="1:49" s="354" customFormat="1" ht="15">
      <c r="A3" s="351" t="s">
        <v>376</v>
      </c>
      <c r="B3" s="351" t="s">
        <v>377</v>
      </c>
      <c r="C3" s="351" t="s">
        <v>378</v>
      </c>
      <c r="D3" s="351" t="s">
        <v>379</v>
      </c>
      <c r="E3" s="351" t="s">
        <v>380</v>
      </c>
      <c r="F3" s="351" t="s">
        <v>381</v>
      </c>
      <c r="G3" s="871" t="s">
        <v>382</v>
      </c>
      <c r="H3" s="871" t="s">
        <v>383</v>
      </c>
      <c r="I3" s="872" t="s">
        <v>1</v>
      </c>
      <c r="J3" s="871" t="s">
        <v>384</v>
      </c>
      <c r="K3" s="871"/>
      <c r="L3" s="872" t="s">
        <v>1</v>
      </c>
      <c r="M3" s="871" t="s">
        <v>385</v>
      </c>
      <c r="N3" s="871"/>
      <c r="O3" s="872" t="s">
        <v>1</v>
      </c>
      <c r="P3" s="871" t="s">
        <v>386</v>
      </c>
      <c r="Q3" s="871"/>
      <c r="R3" s="872" t="s">
        <v>1</v>
      </c>
      <c r="S3" s="871" t="s">
        <v>387</v>
      </c>
      <c r="T3" s="350"/>
      <c r="U3" s="351" t="s">
        <v>1</v>
      </c>
      <c r="V3" s="871" t="s">
        <v>388</v>
      </c>
      <c r="W3" s="350"/>
      <c r="X3" s="351" t="s">
        <v>1</v>
      </c>
    </row>
    <row r="4" spans="1:49" s="356" customFormat="1">
      <c r="A4" s="925" t="str">
        <f>'1. XL-1E kh'!G3</f>
        <v>2023/03/21</v>
      </c>
      <c r="B4" s="355" t="s">
        <v>268</v>
      </c>
      <c r="C4" s="355" t="str">
        <f t="shared" ref="C4:C33" si="0">IFERROR(VLOOKUP($B4,_XM_XT_THUCTE,3,0),"")</f>
        <v xml:space="preserve">Xà bông (1)脫脂 </v>
      </c>
      <c r="D4" s="355" t="str">
        <f t="shared" ref="D4:D33" si="1">IFERROR(VLOOKUP($B4,_XM_XT_THUCTE,2,0),"")</f>
        <v>XL-001E</v>
      </c>
      <c r="E4" s="355" t="str">
        <f t="shared" ref="E4:E33" si="2">IFERROR(VLOOKUP($B4,_XM_XT_THUCTE,4,0),"")</f>
        <v>g/L</v>
      </c>
      <c r="F4" s="355" t="str">
        <f t="shared" ref="F4:F33" si="3">IFERROR(VLOOKUP($B4,_XM_XT_THUCTE,5,0),"")</f>
        <v>25~35</v>
      </c>
      <c r="G4" s="868">
        <f t="shared" ref="G4:G33" si="4">IFERROR(VLOOKUP($B4,_XM_XT_THUCTE,8,0),"")</f>
        <v>0</v>
      </c>
      <c r="H4" s="868" t="str">
        <f t="shared" ref="H4:H33" si="5">IFERROR(VLOOKUP($B4,_XM_XT_THUCTE,11,0),"")</f>
        <v>+</v>
      </c>
      <c r="I4" s="873">
        <f t="shared" ref="I4:I33" si="6">IFERROR(VLOOKUP($B4,_XM_XT_THUCTE,12,0),"")</f>
        <v>0</v>
      </c>
      <c r="J4" s="868">
        <f t="shared" ref="J4:J44" si="7">IFERROR(VLOOKUP($B4,_XM_XT_THUCTE,14,0),"")</f>
        <v>0</v>
      </c>
      <c r="K4" s="868" t="str">
        <f t="shared" ref="K4:K33" si="8">IFERROR(VLOOKUP($B4,_XM_XT_THUCTE,17,0),"")</f>
        <v>+</v>
      </c>
      <c r="L4" s="873">
        <f t="shared" ref="L4:L33" si="9">IFERROR(VLOOKUP($B4,_XM_XT_THUCTE,18,0),"")</f>
        <v>0</v>
      </c>
      <c r="M4" s="868">
        <f t="shared" ref="M4:M33" si="10">IFERROR(VLOOKUP($B4,_XM_XT_THUCTE,20,0),"")</f>
        <v>0</v>
      </c>
      <c r="N4" s="868" t="str">
        <f t="shared" ref="N4:N33" si="11">IFERROR(VLOOKUP($B4,_XM_XT_THUCTE,23,0),"")</f>
        <v>+</v>
      </c>
      <c r="O4" s="873">
        <f t="shared" ref="O4:O33" si="12">IFERROR(VLOOKUP($B4,_XM_XT_THUCTE,24,0),"")</f>
        <v>0</v>
      </c>
      <c r="P4" s="868">
        <f t="shared" ref="P4:P33" si="13">IFERROR(VLOOKUP($B4,_XM_XT_THUCTE,26,0),"")</f>
        <v>0</v>
      </c>
      <c r="Q4" s="868" t="str">
        <f t="shared" ref="Q4:Q33" si="14">IFERROR(VLOOKUP($B4,_XM_XT_THUCTE,29,0),"")</f>
        <v>+</v>
      </c>
      <c r="R4" s="873">
        <f t="shared" ref="R4:R33" si="15">IFERROR(VLOOKUP($B4,_XM_XT_THUCTE,30,0),"")</f>
        <v>0</v>
      </c>
      <c r="S4" s="868">
        <f t="shared" ref="S4:S33" si="16">IFERROR(VLOOKUP($B4,_XM_XT_THUCTE,32,0),"")</f>
        <v>0</v>
      </c>
      <c r="T4" s="861" t="str">
        <f t="shared" ref="T4:T33" si="17">IFERROR(VLOOKUP($B4,_XM_XT_THUCTE,35,0),"")</f>
        <v>+</v>
      </c>
      <c r="U4" s="862">
        <f t="shared" ref="U4:U33" si="18">IFERROR(VLOOKUP($B4,_XM_XT_THUCTE,36,0),"")</f>
        <v>0</v>
      </c>
      <c r="V4" s="868">
        <f t="shared" ref="V4:V33" si="19">IFERROR(VLOOKUP($B4,_XM_XT_THUCTE,38,0),"")</f>
        <v>0</v>
      </c>
      <c r="W4" s="861" t="str">
        <f t="shared" ref="W4:W33" si="20">IFERROR(VLOOKUP($B4,_XM_XT_THUCTE,41,0),"")</f>
        <v>+</v>
      </c>
      <c r="X4" s="862">
        <f t="shared" ref="X4:X33" si="21">IFERROR(VLOOKUP($B4,_XM_XT_THUCTE,42,0),"")</f>
        <v>0</v>
      </c>
      <c r="Z4" s="356" t="b">
        <f>ISNUMBER(G4)</f>
        <v>1</v>
      </c>
      <c r="AA4" s="356" t="b">
        <f>ISNUMBER(H4)</f>
        <v>0</v>
      </c>
      <c r="AB4" s="356" t="b">
        <f>ISNUMBER(J4)</f>
        <v>1</v>
      </c>
      <c r="AC4" s="356" t="b">
        <f>ISNUMBER(K4)</f>
        <v>0</v>
      </c>
      <c r="AD4" s="356" t="b">
        <f>ISNUMBER(M4)</f>
        <v>1</v>
      </c>
      <c r="AE4" s="356" t="b">
        <f>ISNUMBER(N4)</f>
        <v>0</v>
      </c>
      <c r="AF4" s="356" t="b">
        <f>ISNUMBER(P4)</f>
        <v>1</v>
      </c>
      <c r="AG4" s="356" t="b">
        <f>ISNUMBER(Q4)</f>
        <v>0</v>
      </c>
      <c r="AH4" s="356" t="b">
        <f>ISNUMBER(S4)</f>
        <v>1</v>
      </c>
      <c r="AI4" s="356" t="b">
        <f>ISNUMBER(T4)</f>
        <v>0</v>
      </c>
      <c r="AJ4" s="356" t="b">
        <f>ISNUMBER(V4)</f>
        <v>1</v>
      </c>
      <c r="AK4" s="356" t="b">
        <f>ISNUMBER(W4)</f>
        <v>0</v>
      </c>
      <c r="AL4" s="893" t="str">
        <f t="shared" ref="AL4:AW4" si="22">IF(Z4=TRUE,"",1)</f>
        <v/>
      </c>
      <c r="AM4" s="894">
        <f t="shared" si="22"/>
        <v>1</v>
      </c>
      <c r="AN4" s="894" t="str">
        <f t="shared" si="22"/>
        <v/>
      </c>
      <c r="AO4" s="894">
        <f t="shared" si="22"/>
        <v>1</v>
      </c>
      <c r="AP4" s="894" t="str">
        <f t="shared" si="22"/>
        <v/>
      </c>
      <c r="AQ4" s="894">
        <f t="shared" si="22"/>
        <v>1</v>
      </c>
      <c r="AR4" s="894" t="str">
        <f t="shared" si="22"/>
        <v/>
      </c>
      <c r="AS4" s="894">
        <f t="shared" si="22"/>
        <v>1</v>
      </c>
      <c r="AT4" s="894" t="str">
        <f t="shared" si="22"/>
        <v/>
      </c>
      <c r="AU4" s="894">
        <f t="shared" si="22"/>
        <v>1</v>
      </c>
      <c r="AV4" s="894" t="str">
        <f t="shared" si="22"/>
        <v/>
      </c>
      <c r="AW4" s="899">
        <f t="shared" si="22"/>
        <v>1</v>
      </c>
    </row>
    <row r="5" spans="1:49" s="356" customFormat="1">
      <c r="A5" s="880" t="str">
        <f>IF(B5="","",$A$4)</f>
        <v>2023/03/21</v>
      </c>
      <c r="B5" s="355" t="s">
        <v>269</v>
      </c>
      <c r="C5" s="355" t="str">
        <f t="shared" si="0"/>
        <v xml:space="preserve">Xà bông (2)脫脂 </v>
      </c>
      <c r="D5" s="355" t="str">
        <f t="shared" si="1"/>
        <v>XL-001E</v>
      </c>
      <c r="E5" s="355" t="str">
        <f t="shared" si="2"/>
        <v>g/L</v>
      </c>
      <c r="F5" s="355" t="str">
        <f t="shared" si="3"/>
        <v>25~35</v>
      </c>
      <c r="G5" s="868">
        <f t="shared" si="4"/>
        <v>0</v>
      </c>
      <c r="H5" s="868" t="str">
        <f t="shared" si="5"/>
        <v>+</v>
      </c>
      <c r="I5" s="873">
        <f t="shared" si="6"/>
        <v>0</v>
      </c>
      <c r="J5" s="868">
        <f t="shared" si="7"/>
        <v>0</v>
      </c>
      <c r="K5" s="868" t="str">
        <f t="shared" si="8"/>
        <v>+</v>
      </c>
      <c r="L5" s="873">
        <f t="shared" si="9"/>
        <v>0</v>
      </c>
      <c r="M5" s="868">
        <f t="shared" si="10"/>
        <v>0</v>
      </c>
      <c r="N5" s="868" t="str">
        <f t="shared" si="11"/>
        <v>+</v>
      </c>
      <c r="O5" s="873">
        <f t="shared" si="12"/>
        <v>0</v>
      </c>
      <c r="P5" s="868">
        <f t="shared" si="13"/>
        <v>0</v>
      </c>
      <c r="Q5" s="868" t="str">
        <f t="shared" si="14"/>
        <v>+</v>
      </c>
      <c r="R5" s="873">
        <f t="shared" si="15"/>
        <v>0</v>
      </c>
      <c r="S5" s="868">
        <f t="shared" si="16"/>
        <v>0</v>
      </c>
      <c r="T5" s="861" t="str">
        <f t="shared" si="17"/>
        <v>+</v>
      </c>
      <c r="U5" s="862">
        <f t="shared" si="18"/>
        <v>0</v>
      </c>
      <c r="V5" s="868">
        <f t="shared" si="19"/>
        <v>0</v>
      </c>
      <c r="W5" s="861" t="str">
        <f t="shared" si="20"/>
        <v>+</v>
      </c>
      <c r="X5" s="862">
        <f t="shared" si="21"/>
        <v>0</v>
      </c>
      <c r="Z5" s="356" t="b">
        <f t="shared" ref="Z5:Z68" si="23">ISNUMBER(G5)</f>
        <v>1</v>
      </c>
      <c r="AA5" s="356" t="b">
        <f t="shared" ref="AA5:AA68" si="24">ISNUMBER(H5)</f>
        <v>0</v>
      </c>
      <c r="AB5" s="356" t="b">
        <f t="shared" ref="AB5:AB68" si="25">ISNUMBER(J5)</f>
        <v>1</v>
      </c>
      <c r="AC5" s="356" t="b">
        <f t="shared" ref="AC5:AC68" si="26">ISNUMBER(K5)</f>
        <v>0</v>
      </c>
      <c r="AD5" s="356" t="b">
        <f t="shared" ref="AD5:AD68" si="27">ISNUMBER(M5)</f>
        <v>1</v>
      </c>
      <c r="AE5" s="356" t="b">
        <f t="shared" ref="AE5:AE68" si="28">ISNUMBER(N5)</f>
        <v>0</v>
      </c>
      <c r="AF5" s="356" t="b">
        <f t="shared" ref="AF5:AF68" si="29">ISNUMBER(P5)</f>
        <v>1</v>
      </c>
      <c r="AG5" s="356" t="b">
        <f t="shared" ref="AG5:AG68" si="30">ISNUMBER(Q5)</f>
        <v>0</v>
      </c>
      <c r="AH5" s="356" t="b">
        <f t="shared" ref="AH5:AH68" si="31">ISNUMBER(S5)</f>
        <v>1</v>
      </c>
      <c r="AI5" s="356" t="b">
        <f t="shared" ref="AI5:AI68" si="32">ISNUMBER(T5)</f>
        <v>0</v>
      </c>
      <c r="AJ5" s="356" t="b">
        <f t="shared" ref="AJ5:AJ68" si="33">ISNUMBER(V5)</f>
        <v>1</v>
      </c>
      <c r="AK5" s="356" t="b">
        <f t="shared" ref="AK5:AK68" si="34">ISNUMBER(W5)</f>
        <v>0</v>
      </c>
      <c r="AL5" s="895" t="str">
        <f t="shared" ref="AL5:AL68" si="35">IF(Z5=TRUE,"",1)</f>
        <v/>
      </c>
      <c r="AM5" s="896">
        <f t="shared" ref="AM5:AM68" si="36">IF(AA5=TRUE,"",1)</f>
        <v>1</v>
      </c>
      <c r="AN5" s="896" t="str">
        <f t="shared" ref="AN5:AN68" si="37">IF(AB5=TRUE,"",1)</f>
        <v/>
      </c>
      <c r="AO5" s="896">
        <f t="shared" ref="AO5:AO68" si="38">IF(AC5=TRUE,"",1)</f>
        <v>1</v>
      </c>
      <c r="AP5" s="896" t="str">
        <f t="shared" ref="AP5:AP68" si="39">IF(AD5=TRUE,"",1)</f>
        <v/>
      </c>
      <c r="AQ5" s="896">
        <f t="shared" ref="AQ5:AQ68" si="40">IF(AE5=TRUE,"",1)</f>
        <v>1</v>
      </c>
      <c r="AR5" s="896" t="str">
        <f t="shared" ref="AR5:AR68" si="41">IF(AF5=TRUE,"",1)</f>
        <v/>
      </c>
      <c r="AS5" s="896">
        <f t="shared" ref="AS5:AS68" si="42">IF(AG5=TRUE,"",1)</f>
        <v>1</v>
      </c>
      <c r="AT5" s="896" t="str">
        <f t="shared" ref="AT5:AT68" si="43">IF(AH5=TRUE,"",1)</f>
        <v/>
      </c>
      <c r="AU5" s="896">
        <f t="shared" ref="AU5:AU68" si="44">IF(AI5=TRUE,"",1)</f>
        <v>1</v>
      </c>
      <c r="AV5" s="896" t="str">
        <f t="shared" ref="AV5:AW68" si="45">IF(AJ5=TRUE,"",1)</f>
        <v/>
      </c>
      <c r="AW5" s="900">
        <f t="shared" si="45"/>
        <v>1</v>
      </c>
    </row>
    <row r="6" spans="1:49" s="356" customFormat="1">
      <c r="A6" s="880" t="str">
        <f t="shared" ref="A6:A61" si="46">IF(B6="","",$A$4)</f>
        <v>2023/03/21</v>
      </c>
      <c r="B6" s="355" t="s">
        <v>270</v>
      </c>
      <c r="C6" s="355" t="str">
        <f t="shared" si="0"/>
        <v xml:space="preserve">điện giải(1)+電解  </v>
      </c>
      <c r="D6" s="355" t="str">
        <f t="shared" si="1"/>
        <v>XL-001E</v>
      </c>
      <c r="E6" s="355" t="str">
        <f t="shared" si="2"/>
        <v>g/L</v>
      </c>
      <c r="F6" s="355" t="str">
        <f t="shared" si="3"/>
        <v>60~80</v>
      </c>
      <c r="G6" s="868">
        <f t="shared" si="4"/>
        <v>0</v>
      </c>
      <c r="H6" s="868" t="str">
        <f t="shared" si="5"/>
        <v>+</v>
      </c>
      <c r="I6" s="873">
        <f t="shared" si="6"/>
        <v>0</v>
      </c>
      <c r="J6" s="868">
        <f t="shared" si="7"/>
        <v>0</v>
      </c>
      <c r="K6" s="868" t="str">
        <f t="shared" si="8"/>
        <v>+</v>
      </c>
      <c r="L6" s="873">
        <f t="shared" si="9"/>
        <v>0</v>
      </c>
      <c r="M6" s="868">
        <f t="shared" si="10"/>
        <v>0</v>
      </c>
      <c r="N6" s="868" t="str">
        <f t="shared" si="11"/>
        <v>+</v>
      </c>
      <c r="O6" s="873">
        <f t="shared" si="12"/>
        <v>0</v>
      </c>
      <c r="P6" s="868">
        <f t="shared" si="13"/>
        <v>0</v>
      </c>
      <c r="Q6" s="868" t="str">
        <f t="shared" si="14"/>
        <v>+</v>
      </c>
      <c r="R6" s="873">
        <f t="shared" si="15"/>
        <v>0</v>
      </c>
      <c r="S6" s="868">
        <f t="shared" si="16"/>
        <v>0</v>
      </c>
      <c r="T6" s="861" t="str">
        <f t="shared" si="17"/>
        <v>+</v>
      </c>
      <c r="U6" s="862">
        <f t="shared" si="18"/>
        <v>0</v>
      </c>
      <c r="V6" s="868">
        <f t="shared" si="19"/>
        <v>0</v>
      </c>
      <c r="W6" s="861" t="str">
        <f t="shared" si="20"/>
        <v>+</v>
      </c>
      <c r="X6" s="862">
        <f t="shared" si="21"/>
        <v>0</v>
      </c>
      <c r="Z6" s="356" t="b">
        <f t="shared" si="23"/>
        <v>1</v>
      </c>
      <c r="AA6" s="356" t="b">
        <f t="shared" si="24"/>
        <v>0</v>
      </c>
      <c r="AB6" s="356" t="b">
        <f t="shared" si="25"/>
        <v>1</v>
      </c>
      <c r="AC6" s="356" t="b">
        <f t="shared" si="26"/>
        <v>0</v>
      </c>
      <c r="AD6" s="356" t="b">
        <f t="shared" si="27"/>
        <v>1</v>
      </c>
      <c r="AE6" s="356" t="b">
        <f t="shared" si="28"/>
        <v>0</v>
      </c>
      <c r="AF6" s="356" t="b">
        <f t="shared" si="29"/>
        <v>1</v>
      </c>
      <c r="AG6" s="356" t="b">
        <f t="shared" si="30"/>
        <v>0</v>
      </c>
      <c r="AH6" s="356" t="b">
        <f t="shared" si="31"/>
        <v>1</v>
      </c>
      <c r="AI6" s="356" t="b">
        <f t="shared" si="32"/>
        <v>0</v>
      </c>
      <c r="AJ6" s="356" t="b">
        <f t="shared" si="33"/>
        <v>1</v>
      </c>
      <c r="AK6" s="356" t="b">
        <f t="shared" si="34"/>
        <v>0</v>
      </c>
      <c r="AL6" s="895" t="str">
        <f t="shared" si="35"/>
        <v/>
      </c>
      <c r="AM6" s="896">
        <f t="shared" si="36"/>
        <v>1</v>
      </c>
      <c r="AN6" s="896" t="str">
        <f t="shared" si="37"/>
        <v/>
      </c>
      <c r="AO6" s="896">
        <f t="shared" si="38"/>
        <v>1</v>
      </c>
      <c r="AP6" s="896" t="str">
        <f t="shared" si="39"/>
        <v/>
      </c>
      <c r="AQ6" s="896">
        <f t="shared" si="40"/>
        <v>1</v>
      </c>
      <c r="AR6" s="896" t="str">
        <f t="shared" si="41"/>
        <v/>
      </c>
      <c r="AS6" s="896">
        <f t="shared" si="42"/>
        <v>1</v>
      </c>
      <c r="AT6" s="896" t="str">
        <f t="shared" si="43"/>
        <v/>
      </c>
      <c r="AU6" s="896">
        <f t="shared" si="44"/>
        <v>1</v>
      </c>
      <c r="AV6" s="896" t="str">
        <f t="shared" si="45"/>
        <v/>
      </c>
      <c r="AW6" s="900">
        <f t="shared" si="45"/>
        <v>1</v>
      </c>
    </row>
    <row r="7" spans="1:49" s="356" customFormat="1">
      <c r="A7" s="880" t="str">
        <f t="shared" si="46"/>
        <v>2023/03/21</v>
      </c>
      <c r="B7" s="355" t="s">
        <v>271</v>
      </c>
      <c r="C7" s="355" t="str">
        <f t="shared" si="0"/>
        <v xml:space="preserve">điện giải (2)+電解  </v>
      </c>
      <c r="D7" s="355" t="str">
        <f t="shared" si="1"/>
        <v>XL-001E</v>
      </c>
      <c r="E7" s="355" t="str">
        <f t="shared" si="2"/>
        <v>g/L</v>
      </c>
      <c r="F7" s="355" t="str">
        <f t="shared" si="3"/>
        <v>60~80</v>
      </c>
      <c r="G7" s="868">
        <f t="shared" si="4"/>
        <v>0</v>
      </c>
      <c r="H7" s="868" t="str">
        <f t="shared" si="5"/>
        <v>+</v>
      </c>
      <c r="I7" s="873">
        <f t="shared" si="6"/>
        <v>0</v>
      </c>
      <c r="J7" s="868">
        <f t="shared" si="7"/>
        <v>0</v>
      </c>
      <c r="K7" s="868" t="str">
        <f t="shared" si="8"/>
        <v>+</v>
      </c>
      <c r="L7" s="873">
        <f t="shared" si="9"/>
        <v>0</v>
      </c>
      <c r="M7" s="868">
        <f t="shared" si="10"/>
        <v>0</v>
      </c>
      <c r="N7" s="868" t="str">
        <f t="shared" si="11"/>
        <v>+</v>
      </c>
      <c r="O7" s="873">
        <f t="shared" si="12"/>
        <v>0</v>
      </c>
      <c r="P7" s="868">
        <f t="shared" si="13"/>
        <v>0</v>
      </c>
      <c r="Q7" s="868" t="str">
        <f t="shared" si="14"/>
        <v>+</v>
      </c>
      <c r="R7" s="873">
        <f t="shared" si="15"/>
        <v>0</v>
      </c>
      <c r="S7" s="868">
        <f t="shared" si="16"/>
        <v>0</v>
      </c>
      <c r="T7" s="861" t="str">
        <f t="shared" si="17"/>
        <v>+</v>
      </c>
      <c r="U7" s="862">
        <f t="shared" si="18"/>
        <v>0</v>
      </c>
      <c r="V7" s="868">
        <f t="shared" si="19"/>
        <v>0</v>
      </c>
      <c r="W7" s="861" t="str">
        <f t="shared" si="20"/>
        <v>+</v>
      </c>
      <c r="X7" s="862">
        <f t="shared" si="21"/>
        <v>0</v>
      </c>
      <c r="Z7" s="356" t="b">
        <f t="shared" si="23"/>
        <v>1</v>
      </c>
      <c r="AA7" s="356" t="b">
        <f t="shared" si="24"/>
        <v>0</v>
      </c>
      <c r="AB7" s="356" t="b">
        <f t="shared" si="25"/>
        <v>1</v>
      </c>
      <c r="AC7" s="356" t="b">
        <f t="shared" si="26"/>
        <v>0</v>
      </c>
      <c r="AD7" s="356" t="b">
        <f t="shared" si="27"/>
        <v>1</v>
      </c>
      <c r="AE7" s="356" t="b">
        <f t="shared" si="28"/>
        <v>0</v>
      </c>
      <c r="AF7" s="356" t="b">
        <f t="shared" si="29"/>
        <v>1</v>
      </c>
      <c r="AG7" s="356" t="b">
        <f t="shared" si="30"/>
        <v>0</v>
      </c>
      <c r="AH7" s="356" t="b">
        <f t="shared" si="31"/>
        <v>1</v>
      </c>
      <c r="AI7" s="356" t="b">
        <f t="shared" si="32"/>
        <v>0</v>
      </c>
      <c r="AJ7" s="356" t="b">
        <f t="shared" si="33"/>
        <v>1</v>
      </c>
      <c r="AK7" s="356" t="b">
        <f t="shared" si="34"/>
        <v>0</v>
      </c>
      <c r="AL7" s="895" t="str">
        <f t="shared" si="35"/>
        <v/>
      </c>
      <c r="AM7" s="896">
        <f t="shared" si="36"/>
        <v>1</v>
      </c>
      <c r="AN7" s="896" t="str">
        <f t="shared" si="37"/>
        <v/>
      </c>
      <c r="AO7" s="896">
        <f t="shared" si="38"/>
        <v>1</v>
      </c>
      <c r="AP7" s="896" t="str">
        <f t="shared" si="39"/>
        <v/>
      </c>
      <c r="AQ7" s="896">
        <f t="shared" si="40"/>
        <v>1</v>
      </c>
      <c r="AR7" s="896" t="str">
        <f t="shared" si="41"/>
        <v/>
      </c>
      <c r="AS7" s="896">
        <f t="shared" si="42"/>
        <v>1</v>
      </c>
      <c r="AT7" s="896" t="str">
        <f t="shared" si="43"/>
        <v/>
      </c>
      <c r="AU7" s="896">
        <f t="shared" si="44"/>
        <v>1</v>
      </c>
      <c r="AV7" s="896" t="str">
        <f t="shared" si="45"/>
        <v/>
      </c>
      <c r="AW7" s="900">
        <f t="shared" si="45"/>
        <v>1</v>
      </c>
    </row>
    <row r="8" spans="1:49" s="356" customFormat="1">
      <c r="A8" s="880" t="str">
        <f t="shared" si="46"/>
        <v>2023/03/21</v>
      </c>
      <c r="B8" s="355" t="s">
        <v>272</v>
      </c>
      <c r="C8" s="355" t="str">
        <f t="shared" si="0"/>
        <v>Nồng độ    NaOH
氫氧化鈉</v>
      </c>
      <c r="D8" s="355" t="str">
        <f t="shared" si="1"/>
        <v>XL-001E</v>
      </c>
      <c r="E8" s="355" t="str">
        <f t="shared" si="2"/>
        <v>g/L</v>
      </c>
      <c r="F8" s="355" t="str">
        <f t="shared" si="3"/>
        <v>130 - 150</v>
      </c>
      <c r="G8" s="868">
        <f t="shared" si="4"/>
        <v>0</v>
      </c>
      <c r="H8" s="868" t="str">
        <f t="shared" si="5"/>
        <v>+</v>
      </c>
      <c r="I8" s="873">
        <f t="shared" si="6"/>
        <v>0</v>
      </c>
      <c r="J8" s="868">
        <f t="shared" si="7"/>
        <v>0</v>
      </c>
      <c r="K8" s="868" t="str">
        <f t="shared" si="8"/>
        <v>+</v>
      </c>
      <c r="L8" s="873">
        <f t="shared" si="9"/>
        <v>0</v>
      </c>
      <c r="M8" s="868">
        <f t="shared" si="10"/>
        <v>0</v>
      </c>
      <c r="N8" s="868" t="str">
        <f t="shared" si="11"/>
        <v>+</v>
      </c>
      <c r="O8" s="873">
        <f t="shared" si="12"/>
        <v>0</v>
      </c>
      <c r="P8" s="868">
        <f t="shared" si="13"/>
        <v>0</v>
      </c>
      <c r="Q8" s="868" t="str">
        <f t="shared" si="14"/>
        <v>+</v>
      </c>
      <c r="R8" s="873">
        <f t="shared" si="15"/>
        <v>0</v>
      </c>
      <c r="S8" s="868">
        <f t="shared" si="16"/>
        <v>0</v>
      </c>
      <c r="T8" s="861" t="str">
        <f t="shared" si="17"/>
        <v>+</v>
      </c>
      <c r="U8" s="862">
        <f t="shared" si="18"/>
        <v>0</v>
      </c>
      <c r="V8" s="868">
        <f t="shared" si="19"/>
        <v>0</v>
      </c>
      <c r="W8" s="861" t="str">
        <f t="shared" si="20"/>
        <v>+</v>
      </c>
      <c r="X8" s="862">
        <f t="shared" si="21"/>
        <v>0</v>
      </c>
      <c r="Z8" s="356" t="b">
        <f t="shared" si="23"/>
        <v>1</v>
      </c>
      <c r="AA8" s="356" t="b">
        <f t="shared" si="24"/>
        <v>0</v>
      </c>
      <c r="AB8" s="356" t="b">
        <f t="shared" si="25"/>
        <v>1</v>
      </c>
      <c r="AC8" s="356" t="b">
        <f t="shared" si="26"/>
        <v>0</v>
      </c>
      <c r="AD8" s="356" t="b">
        <f t="shared" si="27"/>
        <v>1</v>
      </c>
      <c r="AE8" s="356" t="b">
        <f t="shared" si="28"/>
        <v>0</v>
      </c>
      <c r="AF8" s="356" t="b">
        <f t="shared" si="29"/>
        <v>1</v>
      </c>
      <c r="AG8" s="356" t="b">
        <f t="shared" si="30"/>
        <v>0</v>
      </c>
      <c r="AH8" s="356" t="b">
        <f t="shared" si="31"/>
        <v>1</v>
      </c>
      <c r="AI8" s="356" t="b">
        <f t="shared" si="32"/>
        <v>0</v>
      </c>
      <c r="AJ8" s="356" t="b">
        <f t="shared" si="33"/>
        <v>1</v>
      </c>
      <c r="AK8" s="356" t="b">
        <f t="shared" si="34"/>
        <v>0</v>
      </c>
      <c r="AL8" s="895" t="str">
        <f t="shared" si="35"/>
        <v/>
      </c>
      <c r="AM8" s="896">
        <f t="shared" si="36"/>
        <v>1</v>
      </c>
      <c r="AN8" s="896" t="str">
        <f t="shared" si="37"/>
        <v/>
      </c>
      <c r="AO8" s="896">
        <f t="shared" si="38"/>
        <v>1</v>
      </c>
      <c r="AP8" s="896" t="str">
        <f t="shared" si="39"/>
        <v/>
      </c>
      <c r="AQ8" s="896">
        <f t="shared" si="40"/>
        <v>1</v>
      </c>
      <c r="AR8" s="896" t="str">
        <f t="shared" si="41"/>
        <v/>
      </c>
      <c r="AS8" s="896">
        <f t="shared" si="42"/>
        <v>1</v>
      </c>
      <c r="AT8" s="896" t="str">
        <f t="shared" si="43"/>
        <v/>
      </c>
      <c r="AU8" s="896">
        <f t="shared" si="44"/>
        <v>1</v>
      </c>
      <c r="AV8" s="896" t="str">
        <f t="shared" si="45"/>
        <v/>
      </c>
      <c r="AW8" s="900">
        <f t="shared" si="45"/>
        <v>1</v>
      </c>
    </row>
    <row r="9" spans="1:49" s="356" customFormat="1">
      <c r="A9" s="880" t="str">
        <f t="shared" si="46"/>
        <v>2023/03/21</v>
      </c>
      <c r="B9" s="355" t="s">
        <v>273</v>
      </c>
      <c r="C9" s="355" t="str">
        <f t="shared" si="0"/>
        <v>Nồng độ Zn  鋅
(1 pcs Zn=25kg)</v>
      </c>
      <c r="D9" s="355" t="str">
        <f t="shared" si="1"/>
        <v>XL-001E</v>
      </c>
      <c r="E9" s="355" t="str">
        <f t="shared" si="2"/>
        <v>g/L</v>
      </c>
      <c r="F9" s="355" t="str">
        <f t="shared" si="3"/>
        <v>7~12</v>
      </c>
      <c r="G9" s="868">
        <f t="shared" si="4"/>
        <v>0</v>
      </c>
      <c r="H9" s="868" t="str">
        <f t="shared" si="5"/>
        <v>+</v>
      </c>
      <c r="I9" s="873">
        <f t="shared" si="6"/>
        <v>0</v>
      </c>
      <c r="J9" s="868">
        <f t="shared" si="7"/>
        <v>0</v>
      </c>
      <c r="K9" s="868" t="str">
        <f t="shared" si="8"/>
        <v>+</v>
      </c>
      <c r="L9" s="873">
        <f t="shared" si="9"/>
        <v>0</v>
      </c>
      <c r="M9" s="868">
        <f t="shared" si="10"/>
        <v>0</v>
      </c>
      <c r="N9" s="868" t="str">
        <f t="shared" si="11"/>
        <v>+</v>
      </c>
      <c r="O9" s="873">
        <f t="shared" si="12"/>
        <v>0</v>
      </c>
      <c r="P9" s="868">
        <f t="shared" si="13"/>
        <v>0</v>
      </c>
      <c r="Q9" s="868" t="str">
        <f t="shared" si="14"/>
        <v>+</v>
      </c>
      <c r="R9" s="873">
        <f t="shared" si="15"/>
        <v>0</v>
      </c>
      <c r="S9" s="868">
        <f t="shared" si="16"/>
        <v>0</v>
      </c>
      <c r="T9" s="861" t="str">
        <f t="shared" si="17"/>
        <v>+</v>
      </c>
      <c r="U9" s="862">
        <f t="shared" si="18"/>
        <v>0</v>
      </c>
      <c r="V9" s="868">
        <f t="shared" si="19"/>
        <v>0</v>
      </c>
      <c r="W9" s="861" t="str">
        <f t="shared" si="20"/>
        <v>+</v>
      </c>
      <c r="X9" s="862">
        <f t="shared" si="21"/>
        <v>0</v>
      </c>
      <c r="Z9" s="356" t="b">
        <f t="shared" si="23"/>
        <v>1</v>
      </c>
      <c r="AA9" s="356" t="b">
        <f t="shared" si="24"/>
        <v>0</v>
      </c>
      <c r="AB9" s="356" t="b">
        <f t="shared" si="25"/>
        <v>1</v>
      </c>
      <c r="AC9" s="356" t="b">
        <f t="shared" si="26"/>
        <v>0</v>
      </c>
      <c r="AD9" s="356" t="b">
        <f t="shared" si="27"/>
        <v>1</v>
      </c>
      <c r="AE9" s="356" t="b">
        <f t="shared" si="28"/>
        <v>0</v>
      </c>
      <c r="AF9" s="356" t="b">
        <f t="shared" si="29"/>
        <v>1</v>
      </c>
      <c r="AG9" s="356" t="b">
        <f t="shared" si="30"/>
        <v>0</v>
      </c>
      <c r="AH9" s="356" t="b">
        <f t="shared" si="31"/>
        <v>1</v>
      </c>
      <c r="AI9" s="356" t="b">
        <f t="shared" si="32"/>
        <v>0</v>
      </c>
      <c r="AJ9" s="356" t="b">
        <f t="shared" si="33"/>
        <v>1</v>
      </c>
      <c r="AK9" s="356" t="b">
        <f t="shared" si="34"/>
        <v>0</v>
      </c>
      <c r="AL9" s="895" t="str">
        <f t="shared" si="35"/>
        <v/>
      </c>
      <c r="AM9" s="896">
        <f t="shared" si="36"/>
        <v>1</v>
      </c>
      <c r="AN9" s="896" t="str">
        <f t="shared" si="37"/>
        <v/>
      </c>
      <c r="AO9" s="896">
        <f t="shared" si="38"/>
        <v>1</v>
      </c>
      <c r="AP9" s="896" t="str">
        <f t="shared" si="39"/>
        <v/>
      </c>
      <c r="AQ9" s="896">
        <f t="shared" si="40"/>
        <v>1</v>
      </c>
      <c r="AR9" s="896" t="str">
        <f t="shared" si="41"/>
        <v/>
      </c>
      <c r="AS9" s="896">
        <f t="shared" si="42"/>
        <v>1</v>
      </c>
      <c r="AT9" s="896" t="str">
        <f t="shared" si="43"/>
        <v/>
      </c>
      <c r="AU9" s="896">
        <f t="shared" si="44"/>
        <v>1</v>
      </c>
      <c r="AV9" s="896" t="str">
        <f t="shared" si="45"/>
        <v/>
      </c>
      <c r="AW9" s="900">
        <f t="shared" si="45"/>
        <v>1</v>
      </c>
    </row>
    <row r="10" spans="1:49" s="356" customFormat="1">
      <c r="A10" s="880" t="str">
        <f t="shared" si="46"/>
        <v>2023/03/21</v>
      </c>
      <c r="B10" s="355" t="s">
        <v>279</v>
      </c>
      <c r="C10" s="355" t="str">
        <f t="shared" si="0"/>
        <v>Nồng độ Cr2O3
三價鉻</v>
      </c>
      <c r="D10" s="355" t="str">
        <f t="shared" si="1"/>
        <v>XL-001E</v>
      </c>
      <c r="E10" s="355" t="str">
        <f t="shared" si="2"/>
        <v>%</v>
      </c>
      <c r="F10" s="355" t="str">
        <f t="shared" si="3"/>
        <v xml:space="preserve">12~18 </v>
      </c>
      <c r="G10" s="868">
        <f t="shared" si="4"/>
        <v>0</v>
      </c>
      <c r="H10" s="868" t="str">
        <f t="shared" si="5"/>
        <v>+</v>
      </c>
      <c r="I10" s="873">
        <f t="shared" si="6"/>
        <v>0</v>
      </c>
      <c r="J10" s="868">
        <f t="shared" si="7"/>
        <v>0</v>
      </c>
      <c r="K10" s="868" t="str">
        <f t="shared" si="8"/>
        <v>+</v>
      </c>
      <c r="L10" s="873">
        <f t="shared" si="9"/>
        <v>0</v>
      </c>
      <c r="M10" s="868">
        <f t="shared" si="10"/>
        <v>0</v>
      </c>
      <c r="N10" s="868" t="str">
        <f t="shared" si="11"/>
        <v>+</v>
      </c>
      <c r="O10" s="873">
        <f t="shared" si="12"/>
        <v>0</v>
      </c>
      <c r="P10" s="868">
        <f t="shared" si="13"/>
        <v>0</v>
      </c>
      <c r="Q10" s="868" t="str">
        <f t="shared" si="14"/>
        <v>+</v>
      </c>
      <c r="R10" s="873">
        <f t="shared" si="15"/>
        <v>0</v>
      </c>
      <c r="S10" s="868">
        <f t="shared" si="16"/>
        <v>0</v>
      </c>
      <c r="T10" s="861" t="str">
        <f t="shared" si="17"/>
        <v>+</v>
      </c>
      <c r="U10" s="862">
        <f t="shared" si="18"/>
        <v>0</v>
      </c>
      <c r="V10" s="868">
        <f t="shared" si="19"/>
        <v>0</v>
      </c>
      <c r="W10" s="861" t="str">
        <f t="shared" si="20"/>
        <v>+</v>
      </c>
      <c r="X10" s="862">
        <f t="shared" si="21"/>
        <v>0</v>
      </c>
      <c r="Z10" s="356" t="b">
        <f t="shared" si="23"/>
        <v>1</v>
      </c>
      <c r="AA10" s="356" t="b">
        <f t="shared" si="24"/>
        <v>0</v>
      </c>
      <c r="AB10" s="356" t="b">
        <f t="shared" si="25"/>
        <v>1</v>
      </c>
      <c r="AC10" s="356" t="b">
        <f t="shared" si="26"/>
        <v>0</v>
      </c>
      <c r="AD10" s="356" t="b">
        <f t="shared" si="27"/>
        <v>1</v>
      </c>
      <c r="AE10" s="356" t="b">
        <f t="shared" si="28"/>
        <v>0</v>
      </c>
      <c r="AF10" s="356" t="b">
        <f t="shared" si="29"/>
        <v>1</v>
      </c>
      <c r="AG10" s="356" t="b">
        <f t="shared" si="30"/>
        <v>0</v>
      </c>
      <c r="AH10" s="356" t="b">
        <f t="shared" si="31"/>
        <v>1</v>
      </c>
      <c r="AI10" s="356" t="b">
        <f t="shared" si="32"/>
        <v>0</v>
      </c>
      <c r="AJ10" s="356" t="b">
        <f t="shared" si="33"/>
        <v>1</v>
      </c>
      <c r="AK10" s="356" t="b">
        <f t="shared" si="34"/>
        <v>0</v>
      </c>
      <c r="AL10" s="895" t="str">
        <f t="shared" si="35"/>
        <v/>
      </c>
      <c r="AM10" s="896">
        <f t="shared" si="36"/>
        <v>1</v>
      </c>
      <c r="AN10" s="896" t="str">
        <f t="shared" si="37"/>
        <v/>
      </c>
      <c r="AO10" s="896">
        <f t="shared" si="38"/>
        <v>1</v>
      </c>
      <c r="AP10" s="896" t="str">
        <f t="shared" si="39"/>
        <v/>
      </c>
      <c r="AQ10" s="896">
        <f t="shared" si="40"/>
        <v>1</v>
      </c>
      <c r="AR10" s="896" t="str">
        <f t="shared" si="41"/>
        <v/>
      </c>
      <c r="AS10" s="896">
        <f t="shared" si="42"/>
        <v>1</v>
      </c>
      <c r="AT10" s="896" t="str">
        <f t="shared" si="43"/>
        <v/>
      </c>
      <c r="AU10" s="896">
        <f t="shared" si="44"/>
        <v>1</v>
      </c>
      <c r="AV10" s="896" t="str">
        <f t="shared" si="45"/>
        <v/>
      </c>
      <c r="AW10" s="900">
        <f t="shared" si="45"/>
        <v>1</v>
      </c>
    </row>
    <row r="11" spans="1:49" s="356" customFormat="1">
      <c r="A11" s="880" t="str">
        <f t="shared" si="46"/>
        <v>2023/03/21</v>
      </c>
      <c r="B11" s="355" t="s">
        <v>281</v>
      </c>
      <c r="C11" s="355" t="str">
        <f t="shared" si="0"/>
        <v>PH</v>
      </c>
      <c r="D11" s="355" t="str">
        <f t="shared" si="1"/>
        <v>XL-001E</v>
      </c>
      <c r="E11" s="355" t="str">
        <f t="shared" si="2"/>
        <v>pH</v>
      </c>
      <c r="F11" s="355" t="str">
        <f t="shared" si="3"/>
        <v>1.6~2.2</v>
      </c>
      <c r="G11" s="868">
        <f t="shared" si="4"/>
        <v>0</v>
      </c>
      <c r="H11" s="868">
        <f t="shared" si="5"/>
        <v>0</v>
      </c>
      <c r="I11" s="873">
        <f t="shared" si="6"/>
        <v>0</v>
      </c>
      <c r="J11" s="868">
        <f t="shared" si="7"/>
        <v>0</v>
      </c>
      <c r="K11" s="868">
        <f t="shared" si="8"/>
        <v>0</v>
      </c>
      <c r="L11" s="873">
        <f t="shared" si="9"/>
        <v>0</v>
      </c>
      <c r="M11" s="868">
        <f t="shared" si="10"/>
        <v>0</v>
      </c>
      <c r="N11" s="868">
        <f t="shared" si="11"/>
        <v>0</v>
      </c>
      <c r="O11" s="873">
        <f t="shared" si="12"/>
        <v>0</v>
      </c>
      <c r="P11" s="868">
        <f t="shared" si="13"/>
        <v>0</v>
      </c>
      <c r="Q11" s="868">
        <f t="shared" si="14"/>
        <v>0</v>
      </c>
      <c r="R11" s="873">
        <f t="shared" si="15"/>
        <v>0</v>
      </c>
      <c r="S11" s="868">
        <f t="shared" si="16"/>
        <v>0</v>
      </c>
      <c r="T11" s="861">
        <f t="shared" si="17"/>
        <v>0</v>
      </c>
      <c r="U11" s="862">
        <f t="shared" si="18"/>
        <v>0</v>
      </c>
      <c r="V11" s="868">
        <f t="shared" si="19"/>
        <v>0</v>
      </c>
      <c r="W11" s="861">
        <f t="shared" si="20"/>
        <v>0</v>
      </c>
      <c r="X11" s="862">
        <f t="shared" si="21"/>
        <v>0</v>
      </c>
      <c r="Z11" s="356" t="b">
        <f t="shared" si="23"/>
        <v>1</v>
      </c>
      <c r="AA11" s="356" t="b">
        <f t="shared" si="24"/>
        <v>1</v>
      </c>
      <c r="AB11" s="356" t="b">
        <f t="shared" si="25"/>
        <v>1</v>
      </c>
      <c r="AC11" s="356" t="b">
        <f t="shared" si="26"/>
        <v>1</v>
      </c>
      <c r="AD11" s="356" t="b">
        <f t="shared" si="27"/>
        <v>1</v>
      </c>
      <c r="AE11" s="356" t="b">
        <f t="shared" si="28"/>
        <v>1</v>
      </c>
      <c r="AF11" s="356" t="b">
        <f t="shared" si="29"/>
        <v>1</v>
      </c>
      <c r="AG11" s="356" t="b">
        <f t="shared" si="30"/>
        <v>1</v>
      </c>
      <c r="AH11" s="356" t="b">
        <f t="shared" si="31"/>
        <v>1</v>
      </c>
      <c r="AI11" s="356" t="b">
        <f t="shared" si="32"/>
        <v>1</v>
      </c>
      <c r="AJ11" s="356" t="b">
        <f t="shared" si="33"/>
        <v>1</v>
      </c>
      <c r="AK11" s="356" t="b">
        <f t="shared" si="34"/>
        <v>1</v>
      </c>
      <c r="AL11" s="895" t="str">
        <f t="shared" si="35"/>
        <v/>
      </c>
      <c r="AM11" s="896" t="str">
        <f t="shared" si="36"/>
        <v/>
      </c>
      <c r="AN11" s="896" t="str">
        <f t="shared" si="37"/>
        <v/>
      </c>
      <c r="AO11" s="896" t="str">
        <f t="shared" si="38"/>
        <v/>
      </c>
      <c r="AP11" s="896" t="str">
        <f t="shared" si="39"/>
        <v/>
      </c>
      <c r="AQ11" s="896" t="str">
        <f t="shared" si="40"/>
        <v/>
      </c>
      <c r="AR11" s="896" t="str">
        <f t="shared" si="41"/>
        <v/>
      </c>
      <c r="AS11" s="896" t="str">
        <f t="shared" si="42"/>
        <v/>
      </c>
      <c r="AT11" s="896" t="str">
        <f t="shared" si="43"/>
        <v/>
      </c>
      <c r="AU11" s="896" t="str">
        <f t="shared" si="44"/>
        <v/>
      </c>
      <c r="AV11" s="896" t="str">
        <f t="shared" si="45"/>
        <v/>
      </c>
      <c r="AW11" s="900" t="str">
        <f t="shared" si="45"/>
        <v/>
      </c>
    </row>
    <row r="12" spans="1:49" s="356" customFormat="1">
      <c r="A12" s="880" t="str">
        <f t="shared" si="46"/>
        <v>2023/03/21</v>
      </c>
      <c r="B12" s="355" t="s">
        <v>274</v>
      </c>
      <c r="C12" s="355" t="str">
        <f t="shared" si="0"/>
        <v>Nồng độ acid đặc
鹽酸 濃度</v>
      </c>
      <c r="D12" s="355" t="str">
        <f t="shared" si="1"/>
        <v>XL-001E</v>
      </c>
      <c r="E12" s="355" t="str">
        <f t="shared" si="2"/>
        <v>%V/V</v>
      </c>
      <c r="F12" s="355" t="str">
        <f t="shared" si="3"/>
        <v>30~60</v>
      </c>
      <c r="G12" s="868">
        <f t="shared" si="4"/>
        <v>0</v>
      </c>
      <c r="H12" s="868" t="str">
        <f t="shared" si="5"/>
        <v>+</v>
      </c>
      <c r="I12" s="873">
        <f t="shared" si="6"/>
        <v>0</v>
      </c>
      <c r="J12" s="868">
        <f t="shared" si="7"/>
        <v>0</v>
      </c>
      <c r="K12" s="868" t="str">
        <f t="shared" si="8"/>
        <v>+</v>
      </c>
      <c r="L12" s="873">
        <f t="shared" si="9"/>
        <v>0</v>
      </c>
      <c r="M12" s="868">
        <f t="shared" si="10"/>
        <v>0</v>
      </c>
      <c r="N12" s="868" t="str">
        <f t="shared" si="11"/>
        <v>+</v>
      </c>
      <c r="O12" s="873">
        <f t="shared" si="12"/>
        <v>0</v>
      </c>
      <c r="P12" s="868">
        <f t="shared" si="13"/>
        <v>0</v>
      </c>
      <c r="Q12" s="868" t="str">
        <f t="shared" si="14"/>
        <v>+</v>
      </c>
      <c r="R12" s="873">
        <f t="shared" si="15"/>
        <v>0</v>
      </c>
      <c r="S12" s="868">
        <f t="shared" si="16"/>
        <v>0</v>
      </c>
      <c r="T12" s="861" t="str">
        <f t="shared" si="17"/>
        <v>+</v>
      </c>
      <c r="U12" s="862">
        <f t="shared" si="18"/>
        <v>0</v>
      </c>
      <c r="V12" s="868">
        <f t="shared" si="19"/>
        <v>0</v>
      </c>
      <c r="W12" s="861" t="str">
        <f t="shared" si="20"/>
        <v>+</v>
      </c>
      <c r="X12" s="862">
        <f t="shared" si="21"/>
        <v>0</v>
      </c>
      <c r="Z12" s="356" t="b">
        <f t="shared" si="23"/>
        <v>1</v>
      </c>
      <c r="AA12" s="356" t="b">
        <f t="shared" si="24"/>
        <v>0</v>
      </c>
      <c r="AB12" s="356" t="b">
        <f t="shared" si="25"/>
        <v>1</v>
      </c>
      <c r="AC12" s="356" t="b">
        <f t="shared" si="26"/>
        <v>0</v>
      </c>
      <c r="AD12" s="356" t="b">
        <f t="shared" si="27"/>
        <v>1</v>
      </c>
      <c r="AE12" s="356" t="b">
        <f t="shared" si="28"/>
        <v>0</v>
      </c>
      <c r="AF12" s="356" t="b">
        <f t="shared" si="29"/>
        <v>1</v>
      </c>
      <c r="AG12" s="356" t="b">
        <f t="shared" si="30"/>
        <v>0</v>
      </c>
      <c r="AH12" s="356" t="b">
        <f t="shared" si="31"/>
        <v>1</v>
      </c>
      <c r="AI12" s="356" t="b">
        <f t="shared" si="32"/>
        <v>0</v>
      </c>
      <c r="AJ12" s="356" t="b">
        <f t="shared" si="33"/>
        <v>1</v>
      </c>
      <c r="AK12" s="356" t="b">
        <f t="shared" si="34"/>
        <v>0</v>
      </c>
      <c r="AL12" s="895" t="str">
        <f t="shared" si="35"/>
        <v/>
      </c>
      <c r="AM12" s="896">
        <f t="shared" si="36"/>
        <v>1</v>
      </c>
      <c r="AN12" s="896" t="str">
        <f t="shared" si="37"/>
        <v/>
      </c>
      <c r="AO12" s="896">
        <f t="shared" si="38"/>
        <v>1</v>
      </c>
      <c r="AP12" s="896" t="str">
        <f t="shared" si="39"/>
        <v/>
      </c>
      <c r="AQ12" s="896">
        <f t="shared" si="40"/>
        <v>1</v>
      </c>
      <c r="AR12" s="896" t="str">
        <f t="shared" si="41"/>
        <v/>
      </c>
      <c r="AS12" s="896">
        <f t="shared" si="42"/>
        <v>1</v>
      </c>
      <c r="AT12" s="896" t="str">
        <f t="shared" si="43"/>
        <v/>
      </c>
      <c r="AU12" s="896">
        <f t="shared" si="44"/>
        <v>1</v>
      </c>
      <c r="AV12" s="896" t="str">
        <f t="shared" si="45"/>
        <v/>
      </c>
      <c r="AW12" s="900">
        <f t="shared" si="45"/>
        <v>1</v>
      </c>
    </row>
    <row r="13" spans="1:49" s="356" customFormat="1">
      <c r="A13" s="880" t="str">
        <f t="shared" si="46"/>
        <v>2023/03/21</v>
      </c>
      <c r="B13" s="355" t="s">
        <v>275</v>
      </c>
      <c r="C13" s="355" t="str">
        <f t="shared" si="0"/>
        <v>Nồng độ acid loãng
稀酸 濃度</v>
      </c>
      <c r="D13" s="355" t="str">
        <f t="shared" si="1"/>
        <v>XL-001E</v>
      </c>
      <c r="E13" s="355" t="str">
        <f t="shared" si="2"/>
        <v>%V/V</v>
      </c>
      <c r="F13" s="355" t="str">
        <f t="shared" si="3"/>
        <v>15~30</v>
      </c>
      <c r="G13" s="868">
        <f t="shared" si="4"/>
        <v>0</v>
      </c>
      <c r="H13" s="868" t="str">
        <f t="shared" si="5"/>
        <v>+</v>
      </c>
      <c r="I13" s="873">
        <f t="shared" si="6"/>
        <v>0</v>
      </c>
      <c r="J13" s="868">
        <f t="shared" si="7"/>
        <v>0</v>
      </c>
      <c r="K13" s="868" t="str">
        <f t="shared" si="8"/>
        <v>+</v>
      </c>
      <c r="L13" s="873">
        <f t="shared" si="9"/>
        <v>0</v>
      </c>
      <c r="M13" s="868">
        <f t="shared" si="10"/>
        <v>0</v>
      </c>
      <c r="N13" s="868" t="str">
        <f t="shared" si="11"/>
        <v>+</v>
      </c>
      <c r="O13" s="873">
        <f t="shared" si="12"/>
        <v>0</v>
      </c>
      <c r="P13" s="868">
        <f t="shared" si="13"/>
        <v>0</v>
      </c>
      <c r="Q13" s="868" t="str">
        <f t="shared" si="14"/>
        <v>+</v>
      </c>
      <c r="R13" s="873">
        <f t="shared" si="15"/>
        <v>0</v>
      </c>
      <c r="S13" s="868">
        <f t="shared" si="16"/>
        <v>0</v>
      </c>
      <c r="T13" s="861" t="str">
        <f t="shared" si="17"/>
        <v>+</v>
      </c>
      <c r="U13" s="862">
        <f t="shared" si="18"/>
        <v>0</v>
      </c>
      <c r="V13" s="868">
        <f t="shared" si="19"/>
        <v>0</v>
      </c>
      <c r="W13" s="861" t="str">
        <f t="shared" si="20"/>
        <v>+</v>
      </c>
      <c r="X13" s="862">
        <f t="shared" si="21"/>
        <v>0</v>
      </c>
      <c r="Z13" s="356" t="b">
        <f t="shared" si="23"/>
        <v>1</v>
      </c>
      <c r="AA13" s="356" t="b">
        <f t="shared" si="24"/>
        <v>0</v>
      </c>
      <c r="AB13" s="356" t="b">
        <f t="shared" si="25"/>
        <v>1</v>
      </c>
      <c r="AC13" s="356" t="b">
        <f t="shared" si="26"/>
        <v>0</v>
      </c>
      <c r="AD13" s="356" t="b">
        <f t="shared" si="27"/>
        <v>1</v>
      </c>
      <c r="AE13" s="356" t="b">
        <f t="shared" si="28"/>
        <v>0</v>
      </c>
      <c r="AF13" s="356" t="b">
        <f t="shared" si="29"/>
        <v>1</v>
      </c>
      <c r="AG13" s="356" t="b">
        <f t="shared" si="30"/>
        <v>0</v>
      </c>
      <c r="AH13" s="356" t="b">
        <f t="shared" si="31"/>
        <v>1</v>
      </c>
      <c r="AI13" s="356" t="b">
        <f t="shared" si="32"/>
        <v>0</v>
      </c>
      <c r="AJ13" s="356" t="b">
        <f t="shared" si="33"/>
        <v>1</v>
      </c>
      <c r="AK13" s="356" t="b">
        <f t="shared" si="34"/>
        <v>0</v>
      </c>
      <c r="AL13" s="895" t="str">
        <f t="shared" si="35"/>
        <v/>
      </c>
      <c r="AM13" s="896">
        <f t="shared" si="36"/>
        <v>1</v>
      </c>
      <c r="AN13" s="896" t="str">
        <f t="shared" si="37"/>
        <v/>
      </c>
      <c r="AO13" s="896">
        <f t="shared" si="38"/>
        <v>1</v>
      </c>
      <c r="AP13" s="896" t="str">
        <f t="shared" si="39"/>
        <v/>
      </c>
      <c r="AQ13" s="896">
        <f t="shared" si="40"/>
        <v>1</v>
      </c>
      <c r="AR13" s="896" t="str">
        <f t="shared" si="41"/>
        <v/>
      </c>
      <c r="AS13" s="896">
        <f t="shared" si="42"/>
        <v>1</v>
      </c>
      <c r="AT13" s="896" t="str">
        <f t="shared" si="43"/>
        <v/>
      </c>
      <c r="AU13" s="896">
        <f t="shared" si="44"/>
        <v>1</v>
      </c>
      <c r="AV13" s="896" t="str">
        <f t="shared" si="45"/>
        <v/>
      </c>
      <c r="AW13" s="900">
        <f t="shared" si="45"/>
        <v>1</v>
      </c>
    </row>
    <row r="14" spans="1:49" s="356" customFormat="1">
      <c r="A14" s="880" t="str">
        <f t="shared" si="46"/>
        <v>2023/03/21</v>
      </c>
      <c r="B14" s="355" t="s">
        <v>276</v>
      </c>
      <c r="C14" s="355" t="str">
        <f t="shared" si="0"/>
        <v>Nồng độ HCl hoạt hóa
稀酸活化 濃度</v>
      </c>
      <c r="D14" s="355" t="str">
        <f t="shared" si="1"/>
        <v>XL-001E</v>
      </c>
      <c r="E14" s="355" t="str">
        <f t="shared" si="2"/>
        <v>%V/V</v>
      </c>
      <c r="F14" s="355" t="str">
        <f t="shared" si="3"/>
        <v>5~15</v>
      </c>
      <c r="G14" s="868">
        <f t="shared" si="4"/>
        <v>0</v>
      </c>
      <c r="H14" s="868" t="str">
        <f t="shared" si="5"/>
        <v>+</v>
      </c>
      <c r="I14" s="873">
        <f t="shared" si="6"/>
        <v>0</v>
      </c>
      <c r="J14" s="868">
        <f t="shared" si="7"/>
        <v>0</v>
      </c>
      <c r="K14" s="868" t="str">
        <f t="shared" si="8"/>
        <v>+</v>
      </c>
      <c r="L14" s="873">
        <f t="shared" si="9"/>
        <v>0</v>
      </c>
      <c r="M14" s="868">
        <f t="shared" si="10"/>
        <v>0</v>
      </c>
      <c r="N14" s="868" t="str">
        <f t="shared" si="11"/>
        <v>+</v>
      </c>
      <c r="O14" s="873">
        <f t="shared" si="12"/>
        <v>0</v>
      </c>
      <c r="P14" s="868">
        <f t="shared" si="13"/>
        <v>0</v>
      </c>
      <c r="Q14" s="868" t="str">
        <f t="shared" si="14"/>
        <v>+</v>
      </c>
      <c r="R14" s="873">
        <f t="shared" si="15"/>
        <v>0</v>
      </c>
      <c r="S14" s="868">
        <f t="shared" si="16"/>
        <v>0</v>
      </c>
      <c r="T14" s="861" t="str">
        <f t="shared" si="17"/>
        <v>+</v>
      </c>
      <c r="U14" s="862">
        <f t="shared" si="18"/>
        <v>0</v>
      </c>
      <c r="V14" s="868">
        <f t="shared" si="19"/>
        <v>0</v>
      </c>
      <c r="W14" s="861" t="str">
        <f t="shared" si="20"/>
        <v>+</v>
      </c>
      <c r="X14" s="862">
        <f t="shared" si="21"/>
        <v>0</v>
      </c>
      <c r="Z14" s="356" t="b">
        <f t="shared" si="23"/>
        <v>1</v>
      </c>
      <c r="AA14" s="356" t="b">
        <f t="shared" si="24"/>
        <v>0</v>
      </c>
      <c r="AB14" s="356" t="b">
        <f t="shared" si="25"/>
        <v>1</v>
      </c>
      <c r="AC14" s="356" t="b">
        <f t="shared" si="26"/>
        <v>0</v>
      </c>
      <c r="AD14" s="356" t="b">
        <f t="shared" si="27"/>
        <v>1</v>
      </c>
      <c r="AE14" s="356" t="b">
        <f t="shared" si="28"/>
        <v>0</v>
      </c>
      <c r="AF14" s="356" t="b">
        <f t="shared" si="29"/>
        <v>1</v>
      </c>
      <c r="AG14" s="356" t="b">
        <f t="shared" si="30"/>
        <v>0</v>
      </c>
      <c r="AH14" s="356" t="b">
        <f t="shared" si="31"/>
        <v>1</v>
      </c>
      <c r="AI14" s="356" t="b">
        <f t="shared" si="32"/>
        <v>0</v>
      </c>
      <c r="AJ14" s="356" t="b">
        <f t="shared" si="33"/>
        <v>1</v>
      </c>
      <c r="AK14" s="356" t="b">
        <f t="shared" si="34"/>
        <v>0</v>
      </c>
      <c r="AL14" s="895" t="str">
        <f t="shared" si="35"/>
        <v/>
      </c>
      <c r="AM14" s="896">
        <f t="shared" si="36"/>
        <v>1</v>
      </c>
      <c r="AN14" s="896" t="str">
        <f t="shared" si="37"/>
        <v/>
      </c>
      <c r="AO14" s="896">
        <f t="shared" si="38"/>
        <v>1</v>
      </c>
      <c r="AP14" s="896" t="str">
        <f t="shared" si="39"/>
        <v/>
      </c>
      <c r="AQ14" s="896">
        <f t="shared" si="40"/>
        <v>1</v>
      </c>
      <c r="AR14" s="896" t="str">
        <f t="shared" si="41"/>
        <v/>
      </c>
      <c r="AS14" s="896">
        <f t="shared" si="42"/>
        <v>1</v>
      </c>
      <c r="AT14" s="896" t="str">
        <f t="shared" si="43"/>
        <v/>
      </c>
      <c r="AU14" s="896">
        <f t="shared" si="44"/>
        <v>1</v>
      </c>
      <c r="AV14" s="896" t="str">
        <f t="shared" si="45"/>
        <v/>
      </c>
      <c r="AW14" s="900">
        <f t="shared" si="45"/>
        <v>1</v>
      </c>
    </row>
    <row r="15" spans="1:49" s="356" customFormat="1">
      <c r="A15" s="880" t="str">
        <f t="shared" si="46"/>
        <v>2023/03/21</v>
      </c>
      <c r="B15" s="355" t="s">
        <v>277</v>
      </c>
      <c r="C15" s="355" t="str">
        <f t="shared" si="0"/>
        <v>Nồng độ  HNO3
硝酸濃度</v>
      </c>
      <c r="D15" s="355" t="str">
        <f t="shared" si="1"/>
        <v>XL-001E</v>
      </c>
      <c r="E15" s="355" t="str">
        <f t="shared" si="2"/>
        <v>%</v>
      </c>
      <c r="F15" s="355" t="str">
        <f t="shared" si="3"/>
        <v>0.5~1.5</v>
      </c>
      <c r="G15" s="868">
        <f t="shared" si="4"/>
        <v>0</v>
      </c>
      <c r="H15" s="868" t="str">
        <f t="shared" si="5"/>
        <v>+</v>
      </c>
      <c r="I15" s="873">
        <f t="shared" si="6"/>
        <v>0</v>
      </c>
      <c r="J15" s="868">
        <f t="shared" si="7"/>
        <v>0</v>
      </c>
      <c r="K15" s="868" t="str">
        <f t="shared" si="8"/>
        <v>+</v>
      </c>
      <c r="L15" s="873">
        <f t="shared" si="9"/>
        <v>0</v>
      </c>
      <c r="M15" s="868">
        <f t="shared" si="10"/>
        <v>0</v>
      </c>
      <c r="N15" s="868" t="str">
        <f t="shared" si="11"/>
        <v>+</v>
      </c>
      <c r="O15" s="873">
        <f t="shared" si="12"/>
        <v>0</v>
      </c>
      <c r="P15" s="868">
        <f t="shared" si="13"/>
        <v>0</v>
      </c>
      <c r="Q15" s="868" t="str">
        <f t="shared" si="14"/>
        <v>+</v>
      </c>
      <c r="R15" s="873">
        <f t="shared" si="15"/>
        <v>0</v>
      </c>
      <c r="S15" s="868">
        <f t="shared" si="16"/>
        <v>0</v>
      </c>
      <c r="T15" s="861" t="str">
        <f t="shared" si="17"/>
        <v>+</v>
      </c>
      <c r="U15" s="862">
        <f t="shared" si="18"/>
        <v>0</v>
      </c>
      <c r="V15" s="868">
        <f t="shared" si="19"/>
        <v>0</v>
      </c>
      <c r="W15" s="861" t="str">
        <f t="shared" si="20"/>
        <v>+</v>
      </c>
      <c r="X15" s="862">
        <f t="shared" si="21"/>
        <v>0</v>
      </c>
      <c r="Z15" s="356" t="b">
        <f t="shared" si="23"/>
        <v>1</v>
      </c>
      <c r="AA15" s="356" t="b">
        <f t="shared" si="24"/>
        <v>0</v>
      </c>
      <c r="AB15" s="356" t="b">
        <f t="shared" si="25"/>
        <v>1</v>
      </c>
      <c r="AC15" s="356" t="b">
        <f t="shared" si="26"/>
        <v>0</v>
      </c>
      <c r="AD15" s="356" t="b">
        <f t="shared" si="27"/>
        <v>1</v>
      </c>
      <c r="AE15" s="356" t="b">
        <f t="shared" si="28"/>
        <v>0</v>
      </c>
      <c r="AF15" s="356" t="b">
        <f t="shared" si="29"/>
        <v>1</v>
      </c>
      <c r="AG15" s="356" t="b">
        <f t="shared" si="30"/>
        <v>0</v>
      </c>
      <c r="AH15" s="356" t="b">
        <f t="shared" si="31"/>
        <v>1</v>
      </c>
      <c r="AI15" s="356" t="b">
        <f t="shared" si="32"/>
        <v>0</v>
      </c>
      <c r="AJ15" s="356" t="b">
        <f t="shared" si="33"/>
        <v>1</v>
      </c>
      <c r="AK15" s="356" t="b">
        <f t="shared" si="34"/>
        <v>0</v>
      </c>
      <c r="AL15" s="895" t="str">
        <f t="shared" si="35"/>
        <v/>
      </c>
      <c r="AM15" s="896">
        <f t="shared" si="36"/>
        <v>1</v>
      </c>
      <c r="AN15" s="896" t="str">
        <f t="shared" si="37"/>
        <v/>
      </c>
      <c r="AO15" s="896">
        <f t="shared" si="38"/>
        <v>1</v>
      </c>
      <c r="AP15" s="896" t="str">
        <f t="shared" si="39"/>
        <v/>
      </c>
      <c r="AQ15" s="896">
        <f t="shared" si="40"/>
        <v>1</v>
      </c>
      <c r="AR15" s="896" t="str">
        <f t="shared" si="41"/>
        <v/>
      </c>
      <c r="AS15" s="896">
        <f t="shared" si="42"/>
        <v>1</v>
      </c>
      <c r="AT15" s="896" t="str">
        <f t="shared" si="43"/>
        <v/>
      </c>
      <c r="AU15" s="896">
        <f t="shared" si="44"/>
        <v>1</v>
      </c>
      <c r="AV15" s="896" t="str">
        <f t="shared" si="45"/>
        <v/>
      </c>
      <c r="AW15" s="900">
        <f t="shared" si="45"/>
        <v>1</v>
      </c>
    </row>
    <row r="16" spans="1:49" s="356" customFormat="1">
      <c r="A16" s="880" t="str">
        <f t="shared" si="46"/>
        <v>2023/03/21</v>
      </c>
      <c r="B16" s="355" t="s">
        <v>289</v>
      </c>
      <c r="C16" s="355" t="str">
        <f t="shared" si="0"/>
        <v>chất mềm (merlin starer)
開缸劑</v>
      </c>
      <c r="D16" s="355" t="str">
        <f t="shared" si="1"/>
        <v>XL-001E</v>
      </c>
      <c r="E16" s="355" t="str">
        <f t="shared" si="2"/>
        <v>ml/KAH</v>
      </c>
      <c r="F16" s="355" t="str">
        <f t="shared" si="3"/>
        <v>300-360</v>
      </c>
      <c r="G16" s="868">
        <f t="shared" si="4"/>
        <v>0</v>
      </c>
      <c r="H16" s="868">
        <f t="shared" si="5"/>
        <v>0</v>
      </c>
      <c r="I16" s="873">
        <f t="shared" si="6"/>
        <v>0</v>
      </c>
      <c r="J16" s="868">
        <f t="shared" si="7"/>
        <v>0</v>
      </c>
      <c r="K16" s="868">
        <f t="shared" si="8"/>
        <v>0</v>
      </c>
      <c r="L16" s="873">
        <f t="shared" si="9"/>
        <v>0</v>
      </c>
      <c r="M16" s="868">
        <f t="shared" si="10"/>
        <v>0</v>
      </c>
      <c r="N16" s="868">
        <f t="shared" si="11"/>
        <v>0</v>
      </c>
      <c r="O16" s="873">
        <f t="shared" si="12"/>
        <v>0</v>
      </c>
      <c r="P16" s="868">
        <f t="shared" si="13"/>
        <v>0</v>
      </c>
      <c r="Q16" s="868">
        <f t="shared" si="14"/>
        <v>0</v>
      </c>
      <c r="R16" s="873">
        <f t="shared" si="15"/>
        <v>0</v>
      </c>
      <c r="S16" s="868">
        <f t="shared" si="16"/>
        <v>0</v>
      </c>
      <c r="T16" s="861">
        <f t="shared" si="17"/>
        <v>0</v>
      </c>
      <c r="U16" s="862">
        <f t="shared" si="18"/>
        <v>0</v>
      </c>
      <c r="V16" s="868">
        <f t="shared" si="19"/>
        <v>0</v>
      </c>
      <c r="W16" s="861">
        <f t="shared" si="20"/>
        <v>0</v>
      </c>
      <c r="X16" s="862">
        <f t="shared" si="21"/>
        <v>0</v>
      </c>
      <c r="Z16" s="356" t="b">
        <f t="shared" si="23"/>
        <v>1</v>
      </c>
      <c r="AA16" s="356" t="b">
        <f t="shared" si="24"/>
        <v>1</v>
      </c>
      <c r="AB16" s="356" t="b">
        <f t="shared" si="25"/>
        <v>1</v>
      </c>
      <c r="AC16" s="356" t="b">
        <f t="shared" si="26"/>
        <v>1</v>
      </c>
      <c r="AD16" s="356" t="b">
        <f t="shared" si="27"/>
        <v>1</v>
      </c>
      <c r="AE16" s="356" t="b">
        <f t="shared" si="28"/>
        <v>1</v>
      </c>
      <c r="AF16" s="356" t="b">
        <f t="shared" si="29"/>
        <v>1</v>
      </c>
      <c r="AG16" s="356" t="b">
        <f t="shared" si="30"/>
        <v>1</v>
      </c>
      <c r="AH16" s="356" t="b">
        <f t="shared" si="31"/>
        <v>1</v>
      </c>
      <c r="AI16" s="356" t="b">
        <f t="shared" si="32"/>
        <v>1</v>
      </c>
      <c r="AJ16" s="356" t="b">
        <f t="shared" si="33"/>
        <v>1</v>
      </c>
      <c r="AK16" s="356" t="b">
        <f t="shared" si="34"/>
        <v>1</v>
      </c>
      <c r="AL16" s="895" t="str">
        <f t="shared" si="35"/>
        <v/>
      </c>
      <c r="AM16" s="896" t="str">
        <f t="shared" si="36"/>
        <v/>
      </c>
      <c r="AN16" s="896" t="str">
        <f t="shared" si="37"/>
        <v/>
      </c>
      <c r="AO16" s="896" t="str">
        <f t="shared" si="38"/>
        <v/>
      </c>
      <c r="AP16" s="896" t="str">
        <f t="shared" si="39"/>
        <v/>
      </c>
      <c r="AQ16" s="896" t="str">
        <f t="shared" si="40"/>
        <v/>
      </c>
      <c r="AR16" s="896" t="str">
        <f t="shared" si="41"/>
        <v/>
      </c>
      <c r="AS16" s="896" t="str">
        <f t="shared" si="42"/>
        <v/>
      </c>
      <c r="AT16" s="896" t="str">
        <f t="shared" si="43"/>
        <v/>
      </c>
      <c r="AU16" s="896" t="str">
        <f t="shared" si="44"/>
        <v/>
      </c>
      <c r="AV16" s="896" t="str">
        <f t="shared" si="45"/>
        <v/>
      </c>
      <c r="AW16" s="900" t="str">
        <f t="shared" si="45"/>
        <v/>
      </c>
    </row>
    <row r="17" spans="1:49" s="356" customFormat="1">
      <c r="A17" s="880" t="str">
        <f t="shared" si="46"/>
        <v>2023/03/21</v>
      </c>
      <c r="B17" s="355" t="s">
        <v>290</v>
      </c>
      <c r="C17" s="355" t="str">
        <f t="shared" si="0"/>
        <v>chaát boùng (merlin brightener)
光亮劑</v>
      </c>
      <c r="D17" s="355" t="str">
        <f t="shared" si="1"/>
        <v>XL-001E</v>
      </c>
      <c r="E17" s="355" t="str">
        <f t="shared" si="2"/>
        <v>ml/KAH</v>
      </c>
      <c r="F17" s="355" t="str">
        <f t="shared" si="3"/>
        <v>30-50</v>
      </c>
      <c r="G17" s="868">
        <f t="shared" si="4"/>
        <v>0</v>
      </c>
      <c r="H17" s="868">
        <f t="shared" si="5"/>
        <v>0</v>
      </c>
      <c r="I17" s="873">
        <f t="shared" si="6"/>
        <v>0</v>
      </c>
      <c r="J17" s="868">
        <f t="shared" si="7"/>
        <v>0</v>
      </c>
      <c r="K17" s="868">
        <f t="shared" si="8"/>
        <v>0</v>
      </c>
      <c r="L17" s="873">
        <f t="shared" si="9"/>
        <v>0</v>
      </c>
      <c r="M17" s="868">
        <f t="shared" si="10"/>
        <v>0</v>
      </c>
      <c r="N17" s="868">
        <f t="shared" si="11"/>
        <v>0</v>
      </c>
      <c r="O17" s="873">
        <f t="shared" si="12"/>
        <v>0</v>
      </c>
      <c r="P17" s="868">
        <f t="shared" si="13"/>
        <v>0</v>
      </c>
      <c r="Q17" s="868">
        <f t="shared" si="14"/>
        <v>0</v>
      </c>
      <c r="R17" s="873">
        <f t="shared" si="15"/>
        <v>0</v>
      </c>
      <c r="S17" s="868">
        <f t="shared" si="16"/>
        <v>0</v>
      </c>
      <c r="T17" s="861">
        <f t="shared" si="17"/>
        <v>0</v>
      </c>
      <c r="U17" s="862">
        <f t="shared" si="18"/>
        <v>0</v>
      </c>
      <c r="V17" s="868">
        <f t="shared" si="19"/>
        <v>0</v>
      </c>
      <c r="W17" s="861">
        <f t="shared" si="20"/>
        <v>0</v>
      </c>
      <c r="X17" s="862">
        <f t="shared" si="21"/>
        <v>0</v>
      </c>
      <c r="Z17" s="356" t="b">
        <f t="shared" si="23"/>
        <v>1</v>
      </c>
      <c r="AA17" s="356" t="b">
        <f t="shared" si="24"/>
        <v>1</v>
      </c>
      <c r="AB17" s="356" t="b">
        <f t="shared" si="25"/>
        <v>1</v>
      </c>
      <c r="AC17" s="356" t="b">
        <f t="shared" si="26"/>
        <v>1</v>
      </c>
      <c r="AD17" s="356" t="b">
        <f t="shared" si="27"/>
        <v>1</v>
      </c>
      <c r="AE17" s="356" t="b">
        <f t="shared" si="28"/>
        <v>1</v>
      </c>
      <c r="AF17" s="356" t="b">
        <f t="shared" si="29"/>
        <v>1</v>
      </c>
      <c r="AG17" s="356" t="b">
        <f t="shared" si="30"/>
        <v>1</v>
      </c>
      <c r="AH17" s="356" t="b">
        <f t="shared" si="31"/>
        <v>1</v>
      </c>
      <c r="AI17" s="356" t="b">
        <f t="shared" si="32"/>
        <v>1</v>
      </c>
      <c r="AJ17" s="356" t="b">
        <f t="shared" si="33"/>
        <v>1</v>
      </c>
      <c r="AK17" s="356" t="b">
        <f t="shared" si="34"/>
        <v>1</v>
      </c>
      <c r="AL17" s="895" t="str">
        <f t="shared" si="35"/>
        <v/>
      </c>
      <c r="AM17" s="896" t="str">
        <f t="shared" si="36"/>
        <v/>
      </c>
      <c r="AN17" s="896" t="str">
        <f t="shared" si="37"/>
        <v/>
      </c>
      <c r="AO17" s="896" t="str">
        <f t="shared" si="38"/>
        <v/>
      </c>
      <c r="AP17" s="896" t="str">
        <f t="shared" si="39"/>
        <v/>
      </c>
      <c r="AQ17" s="896" t="str">
        <f t="shared" si="40"/>
        <v/>
      </c>
      <c r="AR17" s="896" t="str">
        <f t="shared" si="41"/>
        <v/>
      </c>
      <c r="AS17" s="896" t="str">
        <f t="shared" si="42"/>
        <v/>
      </c>
      <c r="AT17" s="896" t="str">
        <f t="shared" si="43"/>
        <v/>
      </c>
      <c r="AU17" s="896" t="str">
        <f t="shared" si="44"/>
        <v/>
      </c>
      <c r="AV17" s="896" t="str">
        <f t="shared" si="45"/>
        <v/>
      </c>
      <c r="AW17" s="900" t="str">
        <f t="shared" si="45"/>
        <v/>
      </c>
    </row>
    <row r="18" spans="1:49" s="356" customFormat="1">
      <c r="A18" s="880" t="str">
        <f t="shared" si="46"/>
        <v>2023/03/21</v>
      </c>
      <c r="B18" s="355" t="s">
        <v>291</v>
      </c>
      <c r="C18" s="355" t="str">
        <f t="shared" si="0"/>
        <v xml:space="preserve">Xà bông (1)脫脂 </v>
      </c>
      <c r="D18" s="355" t="str">
        <f t="shared" si="1"/>
        <v>XL-001F</v>
      </c>
      <c r="E18" s="355" t="str">
        <f t="shared" si="2"/>
        <v>g/L</v>
      </c>
      <c r="F18" s="355" t="str">
        <f t="shared" si="3"/>
        <v>60~80</v>
      </c>
      <c r="G18" s="868">
        <f t="shared" si="4"/>
        <v>0</v>
      </c>
      <c r="H18" s="868" t="str">
        <f t="shared" si="5"/>
        <v>+</v>
      </c>
      <c r="I18" s="873">
        <f t="shared" si="6"/>
        <v>0</v>
      </c>
      <c r="J18" s="868">
        <f t="shared" si="7"/>
        <v>0</v>
      </c>
      <c r="K18" s="868" t="str">
        <f t="shared" si="8"/>
        <v>+</v>
      </c>
      <c r="L18" s="873">
        <f t="shared" si="9"/>
        <v>0</v>
      </c>
      <c r="M18" s="868">
        <f t="shared" si="10"/>
        <v>0</v>
      </c>
      <c r="N18" s="868" t="str">
        <f t="shared" si="11"/>
        <v>+</v>
      </c>
      <c r="O18" s="873">
        <f t="shared" si="12"/>
        <v>0</v>
      </c>
      <c r="P18" s="868">
        <f t="shared" si="13"/>
        <v>0</v>
      </c>
      <c r="Q18" s="868" t="str">
        <f t="shared" si="14"/>
        <v>+</v>
      </c>
      <c r="R18" s="873">
        <f t="shared" si="15"/>
        <v>0</v>
      </c>
      <c r="S18" s="868">
        <f t="shared" si="16"/>
        <v>0</v>
      </c>
      <c r="T18" s="861" t="str">
        <f t="shared" si="17"/>
        <v>+</v>
      </c>
      <c r="U18" s="862">
        <f t="shared" si="18"/>
        <v>0</v>
      </c>
      <c r="V18" s="868">
        <f t="shared" si="19"/>
        <v>0</v>
      </c>
      <c r="W18" s="861" t="str">
        <f t="shared" si="20"/>
        <v>+</v>
      </c>
      <c r="X18" s="862">
        <f t="shared" si="21"/>
        <v>0</v>
      </c>
      <c r="Z18" s="356" t="b">
        <f t="shared" si="23"/>
        <v>1</v>
      </c>
      <c r="AA18" s="356" t="b">
        <f t="shared" si="24"/>
        <v>0</v>
      </c>
      <c r="AB18" s="356" t="b">
        <f t="shared" si="25"/>
        <v>1</v>
      </c>
      <c r="AC18" s="356" t="b">
        <f t="shared" si="26"/>
        <v>0</v>
      </c>
      <c r="AD18" s="356" t="b">
        <f t="shared" si="27"/>
        <v>1</v>
      </c>
      <c r="AE18" s="356" t="b">
        <f t="shared" si="28"/>
        <v>0</v>
      </c>
      <c r="AF18" s="356" t="b">
        <f t="shared" si="29"/>
        <v>1</v>
      </c>
      <c r="AG18" s="356" t="b">
        <f t="shared" si="30"/>
        <v>0</v>
      </c>
      <c r="AH18" s="356" t="b">
        <f t="shared" si="31"/>
        <v>1</v>
      </c>
      <c r="AI18" s="356" t="b">
        <f t="shared" si="32"/>
        <v>0</v>
      </c>
      <c r="AJ18" s="356" t="b">
        <f t="shared" si="33"/>
        <v>1</v>
      </c>
      <c r="AK18" s="356" t="b">
        <f t="shared" si="34"/>
        <v>0</v>
      </c>
      <c r="AL18" s="895" t="str">
        <f t="shared" si="35"/>
        <v/>
      </c>
      <c r="AM18" s="896">
        <f t="shared" si="36"/>
        <v>1</v>
      </c>
      <c r="AN18" s="896" t="str">
        <f t="shared" si="37"/>
        <v/>
      </c>
      <c r="AO18" s="896">
        <f t="shared" si="38"/>
        <v>1</v>
      </c>
      <c r="AP18" s="896" t="str">
        <f t="shared" si="39"/>
        <v/>
      </c>
      <c r="AQ18" s="896">
        <f t="shared" si="40"/>
        <v>1</v>
      </c>
      <c r="AR18" s="896" t="str">
        <f t="shared" si="41"/>
        <v/>
      </c>
      <c r="AS18" s="896">
        <f t="shared" si="42"/>
        <v>1</v>
      </c>
      <c r="AT18" s="896" t="str">
        <f t="shared" si="43"/>
        <v/>
      </c>
      <c r="AU18" s="896">
        <f t="shared" si="44"/>
        <v>1</v>
      </c>
      <c r="AV18" s="896" t="str">
        <f t="shared" si="45"/>
        <v/>
      </c>
      <c r="AW18" s="900">
        <f t="shared" si="45"/>
        <v>1</v>
      </c>
    </row>
    <row r="19" spans="1:49" s="356" customFormat="1">
      <c r="A19" s="880" t="str">
        <f t="shared" si="46"/>
        <v>2023/03/21</v>
      </c>
      <c r="B19" s="355" t="s">
        <v>292</v>
      </c>
      <c r="C19" s="355" t="str">
        <f t="shared" si="0"/>
        <v xml:space="preserve">Xà bông (2)脫脂 </v>
      </c>
      <c r="D19" s="355" t="str">
        <f t="shared" si="1"/>
        <v>XL-001F</v>
      </c>
      <c r="E19" s="355" t="str">
        <f t="shared" si="2"/>
        <v>g/L</v>
      </c>
      <c r="F19" s="355" t="str">
        <f t="shared" si="3"/>
        <v>60~80</v>
      </c>
      <c r="G19" s="868">
        <f t="shared" si="4"/>
        <v>0</v>
      </c>
      <c r="H19" s="868" t="str">
        <f t="shared" si="5"/>
        <v>+</v>
      </c>
      <c r="I19" s="873">
        <f t="shared" si="6"/>
        <v>0</v>
      </c>
      <c r="J19" s="868">
        <f t="shared" si="7"/>
        <v>0</v>
      </c>
      <c r="K19" s="868" t="str">
        <f t="shared" si="8"/>
        <v>+</v>
      </c>
      <c r="L19" s="873">
        <f t="shared" si="9"/>
        <v>0</v>
      </c>
      <c r="M19" s="868">
        <f t="shared" si="10"/>
        <v>0</v>
      </c>
      <c r="N19" s="868" t="str">
        <f t="shared" si="11"/>
        <v>+</v>
      </c>
      <c r="O19" s="873">
        <f t="shared" si="12"/>
        <v>0</v>
      </c>
      <c r="P19" s="868">
        <f t="shared" si="13"/>
        <v>0</v>
      </c>
      <c r="Q19" s="868" t="str">
        <f t="shared" si="14"/>
        <v>+</v>
      </c>
      <c r="R19" s="873">
        <f t="shared" si="15"/>
        <v>0</v>
      </c>
      <c r="S19" s="868">
        <f t="shared" si="16"/>
        <v>0</v>
      </c>
      <c r="T19" s="861" t="str">
        <f t="shared" si="17"/>
        <v>+</v>
      </c>
      <c r="U19" s="862">
        <f t="shared" si="18"/>
        <v>0</v>
      </c>
      <c r="V19" s="868">
        <f t="shared" si="19"/>
        <v>0</v>
      </c>
      <c r="W19" s="861" t="str">
        <f t="shared" si="20"/>
        <v>+</v>
      </c>
      <c r="X19" s="862">
        <f t="shared" si="21"/>
        <v>0</v>
      </c>
      <c r="Z19" s="356" t="b">
        <f t="shared" si="23"/>
        <v>1</v>
      </c>
      <c r="AA19" s="356" t="b">
        <f t="shared" si="24"/>
        <v>0</v>
      </c>
      <c r="AB19" s="356" t="b">
        <f t="shared" si="25"/>
        <v>1</v>
      </c>
      <c r="AC19" s="356" t="b">
        <f t="shared" si="26"/>
        <v>0</v>
      </c>
      <c r="AD19" s="356" t="b">
        <f t="shared" si="27"/>
        <v>1</v>
      </c>
      <c r="AE19" s="356" t="b">
        <f t="shared" si="28"/>
        <v>0</v>
      </c>
      <c r="AF19" s="356" t="b">
        <f t="shared" si="29"/>
        <v>1</v>
      </c>
      <c r="AG19" s="356" t="b">
        <f t="shared" si="30"/>
        <v>0</v>
      </c>
      <c r="AH19" s="356" t="b">
        <f t="shared" si="31"/>
        <v>1</v>
      </c>
      <c r="AI19" s="356" t="b">
        <f t="shared" si="32"/>
        <v>0</v>
      </c>
      <c r="AJ19" s="356" t="b">
        <f t="shared" si="33"/>
        <v>1</v>
      </c>
      <c r="AK19" s="356" t="b">
        <f t="shared" si="34"/>
        <v>0</v>
      </c>
      <c r="AL19" s="895" t="str">
        <f t="shared" si="35"/>
        <v/>
      </c>
      <c r="AM19" s="896">
        <f t="shared" si="36"/>
        <v>1</v>
      </c>
      <c r="AN19" s="896" t="str">
        <f t="shared" si="37"/>
        <v/>
      </c>
      <c r="AO19" s="896">
        <f t="shared" si="38"/>
        <v>1</v>
      </c>
      <c r="AP19" s="896" t="str">
        <f t="shared" si="39"/>
        <v/>
      </c>
      <c r="AQ19" s="896">
        <f t="shared" si="40"/>
        <v>1</v>
      </c>
      <c r="AR19" s="896" t="str">
        <f t="shared" si="41"/>
        <v/>
      </c>
      <c r="AS19" s="896">
        <f t="shared" si="42"/>
        <v>1</v>
      </c>
      <c r="AT19" s="896" t="str">
        <f t="shared" si="43"/>
        <v/>
      </c>
      <c r="AU19" s="896">
        <f t="shared" si="44"/>
        <v>1</v>
      </c>
      <c r="AV19" s="896" t="str">
        <f t="shared" si="45"/>
        <v/>
      </c>
      <c r="AW19" s="900">
        <f t="shared" si="45"/>
        <v>1</v>
      </c>
    </row>
    <row r="20" spans="1:49" s="356" customFormat="1">
      <c r="A20" s="880" t="str">
        <f t="shared" si="46"/>
        <v>2023/03/21</v>
      </c>
      <c r="B20" s="355" t="s">
        <v>293</v>
      </c>
      <c r="C20" s="355" t="str">
        <f t="shared" si="0"/>
        <v xml:space="preserve">điện giải(1)+電解  </v>
      </c>
      <c r="D20" s="355" t="str">
        <f t="shared" si="1"/>
        <v>XL-001F</v>
      </c>
      <c r="E20" s="355" t="str">
        <f t="shared" si="2"/>
        <v>g/L</v>
      </c>
      <c r="F20" s="355" t="str">
        <f t="shared" si="3"/>
        <v>50~70</v>
      </c>
      <c r="G20" s="868">
        <f t="shared" si="4"/>
        <v>0</v>
      </c>
      <c r="H20" s="868" t="str">
        <f t="shared" si="5"/>
        <v>+</v>
      </c>
      <c r="I20" s="873">
        <f t="shared" si="6"/>
        <v>0</v>
      </c>
      <c r="J20" s="868">
        <f t="shared" si="7"/>
        <v>0</v>
      </c>
      <c r="K20" s="868" t="str">
        <f t="shared" si="8"/>
        <v>+</v>
      </c>
      <c r="L20" s="873">
        <f t="shared" si="9"/>
        <v>0</v>
      </c>
      <c r="M20" s="868">
        <f t="shared" si="10"/>
        <v>0</v>
      </c>
      <c r="N20" s="868" t="str">
        <f t="shared" si="11"/>
        <v>+</v>
      </c>
      <c r="O20" s="873">
        <f t="shared" si="12"/>
        <v>0</v>
      </c>
      <c r="P20" s="868">
        <f t="shared" si="13"/>
        <v>0</v>
      </c>
      <c r="Q20" s="868" t="str">
        <f t="shared" si="14"/>
        <v>+</v>
      </c>
      <c r="R20" s="873">
        <f t="shared" si="15"/>
        <v>0</v>
      </c>
      <c r="S20" s="868">
        <f t="shared" si="16"/>
        <v>0</v>
      </c>
      <c r="T20" s="861" t="str">
        <f t="shared" si="17"/>
        <v>+</v>
      </c>
      <c r="U20" s="862">
        <f t="shared" si="18"/>
        <v>0</v>
      </c>
      <c r="V20" s="868">
        <f t="shared" si="19"/>
        <v>0</v>
      </c>
      <c r="W20" s="861" t="str">
        <f t="shared" si="20"/>
        <v>+</v>
      </c>
      <c r="X20" s="862">
        <f t="shared" si="21"/>
        <v>0</v>
      </c>
      <c r="Z20" s="356" t="b">
        <f t="shared" si="23"/>
        <v>1</v>
      </c>
      <c r="AA20" s="356" t="b">
        <f t="shared" si="24"/>
        <v>0</v>
      </c>
      <c r="AB20" s="356" t="b">
        <f t="shared" si="25"/>
        <v>1</v>
      </c>
      <c r="AC20" s="356" t="b">
        <f t="shared" si="26"/>
        <v>0</v>
      </c>
      <c r="AD20" s="356" t="b">
        <f t="shared" si="27"/>
        <v>1</v>
      </c>
      <c r="AE20" s="356" t="b">
        <f t="shared" si="28"/>
        <v>0</v>
      </c>
      <c r="AF20" s="356" t="b">
        <f t="shared" si="29"/>
        <v>1</v>
      </c>
      <c r="AG20" s="356" t="b">
        <f t="shared" si="30"/>
        <v>0</v>
      </c>
      <c r="AH20" s="356" t="b">
        <f t="shared" si="31"/>
        <v>1</v>
      </c>
      <c r="AI20" s="356" t="b">
        <f t="shared" si="32"/>
        <v>0</v>
      </c>
      <c r="AJ20" s="356" t="b">
        <f t="shared" si="33"/>
        <v>1</v>
      </c>
      <c r="AK20" s="356" t="b">
        <f t="shared" si="34"/>
        <v>0</v>
      </c>
      <c r="AL20" s="895" t="str">
        <f t="shared" si="35"/>
        <v/>
      </c>
      <c r="AM20" s="896">
        <f t="shared" si="36"/>
        <v>1</v>
      </c>
      <c r="AN20" s="896" t="str">
        <f t="shared" si="37"/>
        <v/>
      </c>
      <c r="AO20" s="896">
        <f t="shared" si="38"/>
        <v>1</v>
      </c>
      <c r="AP20" s="896" t="str">
        <f t="shared" si="39"/>
        <v/>
      </c>
      <c r="AQ20" s="896">
        <f t="shared" si="40"/>
        <v>1</v>
      </c>
      <c r="AR20" s="896" t="str">
        <f t="shared" si="41"/>
        <v/>
      </c>
      <c r="AS20" s="896">
        <f t="shared" si="42"/>
        <v>1</v>
      </c>
      <c r="AT20" s="896" t="str">
        <f t="shared" si="43"/>
        <v/>
      </c>
      <c r="AU20" s="896">
        <f t="shared" si="44"/>
        <v>1</v>
      </c>
      <c r="AV20" s="896" t="str">
        <f t="shared" si="45"/>
        <v/>
      </c>
      <c r="AW20" s="900">
        <f t="shared" si="45"/>
        <v>1</v>
      </c>
    </row>
    <row r="21" spans="1:49" s="356" customFormat="1">
      <c r="A21" s="880" t="str">
        <f t="shared" si="46"/>
        <v>2023/03/21</v>
      </c>
      <c r="B21" s="355" t="s">
        <v>294</v>
      </c>
      <c r="C21" s="355" t="str">
        <f t="shared" si="0"/>
        <v xml:space="preserve">điện giải (2)+電解  </v>
      </c>
      <c r="D21" s="355" t="str">
        <f t="shared" si="1"/>
        <v>XL-001F</v>
      </c>
      <c r="E21" s="355" t="str">
        <f t="shared" si="2"/>
        <v>g/L</v>
      </c>
      <c r="F21" s="355" t="str">
        <f t="shared" si="3"/>
        <v>50~70</v>
      </c>
      <c r="G21" s="868">
        <f t="shared" si="4"/>
        <v>0</v>
      </c>
      <c r="H21" s="868" t="str">
        <f t="shared" si="5"/>
        <v>+</v>
      </c>
      <c r="I21" s="873">
        <f t="shared" si="6"/>
        <v>0</v>
      </c>
      <c r="J21" s="868">
        <f t="shared" si="7"/>
        <v>0</v>
      </c>
      <c r="K21" s="868" t="str">
        <f t="shared" si="8"/>
        <v>+</v>
      </c>
      <c r="L21" s="873">
        <f t="shared" si="9"/>
        <v>0</v>
      </c>
      <c r="M21" s="868">
        <f t="shared" si="10"/>
        <v>0</v>
      </c>
      <c r="N21" s="868" t="str">
        <f t="shared" si="11"/>
        <v>+</v>
      </c>
      <c r="O21" s="873">
        <f t="shared" si="12"/>
        <v>0</v>
      </c>
      <c r="P21" s="868">
        <f t="shared" si="13"/>
        <v>0</v>
      </c>
      <c r="Q21" s="868" t="str">
        <f t="shared" si="14"/>
        <v>+</v>
      </c>
      <c r="R21" s="873">
        <f t="shared" si="15"/>
        <v>0</v>
      </c>
      <c r="S21" s="868">
        <f t="shared" si="16"/>
        <v>0</v>
      </c>
      <c r="T21" s="861" t="str">
        <f t="shared" si="17"/>
        <v>+</v>
      </c>
      <c r="U21" s="862">
        <f t="shared" si="18"/>
        <v>0</v>
      </c>
      <c r="V21" s="868">
        <f t="shared" si="19"/>
        <v>0</v>
      </c>
      <c r="W21" s="861" t="str">
        <f t="shared" si="20"/>
        <v>+</v>
      </c>
      <c r="X21" s="862">
        <f t="shared" si="21"/>
        <v>0</v>
      </c>
      <c r="Z21" s="356" t="b">
        <f t="shared" si="23"/>
        <v>1</v>
      </c>
      <c r="AA21" s="356" t="b">
        <f t="shared" si="24"/>
        <v>0</v>
      </c>
      <c r="AB21" s="356" t="b">
        <f t="shared" si="25"/>
        <v>1</v>
      </c>
      <c r="AC21" s="356" t="b">
        <f t="shared" si="26"/>
        <v>0</v>
      </c>
      <c r="AD21" s="356" t="b">
        <f t="shared" si="27"/>
        <v>1</v>
      </c>
      <c r="AE21" s="356" t="b">
        <f t="shared" si="28"/>
        <v>0</v>
      </c>
      <c r="AF21" s="356" t="b">
        <f t="shared" si="29"/>
        <v>1</v>
      </c>
      <c r="AG21" s="356" t="b">
        <f t="shared" si="30"/>
        <v>0</v>
      </c>
      <c r="AH21" s="356" t="b">
        <f t="shared" si="31"/>
        <v>1</v>
      </c>
      <c r="AI21" s="356" t="b">
        <f t="shared" si="32"/>
        <v>0</v>
      </c>
      <c r="AJ21" s="356" t="b">
        <f t="shared" si="33"/>
        <v>1</v>
      </c>
      <c r="AK21" s="356" t="b">
        <f t="shared" si="34"/>
        <v>0</v>
      </c>
      <c r="AL21" s="895" t="str">
        <f t="shared" si="35"/>
        <v/>
      </c>
      <c r="AM21" s="896">
        <f t="shared" si="36"/>
        <v>1</v>
      </c>
      <c r="AN21" s="896" t="str">
        <f t="shared" si="37"/>
        <v/>
      </c>
      <c r="AO21" s="896">
        <f t="shared" si="38"/>
        <v>1</v>
      </c>
      <c r="AP21" s="896" t="str">
        <f t="shared" si="39"/>
        <v/>
      </c>
      <c r="AQ21" s="896">
        <f t="shared" si="40"/>
        <v>1</v>
      </c>
      <c r="AR21" s="896" t="str">
        <f t="shared" si="41"/>
        <v/>
      </c>
      <c r="AS21" s="896">
        <f t="shared" si="42"/>
        <v>1</v>
      </c>
      <c r="AT21" s="896" t="str">
        <f t="shared" si="43"/>
        <v/>
      </c>
      <c r="AU21" s="896">
        <f t="shared" si="44"/>
        <v>1</v>
      </c>
      <c r="AV21" s="896" t="str">
        <f t="shared" si="45"/>
        <v/>
      </c>
      <c r="AW21" s="900">
        <f t="shared" si="45"/>
        <v>1</v>
      </c>
    </row>
    <row r="22" spans="1:49" s="356" customFormat="1">
      <c r="A22" s="880" t="str">
        <f t="shared" si="46"/>
        <v>2023/03/21</v>
      </c>
      <c r="B22" s="355" t="s">
        <v>295</v>
      </c>
      <c r="C22" s="355" t="str">
        <f t="shared" si="0"/>
        <v>Nồng độ    NaOH
氫氧化鈉</v>
      </c>
      <c r="D22" s="355" t="str">
        <f t="shared" si="1"/>
        <v>XL-001F</v>
      </c>
      <c r="E22" s="355" t="str">
        <f t="shared" si="2"/>
        <v>g/L</v>
      </c>
      <c r="F22" s="355" t="str">
        <f t="shared" si="3"/>
        <v>130 - 150</v>
      </c>
      <c r="G22" s="868">
        <f t="shared" si="4"/>
        <v>0</v>
      </c>
      <c r="H22" s="868" t="str">
        <f t="shared" si="5"/>
        <v>+</v>
      </c>
      <c r="I22" s="873">
        <f t="shared" si="6"/>
        <v>0</v>
      </c>
      <c r="J22" s="868">
        <f t="shared" si="7"/>
        <v>0</v>
      </c>
      <c r="K22" s="868" t="str">
        <f t="shared" si="8"/>
        <v>+</v>
      </c>
      <c r="L22" s="873">
        <f t="shared" si="9"/>
        <v>0</v>
      </c>
      <c r="M22" s="868">
        <f t="shared" si="10"/>
        <v>0</v>
      </c>
      <c r="N22" s="868" t="str">
        <f t="shared" si="11"/>
        <v>+</v>
      </c>
      <c r="O22" s="873">
        <f t="shared" si="12"/>
        <v>0</v>
      </c>
      <c r="P22" s="868">
        <f t="shared" si="13"/>
        <v>0</v>
      </c>
      <c r="Q22" s="868" t="str">
        <f t="shared" si="14"/>
        <v>+</v>
      </c>
      <c r="R22" s="873">
        <f t="shared" si="15"/>
        <v>0</v>
      </c>
      <c r="S22" s="868">
        <f t="shared" si="16"/>
        <v>0</v>
      </c>
      <c r="T22" s="861" t="str">
        <f t="shared" si="17"/>
        <v>+</v>
      </c>
      <c r="U22" s="862">
        <f t="shared" si="18"/>
        <v>0</v>
      </c>
      <c r="V22" s="868">
        <f t="shared" si="19"/>
        <v>0</v>
      </c>
      <c r="W22" s="861" t="str">
        <f t="shared" si="20"/>
        <v>+</v>
      </c>
      <c r="X22" s="862">
        <f t="shared" si="21"/>
        <v>0</v>
      </c>
      <c r="Z22" s="356" t="b">
        <f t="shared" si="23"/>
        <v>1</v>
      </c>
      <c r="AA22" s="356" t="b">
        <f t="shared" si="24"/>
        <v>0</v>
      </c>
      <c r="AB22" s="356" t="b">
        <f t="shared" si="25"/>
        <v>1</v>
      </c>
      <c r="AC22" s="356" t="b">
        <f t="shared" si="26"/>
        <v>0</v>
      </c>
      <c r="AD22" s="356" t="b">
        <f t="shared" si="27"/>
        <v>1</v>
      </c>
      <c r="AE22" s="356" t="b">
        <f t="shared" si="28"/>
        <v>0</v>
      </c>
      <c r="AF22" s="356" t="b">
        <f t="shared" si="29"/>
        <v>1</v>
      </c>
      <c r="AG22" s="356" t="b">
        <f t="shared" si="30"/>
        <v>0</v>
      </c>
      <c r="AH22" s="356" t="b">
        <f t="shared" si="31"/>
        <v>1</v>
      </c>
      <c r="AI22" s="356" t="b">
        <f t="shared" si="32"/>
        <v>0</v>
      </c>
      <c r="AJ22" s="356" t="b">
        <f t="shared" si="33"/>
        <v>1</v>
      </c>
      <c r="AK22" s="356" t="b">
        <f t="shared" si="34"/>
        <v>0</v>
      </c>
      <c r="AL22" s="895" t="str">
        <f t="shared" si="35"/>
        <v/>
      </c>
      <c r="AM22" s="896">
        <f t="shared" si="36"/>
        <v>1</v>
      </c>
      <c r="AN22" s="896" t="str">
        <f t="shared" si="37"/>
        <v/>
      </c>
      <c r="AO22" s="896">
        <f t="shared" si="38"/>
        <v>1</v>
      </c>
      <c r="AP22" s="896" t="str">
        <f t="shared" si="39"/>
        <v/>
      </c>
      <c r="AQ22" s="896">
        <f t="shared" si="40"/>
        <v>1</v>
      </c>
      <c r="AR22" s="896" t="str">
        <f t="shared" si="41"/>
        <v/>
      </c>
      <c r="AS22" s="896">
        <f t="shared" si="42"/>
        <v>1</v>
      </c>
      <c r="AT22" s="896" t="str">
        <f t="shared" si="43"/>
        <v/>
      </c>
      <c r="AU22" s="896">
        <f t="shared" si="44"/>
        <v>1</v>
      </c>
      <c r="AV22" s="896" t="str">
        <f t="shared" si="45"/>
        <v/>
      </c>
      <c r="AW22" s="900">
        <f t="shared" si="45"/>
        <v>1</v>
      </c>
    </row>
    <row r="23" spans="1:49" s="356" customFormat="1">
      <c r="A23" s="880" t="str">
        <f t="shared" si="46"/>
        <v>2023/03/21</v>
      </c>
      <c r="B23" s="355" t="s">
        <v>296</v>
      </c>
      <c r="C23" s="355" t="str">
        <f t="shared" si="0"/>
        <v>Nồng độ Zn  鋅
(1 pcs Zn=25kg)</v>
      </c>
      <c r="D23" s="355" t="str">
        <f t="shared" si="1"/>
        <v>XL-001F</v>
      </c>
      <c r="E23" s="355" t="str">
        <f t="shared" si="2"/>
        <v>g/L</v>
      </c>
      <c r="F23" s="355" t="str">
        <f t="shared" si="3"/>
        <v>8~12</v>
      </c>
      <c r="G23" s="868">
        <f t="shared" si="4"/>
        <v>0</v>
      </c>
      <c r="H23" s="868" t="str">
        <f t="shared" si="5"/>
        <v>+</v>
      </c>
      <c r="I23" s="873">
        <f t="shared" si="6"/>
        <v>0</v>
      </c>
      <c r="J23" s="868">
        <f t="shared" si="7"/>
        <v>0</v>
      </c>
      <c r="K23" s="868" t="str">
        <f t="shared" si="8"/>
        <v>+</v>
      </c>
      <c r="L23" s="873">
        <f t="shared" si="9"/>
        <v>0</v>
      </c>
      <c r="M23" s="868">
        <f t="shared" si="10"/>
        <v>0</v>
      </c>
      <c r="N23" s="868" t="str">
        <f t="shared" si="11"/>
        <v>+</v>
      </c>
      <c r="O23" s="873">
        <f t="shared" si="12"/>
        <v>0</v>
      </c>
      <c r="P23" s="868">
        <f t="shared" si="13"/>
        <v>0</v>
      </c>
      <c r="Q23" s="868" t="str">
        <f t="shared" si="14"/>
        <v>+</v>
      </c>
      <c r="R23" s="873">
        <f t="shared" si="15"/>
        <v>0</v>
      </c>
      <c r="S23" s="868">
        <f t="shared" si="16"/>
        <v>0</v>
      </c>
      <c r="T23" s="861" t="str">
        <f t="shared" si="17"/>
        <v>+</v>
      </c>
      <c r="U23" s="862">
        <f t="shared" si="18"/>
        <v>0</v>
      </c>
      <c r="V23" s="868">
        <f t="shared" si="19"/>
        <v>0</v>
      </c>
      <c r="W23" s="861" t="str">
        <f t="shared" si="20"/>
        <v>+</v>
      </c>
      <c r="X23" s="862">
        <f t="shared" si="21"/>
        <v>0</v>
      </c>
      <c r="Z23" s="356" t="b">
        <f t="shared" si="23"/>
        <v>1</v>
      </c>
      <c r="AA23" s="356" t="b">
        <f t="shared" si="24"/>
        <v>0</v>
      </c>
      <c r="AB23" s="356" t="b">
        <f t="shared" si="25"/>
        <v>1</v>
      </c>
      <c r="AC23" s="356" t="b">
        <f t="shared" si="26"/>
        <v>0</v>
      </c>
      <c r="AD23" s="356" t="b">
        <f t="shared" si="27"/>
        <v>1</v>
      </c>
      <c r="AE23" s="356" t="b">
        <f t="shared" si="28"/>
        <v>0</v>
      </c>
      <c r="AF23" s="356" t="b">
        <f t="shared" si="29"/>
        <v>1</v>
      </c>
      <c r="AG23" s="356" t="b">
        <f t="shared" si="30"/>
        <v>0</v>
      </c>
      <c r="AH23" s="356" t="b">
        <f t="shared" si="31"/>
        <v>1</v>
      </c>
      <c r="AI23" s="356" t="b">
        <f t="shared" si="32"/>
        <v>0</v>
      </c>
      <c r="AJ23" s="356" t="b">
        <f t="shared" si="33"/>
        <v>1</v>
      </c>
      <c r="AK23" s="356" t="b">
        <f t="shared" si="34"/>
        <v>0</v>
      </c>
      <c r="AL23" s="895" t="str">
        <f t="shared" si="35"/>
        <v/>
      </c>
      <c r="AM23" s="896">
        <f t="shared" si="36"/>
        <v>1</v>
      </c>
      <c r="AN23" s="896" t="str">
        <f t="shared" si="37"/>
        <v/>
      </c>
      <c r="AO23" s="896">
        <f t="shared" si="38"/>
        <v>1</v>
      </c>
      <c r="AP23" s="896" t="str">
        <f t="shared" si="39"/>
        <v/>
      </c>
      <c r="AQ23" s="896">
        <f t="shared" si="40"/>
        <v>1</v>
      </c>
      <c r="AR23" s="896" t="str">
        <f t="shared" si="41"/>
        <v/>
      </c>
      <c r="AS23" s="896">
        <f t="shared" si="42"/>
        <v>1</v>
      </c>
      <c r="AT23" s="896" t="str">
        <f t="shared" si="43"/>
        <v/>
      </c>
      <c r="AU23" s="896">
        <f t="shared" si="44"/>
        <v>1</v>
      </c>
      <c r="AV23" s="896" t="str">
        <f t="shared" si="45"/>
        <v/>
      </c>
      <c r="AW23" s="900">
        <f t="shared" si="45"/>
        <v>1</v>
      </c>
    </row>
    <row r="24" spans="1:49" s="356" customFormat="1">
      <c r="A24" s="880" t="str">
        <f t="shared" si="46"/>
        <v>2023/03/21</v>
      </c>
      <c r="B24" s="355" t="s">
        <v>297</v>
      </c>
      <c r="C24" s="355" t="str">
        <f t="shared" si="0"/>
        <v>Nồng độ Cr2O3 三價鉻
LANTHANE 318</v>
      </c>
      <c r="D24" s="355" t="str">
        <f t="shared" si="1"/>
        <v>XL-001F</v>
      </c>
      <c r="E24" s="355" t="str">
        <f t="shared" si="2"/>
        <v>%</v>
      </c>
      <c r="F24" s="355" t="str">
        <f t="shared" si="3"/>
        <v xml:space="preserve">6~10 </v>
      </c>
      <c r="G24" s="868">
        <f t="shared" si="4"/>
        <v>0</v>
      </c>
      <c r="H24" s="868" t="str">
        <f t="shared" si="5"/>
        <v>+</v>
      </c>
      <c r="I24" s="873">
        <f t="shared" si="6"/>
        <v>0</v>
      </c>
      <c r="J24" s="868">
        <f t="shared" si="7"/>
        <v>0</v>
      </c>
      <c r="K24" s="868" t="str">
        <f t="shared" si="8"/>
        <v>+</v>
      </c>
      <c r="L24" s="873">
        <f t="shared" si="9"/>
        <v>0</v>
      </c>
      <c r="M24" s="868">
        <f t="shared" si="10"/>
        <v>0</v>
      </c>
      <c r="N24" s="868" t="str">
        <f t="shared" si="11"/>
        <v>+</v>
      </c>
      <c r="O24" s="873">
        <f t="shared" si="12"/>
        <v>0</v>
      </c>
      <c r="P24" s="868">
        <f t="shared" si="13"/>
        <v>0</v>
      </c>
      <c r="Q24" s="868" t="str">
        <f t="shared" si="14"/>
        <v>+</v>
      </c>
      <c r="R24" s="873">
        <f t="shared" si="15"/>
        <v>0</v>
      </c>
      <c r="S24" s="868">
        <f t="shared" si="16"/>
        <v>0</v>
      </c>
      <c r="T24" s="861" t="str">
        <f t="shared" si="17"/>
        <v>+</v>
      </c>
      <c r="U24" s="862">
        <f t="shared" si="18"/>
        <v>0</v>
      </c>
      <c r="V24" s="868">
        <f t="shared" si="19"/>
        <v>0</v>
      </c>
      <c r="W24" s="861" t="str">
        <f t="shared" si="20"/>
        <v>+</v>
      </c>
      <c r="X24" s="862">
        <f t="shared" si="21"/>
        <v>0</v>
      </c>
      <c r="Z24" s="356" t="b">
        <f t="shared" si="23"/>
        <v>1</v>
      </c>
      <c r="AA24" s="356" t="b">
        <f t="shared" si="24"/>
        <v>0</v>
      </c>
      <c r="AB24" s="356" t="b">
        <f t="shared" si="25"/>
        <v>1</v>
      </c>
      <c r="AC24" s="356" t="b">
        <f t="shared" si="26"/>
        <v>0</v>
      </c>
      <c r="AD24" s="356" t="b">
        <f t="shared" si="27"/>
        <v>1</v>
      </c>
      <c r="AE24" s="356" t="b">
        <f t="shared" si="28"/>
        <v>0</v>
      </c>
      <c r="AF24" s="356" t="b">
        <f t="shared" si="29"/>
        <v>1</v>
      </c>
      <c r="AG24" s="356" t="b">
        <f t="shared" si="30"/>
        <v>0</v>
      </c>
      <c r="AH24" s="356" t="b">
        <f t="shared" si="31"/>
        <v>1</v>
      </c>
      <c r="AI24" s="356" t="b">
        <f t="shared" si="32"/>
        <v>0</v>
      </c>
      <c r="AJ24" s="356" t="b">
        <f t="shared" si="33"/>
        <v>1</v>
      </c>
      <c r="AK24" s="356" t="b">
        <f t="shared" si="34"/>
        <v>0</v>
      </c>
      <c r="AL24" s="895" t="str">
        <f t="shared" si="35"/>
        <v/>
      </c>
      <c r="AM24" s="896">
        <f t="shared" si="36"/>
        <v>1</v>
      </c>
      <c r="AN24" s="896" t="str">
        <f t="shared" si="37"/>
        <v/>
      </c>
      <c r="AO24" s="896">
        <f t="shared" si="38"/>
        <v>1</v>
      </c>
      <c r="AP24" s="896" t="str">
        <f t="shared" si="39"/>
        <v/>
      </c>
      <c r="AQ24" s="896">
        <f t="shared" si="40"/>
        <v>1</v>
      </c>
      <c r="AR24" s="896" t="str">
        <f t="shared" si="41"/>
        <v/>
      </c>
      <c r="AS24" s="896">
        <f t="shared" si="42"/>
        <v>1</v>
      </c>
      <c r="AT24" s="896" t="str">
        <f t="shared" si="43"/>
        <v/>
      </c>
      <c r="AU24" s="896">
        <f t="shared" si="44"/>
        <v>1</v>
      </c>
      <c r="AV24" s="896" t="str">
        <f t="shared" si="45"/>
        <v/>
      </c>
      <c r="AW24" s="900">
        <f t="shared" si="45"/>
        <v>1</v>
      </c>
    </row>
    <row r="25" spans="1:49" s="356" customFormat="1">
      <c r="A25" s="880" t="str">
        <f t="shared" si="46"/>
        <v>2023/03/21</v>
      </c>
      <c r="B25" s="355" t="s">
        <v>298</v>
      </c>
      <c r="C25" s="355" t="str">
        <f t="shared" si="0"/>
        <v>PH</v>
      </c>
      <c r="D25" s="355" t="str">
        <f t="shared" si="1"/>
        <v>XL-001F</v>
      </c>
      <c r="E25" s="355" t="str">
        <f t="shared" si="2"/>
        <v>pH</v>
      </c>
      <c r="F25" s="355" t="str">
        <f t="shared" si="3"/>
        <v>2~2.5</v>
      </c>
      <c r="G25" s="868">
        <f t="shared" si="4"/>
        <v>0</v>
      </c>
      <c r="H25" s="868">
        <f t="shared" si="5"/>
        <v>0</v>
      </c>
      <c r="I25" s="873">
        <f t="shared" si="6"/>
        <v>0</v>
      </c>
      <c r="J25" s="868">
        <f t="shared" si="7"/>
        <v>0</v>
      </c>
      <c r="K25" s="868">
        <f t="shared" si="8"/>
        <v>0</v>
      </c>
      <c r="L25" s="873">
        <f t="shared" si="9"/>
        <v>0</v>
      </c>
      <c r="M25" s="868">
        <f t="shared" si="10"/>
        <v>0</v>
      </c>
      <c r="N25" s="868">
        <f t="shared" si="11"/>
        <v>0</v>
      </c>
      <c r="O25" s="873">
        <f t="shared" si="12"/>
        <v>0</v>
      </c>
      <c r="P25" s="868">
        <f t="shared" si="13"/>
        <v>0</v>
      </c>
      <c r="Q25" s="868">
        <f t="shared" si="14"/>
        <v>0</v>
      </c>
      <c r="R25" s="873">
        <f t="shared" si="15"/>
        <v>0</v>
      </c>
      <c r="S25" s="868">
        <f t="shared" si="16"/>
        <v>0</v>
      </c>
      <c r="T25" s="861">
        <f t="shared" si="17"/>
        <v>0</v>
      </c>
      <c r="U25" s="862">
        <f t="shared" si="18"/>
        <v>0</v>
      </c>
      <c r="V25" s="868">
        <f t="shared" si="19"/>
        <v>0</v>
      </c>
      <c r="W25" s="861">
        <f t="shared" si="20"/>
        <v>0</v>
      </c>
      <c r="X25" s="862">
        <f t="shared" si="21"/>
        <v>0</v>
      </c>
      <c r="Z25" s="356" t="b">
        <f t="shared" si="23"/>
        <v>1</v>
      </c>
      <c r="AA25" s="356" t="b">
        <f t="shared" si="24"/>
        <v>1</v>
      </c>
      <c r="AB25" s="356" t="b">
        <f t="shared" si="25"/>
        <v>1</v>
      </c>
      <c r="AC25" s="356" t="b">
        <f t="shared" si="26"/>
        <v>1</v>
      </c>
      <c r="AD25" s="356" t="b">
        <f t="shared" si="27"/>
        <v>1</v>
      </c>
      <c r="AE25" s="356" t="b">
        <f t="shared" si="28"/>
        <v>1</v>
      </c>
      <c r="AF25" s="356" t="b">
        <f t="shared" si="29"/>
        <v>1</v>
      </c>
      <c r="AG25" s="356" t="b">
        <f t="shared" si="30"/>
        <v>1</v>
      </c>
      <c r="AH25" s="356" t="b">
        <f t="shared" si="31"/>
        <v>1</v>
      </c>
      <c r="AI25" s="356" t="b">
        <f t="shared" si="32"/>
        <v>1</v>
      </c>
      <c r="AJ25" s="356" t="b">
        <f t="shared" si="33"/>
        <v>1</v>
      </c>
      <c r="AK25" s="356" t="b">
        <f t="shared" si="34"/>
        <v>1</v>
      </c>
      <c r="AL25" s="895" t="str">
        <f t="shared" si="35"/>
        <v/>
      </c>
      <c r="AM25" s="896" t="str">
        <f t="shared" si="36"/>
        <v/>
      </c>
      <c r="AN25" s="896" t="str">
        <f t="shared" si="37"/>
        <v/>
      </c>
      <c r="AO25" s="896" t="str">
        <f t="shared" si="38"/>
        <v/>
      </c>
      <c r="AP25" s="896" t="str">
        <f t="shared" si="39"/>
        <v/>
      </c>
      <c r="AQ25" s="896" t="str">
        <f t="shared" si="40"/>
        <v/>
      </c>
      <c r="AR25" s="896" t="str">
        <f t="shared" si="41"/>
        <v/>
      </c>
      <c r="AS25" s="896" t="str">
        <f t="shared" si="42"/>
        <v/>
      </c>
      <c r="AT25" s="896" t="str">
        <f t="shared" si="43"/>
        <v/>
      </c>
      <c r="AU25" s="896" t="str">
        <f t="shared" si="44"/>
        <v/>
      </c>
      <c r="AV25" s="896" t="str">
        <f t="shared" si="45"/>
        <v/>
      </c>
      <c r="AW25" s="900" t="str">
        <f t="shared" si="45"/>
        <v/>
      </c>
    </row>
    <row r="26" spans="1:49" s="356" customFormat="1">
      <c r="A26" s="880" t="str">
        <f t="shared" si="46"/>
        <v>2023/03/21</v>
      </c>
      <c r="B26" s="355" t="s">
        <v>299</v>
      </c>
      <c r="C26" s="355" t="str">
        <f t="shared" si="0"/>
        <v>Nồng độ acid đặc
鹽酸 濃度</v>
      </c>
      <c r="D26" s="355" t="str">
        <f t="shared" si="1"/>
        <v>XL-001F</v>
      </c>
      <c r="E26" s="355" t="str">
        <f t="shared" si="2"/>
        <v>%V/V</v>
      </c>
      <c r="F26" s="355" t="str">
        <f t="shared" si="3"/>
        <v xml:space="preserve">30~60 </v>
      </c>
      <c r="G26" s="868">
        <f t="shared" si="4"/>
        <v>0</v>
      </c>
      <c r="H26" s="868" t="str">
        <f t="shared" si="5"/>
        <v>+</v>
      </c>
      <c r="I26" s="873">
        <f t="shared" si="6"/>
        <v>0</v>
      </c>
      <c r="J26" s="868">
        <f t="shared" si="7"/>
        <v>0</v>
      </c>
      <c r="K26" s="868" t="str">
        <f t="shared" si="8"/>
        <v>+</v>
      </c>
      <c r="L26" s="873">
        <f t="shared" si="9"/>
        <v>0</v>
      </c>
      <c r="M26" s="868">
        <f t="shared" si="10"/>
        <v>0</v>
      </c>
      <c r="N26" s="868" t="str">
        <f t="shared" si="11"/>
        <v>+</v>
      </c>
      <c r="O26" s="873">
        <f t="shared" si="12"/>
        <v>0</v>
      </c>
      <c r="P26" s="868">
        <f t="shared" si="13"/>
        <v>0</v>
      </c>
      <c r="Q26" s="868" t="str">
        <f t="shared" si="14"/>
        <v>+</v>
      </c>
      <c r="R26" s="873">
        <f t="shared" si="15"/>
        <v>0</v>
      </c>
      <c r="S26" s="868">
        <f t="shared" si="16"/>
        <v>0</v>
      </c>
      <c r="T26" s="861" t="str">
        <f t="shared" si="17"/>
        <v>+</v>
      </c>
      <c r="U26" s="862">
        <f t="shared" si="18"/>
        <v>0</v>
      </c>
      <c r="V26" s="868">
        <f t="shared" si="19"/>
        <v>0</v>
      </c>
      <c r="W26" s="861" t="str">
        <f t="shared" si="20"/>
        <v>+</v>
      </c>
      <c r="X26" s="862">
        <f t="shared" si="21"/>
        <v>0</v>
      </c>
      <c r="Z26" s="356" t="b">
        <f t="shared" si="23"/>
        <v>1</v>
      </c>
      <c r="AA26" s="356" t="b">
        <f t="shared" si="24"/>
        <v>0</v>
      </c>
      <c r="AB26" s="356" t="b">
        <f t="shared" si="25"/>
        <v>1</v>
      </c>
      <c r="AC26" s="356" t="b">
        <f t="shared" si="26"/>
        <v>0</v>
      </c>
      <c r="AD26" s="356" t="b">
        <f t="shared" si="27"/>
        <v>1</v>
      </c>
      <c r="AE26" s="356" t="b">
        <f t="shared" si="28"/>
        <v>0</v>
      </c>
      <c r="AF26" s="356" t="b">
        <f t="shared" si="29"/>
        <v>1</v>
      </c>
      <c r="AG26" s="356" t="b">
        <f t="shared" si="30"/>
        <v>0</v>
      </c>
      <c r="AH26" s="356" t="b">
        <f t="shared" si="31"/>
        <v>1</v>
      </c>
      <c r="AI26" s="356" t="b">
        <f t="shared" si="32"/>
        <v>0</v>
      </c>
      <c r="AJ26" s="356" t="b">
        <f t="shared" si="33"/>
        <v>1</v>
      </c>
      <c r="AK26" s="356" t="b">
        <f t="shared" si="34"/>
        <v>0</v>
      </c>
      <c r="AL26" s="895" t="str">
        <f t="shared" si="35"/>
        <v/>
      </c>
      <c r="AM26" s="896">
        <f t="shared" si="36"/>
        <v>1</v>
      </c>
      <c r="AN26" s="896" t="str">
        <f t="shared" si="37"/>
        <v/>
      </c>
      <c r="AO26" s="896">
        <f t="shared" si="38"/>
        <v>1</v>
      </c>
      <c r="AP26" s="896" t="str">
        <f t="shared" si="39"/>
        <v/>
      </c>
      <c r="AQ26" s="896">
        <f t="shared" si="40"/>
        <v>1</v>
      </c>
      <c r="AR26" s="896" t="str">
        <f t="shared" si="41"/>
        <v/>
      </c>
      <c r="AS26" s="896">
        <f t="shared" si="42"/>
        <v>1</v>
      </c>
      <c r="AT26" s="896" t="str">
        <f t="shared" si="43"/>
        <v/>
      </c>
      <c r="AU26" s="896">
        <f t="shared" si="44"/>
        <v>1</v>
      </c>
      <c r="AV26" s="896" t="str">
        <f t="shared" si="45"/>
        <v/>
      </c>
      <c r="AW26" s="900">
        <f t="shared" si="45"/>
        <v>1</v>
      </c>
    </row>
    <row r="27" spans="1:49" s="356" customFormat="1">
      <c r="A27" s="880" t="str">
        <f t="shared" si="46"/>
        <v>2023/03/21</v>
      </c>
      <c r="B27" s="355" t="s">
        <v>300</v>
      </c>
      <c r="C27" s="355" t="str">
        <f t="shared" si="0"/>
        <v>Nồng độ acid loãng
稀酸 濃度</v>
      </c>
      <c r="D27" s="355" t="str">
        <f t="shared" si="1"/>
        <v>XL-001F</v>
      </c>
      <c r="E27" s="355" t="str">
        <f t="shared" si="2"/>
        <v>%V/V</v>
      </c>
      <c r="F27" s="355" t="str">
        <f t="shared" si="3"/>
        <v>15~30</v>
      </c>
      <c r="G27" s="868">
        <f t="shared" si="4"/>
        <v>0</v>
      </c>
      <c r="H27" s="868" t="str">
        <f t="shared" si="5"/>
        <v>+</v>
      </c>
      <c r="I27" s="873">
        <f t="shared" si="6"/>
        <v>0</v>
      </c>
      <c r="J27" s="868">
        <f t="shared" si="7"/>
        <v>0</v>
      </c>
      <c r="K27" s="868" t="str">
        <f t="shared" si="8"/>
        <v>+</v>
      </c>
      <c r="L27" s="873">
        <f t="shared" si="9"/>
        <v>0</v>
      </c>
      <c r="M27" s="868">
        <f t="shared" si="10"/>
        <v>0</v>
      </c>
      <c r="N27" s="868" t="str">
        <f t="shared" si="11"/>
        <v>+</v>
      </c>
      <c r="O27" s="873">
        <f t="shared" si="12"/>
        <v>0</v>
      </c>
      <c r="P27" s="868">
        <f t="shared" si="13"/>
        <v>0</v>
      </c>
      <c r="Q27" s="868" t="str">
        <f t="shared" si="14"/>
        <v>+</v>
      </c>
      <c r="R27" s="873">
        <f t="shared" si="15"/>
        <v>0</v>
      </c>
      <c r="S27" s="868">
        <f t="shared" si="16"/>
        <v>0</v>
      </c>
      <c r="T27" s="861" t="str">
        <f t="shared" si="17"/>
        <v>+</v>
      </c>
      <c r="U27" s="862">
        <f t="shared" si="18"/>
        <v>0</v>
      </c>
      <c r="V27" s="868">
        <f t="shared" si="19"/>
        <v>0</v>
      </c>
      <c r="W27" s="861" t="str">
        <f t="shared" si="20"/>
        <v>+</v>
      </c>
      <c r="X27" s="862">
        <f t="shared" si="21"/>
        <v>0</v>
      </c>
      <c r="Z27" s="356" t="b">
        <f t="shared" si="23"/>
        <v>1</v>
      </c>
      <c r="AA27" s="356" t="b">
        <f t="shared" si="24"/>
        <v>0</v>
      </c>
      <c r="AB27" s="356" t="b">
        <f t="shared" si="25"/>
        <v>1</v>
      </c>
      <c r="AC27" s="356" t="b">
        <f t="shared" si="26"/>
        <v>0</v>
      </c>
      <c r="AD27" s="356" t="b">
        <f t="shared" si="27"/>
        <v>1</v>
      </c>
      <c r="AE27" s="356" t="b">
        <f t="shared" si="28"/>
        <v>0</v>
      </c>
      <c r="AF27" s="356" t="b">
        <f t="shared" si="29"/>
        <v>1</v>
      </c>
      <c r="AG27" s="356" t="b">
        <f t="shared" si="30"/>
        <v>0</v>
      </c>
      <c r="AH27" s="356" t="b">
        <f t="shared" si="31"/>
        <v>1</v>
      </c>
      <c r="AI27" s="356" t="b">
        <f t="shared" si="32"/>
        <v>0</v>
      </c>
      <c r="AJ27" s="356" t="b">
        <f t="shared" si="33"/>
        <v>1</v>
      </c>
      <c r="AK27" s="356" t="b">
        <f t="shared" si="34"/>
        <v>0</v>
      </c>
      <c r="AL27" s="895" t="str">
        <f t="shared" si="35"/>
        <v/>
      </c>
      <c r="AM27" s="896">
        <f t="shared" si="36"/>
        <v>1</v>
      </c>
      <c r="AN27" s="896" t="str">
        <f t="shared" si="37"/>
        <v/>
      </c>
      <c r="AO27" s="896">
        <f t="shared" si="38"/>
        <v>1</v>
      </c>
      <c r="AP27" s="896" t="str">
        <f t="shared" si="39"/>
        <v/>
      </c>
      <c r="AQ27" s="896">
        <f t="shared" si="40"/>
        <v>1</v>
      </c>
      <c r="AR27" s="896" t="str">
        <f t="shared" si="41"/>
        <v/>
      </c>
      <c r="AS27" s="896">
        <f t="shared" si="42"/>
        <v>1</v>
      </c>
      <c r="AT27" s="896" t="str">
        <f t="shared" si="43"/>
        <v/>
      </c>
      <c r="AU27" s="896">
        <f t="shared" si="44"/>
        <v>1</v>
      </c>
      <c r="AV27" s="896" t="str">
        <f t="shared" si="45"/>
        <v/>
      </c>
      <c r="AW27" s="900">
        <f t="shared" si="45"/>
        <v>1</v>
      </c>
    </row>
    <row r="28" spans="1:49" s="356" customFormat="1">
      <c r="A28" s="880" t="str">
        <f t="shared" si="46"/>
        <v>2023/03/21</v>
      </c>
      <c r="B28" s="355" t="s">
        <v>301</v>
      </c>
      <c r="C28" s="355" t="str">
        <f t="shared" si="0"/>
        <v>Nồng độ HCl hoạt hóa
稀酸活化 濃度</v>
      </c>
      <c r="D28" s="355" t="str">
        <f t="shared" si="1"/>
        <v>XL-001F</v>
      </c>
      <c r="E28" s="355" t="str">
        <f t="shared" si="2"/>
        <v>%V/V</v>
      </c>
      <c r="F28" s="355" t="str">
        <f t="shared" si="3"/>
        <v>5~15</v>
      </c>
      <c r="G28" s="868">
        <f t="shared" si="4"/>
        <v>0</v>
      </c>
      <c r="H28" s="868" t="str">
        <f t="shared" si="5"/>
        <v>+</v>
      </c>
      <c r="I28" s="873">
        <f t="shared" si="6"/>
        <v>0</v>
      </c>
      <c r="J28" s="868">
        <f t="shared" si="7"/>
        <v>0</v>
      </c>
      <c r="K28" s="868" t="str">
        <f t="shared" si="8"/>
        <v>+</v>
      </c>
      <c r="L28" s="873">
        <f t="shared" si="9"/>
        <v>0</v>
      </c>
      <c r="M28" s="868">
        <f t="shared" si="10"/>
        <v>0</v>
      </c>
      <c r="N28" s="868" t="str">
        <f t="shared" si="11"/>
        <v>+</v>
      </c>
      <c r="O28" s="873">
        <f t="shared" si="12"/>
        <v>0</v>
      </c>
      <c r="P28" s="868">
        <f t="shared" si="13"/>
        <v>0</v>
      </c>
      <c r="Q28" s="868" t="str">
        <f t="shared" si="14"/>
        <v>+</v>
      </c>
      <c r="R28" s="873">
        <f t="shared" si="15"/>
        <v>0</v>
      </c>
      <c r="S28" s="868">
        <f t="shared" si="16"/>
        <v>0</v>
      </c>
      <c r="T28" s="861" t="str">
        <f t="shared" si="17"/>
        <v>+</v>
      </c>
      <c r="U28" s="862">
        <f t="shared" si="18"/>
        <v>0</v>
      </c>
      <c r="V28" s="868">
        <f t="shared" si="19"/>
        <v>0</v>
      </c>
      <c r="W28" s="861" t="str">
        <f t="shared" si="20"/>
        <v>+</v>
      </c>
      <c r="X28" s="862">
        <f t="shared" si="21"/>
        <v>0</v>
      </c>
      <c r="Z28" s="356" t="b">
        <f t="shared" si="23"/>
        <v>1</v>
      </c>
      <c r="AA28" s="356" t="b">
        <f t="shared" si="24"/>
        <v>0</v>
      </c>
      <c r="AB28" s="356" t="b">
        <f t="shared" si="25"/>
        <v>1</v>
      </c>
      <c r="AC28" s="356" t="b">
        <f t="shared" si="26"/>
        <v>0</v>
      </c>
      <c r="AD28" s="356" t="b">
        <f t="shared" si="27"/>
        <v>1</v>
      </c>
      <c r="AE28" s="356" t="b">
        <f t="shared" si="28"/>
        <v>0</v>
      </c>
      <c r="AF28" s="356" t="b">
        <f t="shared" si="29"/>
        <v>1</v>
      </c>
      <c r="AG28" s="356" t="b">
        <f t="shared" si="30"/>
        <v>0</v>
      </c>
      <c r="AH28" s="356" t="b">
        <f t="shared" si="31"/>
        <v>1</v>
      </c>
      <c r="AI28" s="356" t="b">
        <f t="shared" si="32"/>
        <v>0</v>
      </c>
      <c r="AJ28" s="356" t="b">
        <f t="shared" si="33"/>
        <v>1</v>
      </c>
      <c r="AK28" s="356" t="b">
        <f t="shared" si="34"/>
        <v>0</v>
      </c>
      <c r="AL28" s="895" t="str">
        <f t="shared" si="35"/>
        <v/>
      </c>
      <c r="AM28" s="896">
        <f t="shared" si="36"/>
        <v>1</v>
      </c>
      <c r="AN28" s="896" t="str">
        <f t="shared" si="37"/>
        <v/>
      </c>
      <c r="AO28" s="896">
        <f t="shared" si="38"/>
        <v>1</v>
      </c>
      <c r="AP28" s="896" t="str">
        <f t="shared" si="39"/>
        <v/>
      </c>
      <c r="AQ28" s="896">
        <f t="shared" si="40"/>
        <v>1</v>
      </c>
      <c r="AR28" s="896" t="str">
        <f t="shared" si="41"/>
        <v/>
      </c>
      <c r="AS28" s="896">
        <f t="shared" si="42"/>
        <v>1</v>
      </c>
      <c r="AT28" s="896" t="str">
        <f t="shared" si="43"/>
        <v/>
      </c>
      <c r="AU28" s="896">
        <f t="shared" si="44"/>
        <v>1</v>
      </c>
      <c r="AV28" s="896" t="str">
        <f t="shared" si="45"/>
        <v/>
      </c>
      <c r="AW28" s="900">
        <f t="shared" si="45"/>
        <v>1</v>
      </c>
    </row>
    <row r="29" spans="1:49" s="356" customFormat="1">
      <c r="A29" s="880" t="str">
        <f t="shared" si="46"/>
        <v>2023/03/21</v>
      </c>
      <c r="B29" s="355" t="s">
        <v>302</v>
      </c>
      <c r="C29" s="355" t="str">
        <f t="shared" si="0"/>
        <v>Nồng độ  HNO3
硝酸濃度</v>
      </c>
      <c r="D29" s="355" t="str">
        <f t="shared" si="1"/>
        <v>XL-001F</v>
      </c>
      <c r="E29" s="355" t="str">
        <f t="shared" si="2"/>
        <v>%</v>
      </c>
      <c r="F29" s="355" t="str">
        <f t="shared" si="3"/>
        <v>0.5~1.5</v>
      </c>
      <c r="G29" s="868">
        <f t="shared" si="4"/>
        <v>0</v>
      </c>
      <c r="H29" s="868" t="str">
        <f t="shared" si="5"/>
        <v>+</v>
      </c>
      <c r="I29" s="873">
        <f t="shared" si="6"/>
        <v>0</v>
      </c>
      <c r="J29" s="868">
        <f t="shared" si="7"/>
        <v>0</v>
      </c>
      <c r="K29" s="868" t="str">
        <f t="shared" si="8"/>
        <v>+</v>
      </c>
      <c r="L29" s="873">
        <f t="shared" si="9"/>
        <v>0</v>
      </c>
      <c r="M29" s="868">
        <f t="shared" si="10"/>
        <v>0</v>
      </c>
      <c r="N29" s="868" t="str">
        <f t="shared" si="11"/>
        <v>+</v>
      </c>
      <c r="O29" s="873">
        <f t="shared" si="12"/>
        <v>0</v>
      </c>
      <c r="P29" s="868">
        <f t="shared" si="13"/>
        <v>0</v>
      </c>
      <c r="Q29" s="868" t="str">
        <f t="shared" si="14"/>
        <v>+</v>
      </c>
      <c r="R29" s="873">
        <f t="shared" si="15"/>
        <v>0</v>
      </c>
      <c r="S29" s="868">
        <f t="shared" si="16"/>
        <v>0</v>
      </c>
      <c r="T29" s="861" t="str">
        <f t="shared" si="17"/>
        <v>+</v>
      </c>
      <c r="U29" s="862">
        <f t="shared" si="18"/>
        <v>0</v>
      </c>
      <c r="V29" s="868">
        <f t="shared" si="19"/>
        <v>0</v>
      </c>
      <c r="W29" s="861" t="str">
        <f t="shared" si="20"/>
        <v>+</v>
      </c>
      <c r="X29" s="862">
        <f t="shared" si="21"/>
        <v>0</v>
      </c>
      <c r="Z29" s="356" t="b">
        <f t="shared" si="23"/>
        <v>1</v>
      </c>
      <c r="AA29" s="356" t="b">
        <f t="shared" si="24"/>
        <v>0</v>
      </c>
      <c r="AB29" s="356" t="b">
        <f t="shared" si="25"/>
        <v>1</v>
      </c>
      <c r="AC29" s="356" t="b">
        <f t="shared" si="26"/>
        <v>0</v>
      </c>
      <c r="AD29" s="356" t="b">
        <f t="shared" si="27"/>
        <v>1</v>
      </c>
      <c r="AE29" s="356" t="b">
        <f t="shared" si="28"/>
        <v>0</v>
      </c>
      <c r="AF29" s="356" t="b">
        <f t="shared" si="29"/>
        <v>1</v>
      </c>
      <c r="AG29" s="356" t="b">
        <f t="shared" si="30"/>
        <v>0</v>
      </c>
      <c r="AH29" s="356" t="b">
        <f t="shared" si="31"/>
        <v>1</v>
      </c>
      <c r="AI29" s="356" t="b">
        <f t="shared" si="32"/>
        <v>0</v>
      </c>
      <c r="AJ29" s="356" t="b">
        <f t="shared" si="33"/>
        <v>1</v>
      </c>
      <c r="AK29" s="356" t="b">
        <f t="shared" si="34"/>
        <v>0</v>
      </c>
      <c r="AL29" s="895" t="str">
        <f t="shared" si="35"/>
        <v/>
      </c>
      <c r="AM29" s="896">
        <f t="shared" si="36"/>
        <v>1</v>
      </c>
      <c r="AN29" s="896" t="str">
        <f t="shared" si="37"/>
        <v/>
      </c>
      <c r="AO29" s="896">
        <f t="shared" si="38"/>
        <v>1</v>
      </c>
      <c r="AP29" s="896" t="str">
        <f t="shared" si="39"/>
        <v/>
      </c>
      <c r="AQ29" s="896">
        <f t="shared" si="40"/>
        <v>1</v>
      </c>
      <c r="AR29" s="896" t="str">
        <f t="shared" si="41"/>
        <v/>
      </c>
      <c r="AS29" s="896">
        <f t="shared" si="42"/>
        <v>1</v>
      </c>
      <c r="AT29" s="896" t="str">
        <f t="shared" si="43"/>
        <v/>
      </c>
      <c r="AU29" s="896">
        <f t="shared" si="44"/>
        <v>1</v>
      </c>
      <c r="AV29" s="896" t="str">
        <f t="shared" si="45"/>
        <v/>
      </c>
      <c r="AW29" s="900">
        <f t="shared" si="45"/>
        <v>1</v>
      </c>
    </row>
    <row r="30" spans="1:49" s="356" customFormat="1">
      <c r="A30" s="880" t="str">
        <f t="shared" si="46"/>
        <v>2023/03/21</v>
      </c>
      <c r="B30" s="355" t="s">
        <v>312</v>
      </c>
      <c r="C30" s="355" t="str">
        <f t="shared" si="0"/>
        <v>開缸劑
250 Base</v>
      </c>
      <c r="D30" s="355" t="str">
        <f t="shared" si="1"/>
        <v>XL-001F</v>
      </c>
      <c r="E30" s="355" t="str">
        <f t="shared" si="2"/>
        <v>ml/1000AH</v>
      </c>
      <c r="F30" s="355" t="str">
        <f t="shared" si="3"/>
        <v>100-200</v>
      </c>
      <c r="G30" s="868">
        <f t="shared" si="4"/>
        <v>0</v>
      </c>
      <c r="H30" s="868">
        <f t="shared" si="5"/>
        <v>0</v>
      </c>
      <c r="I30" s="873">
        <f t="shared" si="6"/>
        <v>0</v>
      </c>
      <c r="J30" s="868">
        <f t="shared" si="7"/>
        <v>0</v>
      </c>
      <c r="K30" s="868">
        <f t="shared" si="8"/>
        <v>0</v>
      </c>
      <c r="L30" s="873">
        <f t="shared" si="9"/>
        <v>0</v>
      </c>
      <c r="M30" s="868">
        <f t="shared" si="10"/>
        <v>0</v>
      </c>
      <c r="N30" s="868">
        <f t="shared" si="11"/>
        <v>0</v>
      </c>
      <c r="O30" s="873">
        <f t="shared" si="12"/>
        <v>0</v>
      </c>
      <c r="P30" s="868">
        <f t="shared" si="13"/>
        <v>0</v>
      </c>
      <c r="Q30" s="868">
        <f t="shared" si="14"/>
        <v>0</v>
      </c>
      <c r="R30" s="873">
        <f t="shared" si="15"/>
        <v>0</v>
      </c>
      <c r="S30" s="868">
        <f t="shared" si="16"/>
        <v>0</v>
      </c>
      <c r="T30" s="861">
        <f t="shared" si="17"/>
        <v>0</v>
      </c>
      <c r="U30" s="862">
        <f t="shared" si="18"/>
        <v>0</v>
      </c>
      <c r="V30" s="868">
        <f t="shared" si="19"/>
        <v>0</v>
      </c>
      <c r="W30" s="861">
        <f t="shared" si="20"/>
        <v>0</v>
      </c>
      <c r="X30" s="862">
        <f t="shared" si="21"/>
        <v>0</v>
      </c>
      <c r="Z30" s="356" t="b">
        <f t="shared" si="23"/>
        <v>1</v>
      </c>
      <c r="AA30" s="356" t="b">
        <f t="shared" si="24"/>
        <v>1</v>
      </c>
      <c r="AB30" s="356" t="b">
        <f t="shared" si="25"/>
        <v>1</v>
      </c>
      <c r="AC30" s="356" t="b">
        <f t="shared" si="26"/>
        <v>1</v>
      </c>
      <c r="AD30" s="356" t="b">
        <f t="shared" si="27"/>
        <v>1</v>
      </c>
      <c r="AE30" s="356" t="b">
        <f t="shared" si="28"/>
        <v>1</v>
      </c>
      <c r="AF30" s="356" t="b">
        <f t="shared" si="29"/>
        <v>1</v>
      </c>
      <c r="AG30" s="356" t="b">
        <f t="shared" si="30"/>
        <v>1</v>
      </c>
      <c r="AH30" s="356" t="b">
        <f t="shared" si="31"/>
        <v>1</v>
      </c>
      <c r="AI30" s="356" t="b">
        <f t="shared" si="32"/>
        <v>1</v>
      </c>
      <c r="AJ30" s="356" t="b">
        <f t="shared" si="33"/>
        <v>1</v>
      </c>
      <c r="AK30" s="356" t="b">
        <f t="shared" si="34"/>
        <v>1</v>
      </c>
      <c r="AL30" s="895" t="str">
        <f t="shared" si="35"/>
        <v/>
      </c>
      <c r="AM30" s="896" t="str">
        <f t="shared" si="36"/>
        <v/>
      </c>
      <c r="AN30" s="896" t="str">
        <f t="shared" si="37"/>
        <v/>
      </c>
      <c r="AO30" s="896" t="str">
        <f t="shared" si="38"/>
        <v/>
      </c>
      <c r="AP30" s="896" t="str">
        <f t="shared" si="39"/>
        <v/>
      </c>
      <c r="AQ30" s="896" t="str">
        <f t="shared" si="40"/>
        <v/>
      </c>
      <c r="AR30" s="896" t="str">
        <f t="shared" si="41"/>
        <v/>
      </c>
      <c r="AS30" s="896" t="str">
        <f t="shared" si="42"/>
        <v/>
      </c>
      <c r="AT30" s="896" t="str">
        <f t="shared" si="43"/>
        <v/>
      </c>
      <c r="AU30" s="896" t="str">
        <f t="shared" si="44"/>
        <v/>
      </c>
      <c r="AV30" s="896" t="str">
        <f t="shared" si="45"/>
        <v/>
      </c>
      <c r="AW30" s="900" t="str">
        <f t="shared" si="45"/>
        <v/>
      </c>
    </row>
    <row r="31" spans="1:49" s="878" customFormat="1">
      <c r="A31" s="982" t="str">
        <f t="shared" si="46"/>
        <v>2023/03/21</v>
      </c>
      <c r="B31" s="831" t="s">
        <v>313</v>
      </c>
      <c r="C31" s="831" t="str">
        <f t="shared" si="0"/>
        <v>光亮劑
250 Brightener</v>
      </c>
      <c r="D31" s="831" t="str">
        <f t="shared" si="1"/>
        <v>XL-001F</v>
      </c>
      <c r="E31" s="831" t="str">
        <f t="shared" si="2"/>
        <v>ml/1000AH</v>
      </c>
      <c r="F31" s="831" t="str">
        <f t="shared" si="3"/>
        <v>20-50</v>
      </c>
      <c r="G31" s="863">
        <f t="shared" si="4"/>
        <v>0</v>
      </c>
      <c r="H31" s="863">
        <f t="shared" si="5"/>
        <v>0</v>
      </c>
      <c r="I31" s="864">
        <f t="shared" si="6"/>
        <v>0</v>
      </c>
      <c r="J31" s="863">
        <f t="shared" si="7"/>
        <v>0</v>
      </c>
      <c r="K31" s="863">
        <f t="shared" si="8"/>
        <v>0</v>
      </c>
      <c r="L31" s="864">
        <f t="shared" si="9"/>
        <v>0</v>
      </c>
      <c r="M31" s="863">
        <f t="shared" si="10"/>
        <v>0</v>
      </c>
      <c r="N31" s="863">
        <f t="shared" si="11"/>
        <v>0</v>
      </c>
      <c r="O31" s="864">
        <f t="shared" si="12"/>
        <v>0</v>
      </c>
      <c r="P31" s="863">
        <f t="shared" si="13"/>
        <v>0</v>
      </c>
      <c r="Q31" s="863">
        <f t="shared" si="14"/>
        <v>0</v>
      </c>
      <c r="R31" s="864">
        <f t="shared" si="15"/>
        <v>0</v>
      </c>
      <c r="S31" s="863">
        <f t="shared" si="16"/>
        <v>0</v>
      </c>
      <c r="T31" s="863">
        <f t="shared" si="17"/>
        <v>0</v>
      </c>
      <c r="U31" s="864">
        <f t="shared" si="18"/>
        <v>0</v>
      </c>
      <c r="V31" s="863">
        <f t="shared" si="19"/>
        <v>0</v>
      </c>
      <c r="W31" s="863">
        <f t="shared" si="20"/>
        <v>0</v>
      </c>
      <c r="X31" s="864">
        <f t="shared" si="21"/>
        <v>0</v>
      </c>
      <c r="Z31" s="878" t="b">
        <f t="shared" si="23"/>
        <v>1</v>
      </c>
      <c r="AA31" s="878" t="b">
        <f t="shared" si="24"/>
        <v>1</v>
      </c>
      <c r="AB31" s="878" t="b">
        <f t="shared" si="25"/>
        <v>1</v>
      </c>
      <c r="AC31" s="878" t="b">
        <f t="shared" si="26"/>
        <v>1</v>
      </c>
      <c r="AD31" s="878" t="b">
        <f t="shared" si="27"/>
        <v>1</v>
      </c>
      <c r="AE31" s="878" t="b">
        <f t="shared" si="28"/>
        <v>1</v>
      </c>
      <c r="AF31" s="878" t="b">
        <f t="shared" si="29"/>
        <v>1</v>
      </c>
      <c r="AG31" s="878" t="b">
        <f t="shared" si="30"/>
        <v>1</v>
      </c>
      <c r="AH31" s="878" t="b">
        <f t="shared" si="31"/>
        <v>1</v>
      </c>
      <c r="AI31" s="878" t="b">
        <f t="shared" si="32"/>
        <v>1</v>
      </c>
      <c r="AJ31" s="878" t="b">
        <f t="shared" si="33"/>
        <v>1</v>
      </c>
      <c r="AK31" s="878" t="b">
        <f t="shared" si="34"/>
        <v>1</v>
      </c>
      <c r="AL31" s="983" t="str">
        <f t="shared" si="35"/>
        <v/>
      </c>
      <c r="AM31" s="984" t="str">
        <f t="shared" si="36"/>
        <v/>
      </c>
      <c r="AN31" s="984" t="str">
        <f t="shared" si="37"/>
        <v/>
      </c>
      <c r="AO31" s="984" t="str">
        <f t="shared" si="38"/>
        <v/>
      </c>
      <c r="AP31" s="984" t="str">
        <f t="shared" si="39"/>
        <v/>
      </c>
      <c r="AQ31" s="984" t="str">
        <f t="shared" si="40"/>
        <v/>
      </c>
      <c r="AR31" s="984" t="str">
        <f t="shared" si="41"/>
        <v/>
      </c>
      <c r="AS31" s="984" t="str">
        <f t="shared" si="42"/>
        <v/>
      </c>
      <c r="AT31" s="984" t="str">
        <f t="shared" si="43"/>
        <v/>
      </c>
      <c r="AU31" s="984" t="str">
        <f t="shared" si="44"/>
        <v/>
      </c>
      <c r="AV31" s="984" t="str">
        <f t="shared" si="45"/>
        <v/>
      </c>
      <c r="AW31" s="985" t="str">
        <f t="shared" si="45"/>
        <v/>
      </c>
    </row>
    <row r="32" spans="1:49" s="356" customFormat="1">
      <c r="A32" s="880" t="str">
        <f t="shared" si="46"/>
        <v>2023/03/21</v>
      </c>
      <c r="B32" s="355" t="s">
        <v>314</v>
      </c>
      <c r="C32" s="355" t="str">
        <f t="shared" si="0"/>
        <v xml:space="preserve"> Xà bông  脫脂 (2,3,4)</v>
      </c>
      <c r="D32" s="355" t="str">
        <f t="shared" si="1"/>
        <v>XT-000C</v>
      </c>
      <c r="E32" s="355" t="str">
        <f t="shared" si="2"/>
        <v>g/L</v>
      </c>
      <c r="F32" s="355" t="str">
        <f t="shared" si="3"/>
        <v>40~60</v>
      </c>
      <c r="G32" s="868">
        <f t="shared" si="4"/>
        <v>13.45</v>
      </c>
      <c r="H32" s="868" t="str">
        <f t="shared" si="5"/>
        <v>+</v>
      </c>
      <c r="I32" s="873">
        <f t="shared" si="6"/>
        <v>0</v>
      </c>
      <c r="J32" s="868">
        <f t="shared" si="7"/>
        <v>0</v>
      </c>
      <c r="K32" s="868" t="str">
        <f t="shared" si="8"/>
        <v>+</v>
      </c>
      <c r="L32" s="873">
        <f t="shared" si="9"/>
        <v>0</v>
      </c>
      <c r="M32" s="868">
        <f t="shared" si="10"/>
        <v>0</v>
      </c>
      <c r="N32" s="868" t="str">
        <f t="shared" si="11"/>
        <v>+</v>
      </c>
      <c r="O32" s="873">
        <f t="shared" si="12"/>
        <v>0</v>
      </c>
      <c r="P32" s="868">
        <f t="shared" si="13"/>
        <v>0</v>
      </c>
      <c r="Q32" s="868" t="str">
        <f t="shared" si="14"/>
        <v>+</v>
      </c>
      <c r="R32" s="873">
        <f t="shared" si="15"/>
        <v>0</v>
      </c>
      <c r="S32" s="868">
        <f t="shared" si="16"/>
        <v>0</v>
      </c>
      <c r="T32" s="861" t="str">
        <f t="shared" si="17"/>
        <v>+</v>
      </c>
      <c r="U32" s="862">
        <f t="shared" si="18"/>
        <v>0</v>
      </c>
      <c r="V32" s="868">
        <f t="shared" si="19"/>
        <v>0</v>
      </c>
      <c r="W32" s="861" t="str">
        <f t="shared" si="20"/>
        <v>+</v>
      </c>
      <c r="X32" s="862">
        <f t="shared" si="21"/>
        <v>0</v>
      </c>
      <c r="Z32" s="356" t="b">
        <f t="shared" si="23"/>
        <v>1</v>
      </c>
      <c r="AA32" s="356" t="b">
        <f t="shared" si="24"/>
        <v>0</v>
      </c>
      <c r="AB32" s="356" t="b">
        <f t="shared" si="25"/>
        <v>1</v>
      </c>
      <c r="AC32" s="356" t="b">
        <f t="shared" si="26"/>
        <v>0</v>
      </c>
      <c r="AD32" s="356" t="b">
        <f t="shared" si="27"/>
        <v>1</v>
      </c>
      <c r="AE32" s="356" t="b">
        <f t="shared" si="28"/>
        <v>0</v>
      </c>
      <c r="AF32" s="356" t="b">
        <f t="shared" si="29"/>
        <v>1</v>
      </c>
      <c r="AG32" s="356" t="b">
        <f t="shared" si="30"/>
        <v>0</v>
      </c>
      <c r="AH32" s="356" t="b">
        <f t="shared" si="31"/>
        <v>1</v>
      </c>
      <c r="AI32" s="356" t="b">
        <f t="shared" si="32"/>
        <v>0</v>
      </c>
      <c r="AJ32" s="356" t="b">
        <f t="shared" si="33"/>
        <v>1</v>
      </c>
      <c r="AK32" s="356" t="b">
        <f t="shared" si="34"/>
        <v>0</v>
      </c>
      <c r="AL32" s="895" t="str">
        <f t="shared" si="35"/>
        <v/>
      </c>
      <c r="AM32" s="896">
        <f t="shared" si="36"/>
        <v>1</v>
      </c>
      <c r="AN32" s="896" t="str">
        <f t="shared" si="37"/>
        <v/>
      </c>
      <c r="AO32" s="896">
        <f t="shared" si="38"/>
        <v>1</v>
      </c>
      <c r="AP32" s="896" t="str">
        <f t="shared" si="39"/>
        <v/>
      </c>
      <c r="AQ32" s="896">
        <f t="shared" si="40"/>
        <v>1</v>
      </c>
      <c r="AR32" s="896" t="str">
        <f t="shared" si="41"/>
        <v/>
      </c>
      <c r="AS32" s="896">
        <f t="shared" si="42"/>
        <v>1</v>
      </c>
      <c r="AT32" s="896" t="str">
        <f t="shared" si="43"/>
        <v/>
      </c>
      <c r="AU32" s="896">
        <f t="shared" si="44"/>
        <v>1</v>
      </c>
      <c r="AV32" s="896" t="str">
        <f t="shared" si="45"/>
        <v/>
      </c>
      <c r="AW32" s="900">
        <f t="shared" si="45"/>
        <v>1</v>
      </c>
    </row>
    <row r="33" spans="1:49" s="356" customFormat="1">
      <c r="A33" s="880" t="str">
        <f t="shared" si="46"/>
        <v>2023/03/21</v>
      </c>
      <c r="B33" s="355" t="s">
        <v>315</v>
      </c>
      <c r="C33" s="355" t="str">
        <f t="shared" si="0"/>
        <v>Xà bông  脫脂  (5,6)</v>
      </c>
      <c r="D33" s="355" t="str">
        <f t="shared" si="1"/>
        <v>XT-000C</v>
      </c>
      <c r="E33" s="355" t="str">
        <f t="shared" si="2"/>
        <v>g/L</v>
      </c>
      <c r="F33" s="355" t="str">
        <f t="shared" si="3"/>
        <v>40~60</v>
      </c>
      <c r="G33" s="868">
        <f t="shared" si="4"/>
        <v>0</v>
      </c>
      <c r="H33" s="868" t="str">
        <f t="shared" si="5"/>
        <v>+</v>
      </c>
      <c r="I33" s="873">
        <f t="shared" si="6"/>
        <v>0</v>
      </c>
      <c r="J33" s="868">
        <f t="shared" si="7"/>
        <v>0</v>
      </c>
      <c r="K33" s="868" t="str">
        <f t="shared" si="8"/>
        <v>+</v>
      </c>
      <c r="L33" s="873">
        <f t="shared" si="9"/>
        <v>0</v>
      </c>
      <c r="M33" s="868">
        <f t="shared" si="10"/>
        <v>0</v>
      </c>
      <c r="N33" s="868" t="str">
        <f t="shared" si="11"/>
        <v>+</v>
      </c>
      <c r="O33" s="873">
        <f t="shared" si="12"/>
        <v>0</v>
      </c>
      <c r="P33" s="868">
        <f t="shared" si="13"/>
        <v>0</v>
      </c>
      <c r="Q33" s="868" t="str">
        <f t="shared" si="14"/>
        <v>+</v>
      </c>
      <c r="R33" s="873">
        <f t="shared" si="15"/>
        <v>0</v>
      </c>
      <c r="S33" s="868">
        <f t="shared" si="16"/>
        <v>0</v>
      </c>
      <c r="T33" s="861" t="str">
        <f t="shared" si="17"/>
        <v>+</v>
      </c>
      <c r="U33" s="862">
        <f t="shared" si="18"/>
        <v>0</v>
      </c>
      <c r="V33" s="868">
        <f t="shared" si="19"/>
        <v>0</v>
      </c>
      <c r="W33" s="861" t="str">
        <f t="shared" si="20"/>
        <v>+</v>
      </c>
      <c r="X33" s="862">
        <f t="shared" si="21"/>
        <v>0</v>
      </c>
      <c r="Z33" s="356" t="b">
        <f t="shared" si="23"/>
        <v>1</v>
      </c>
      <c r="AA33" s="356" t="b">
        <f t="shared" si="24"/>
        <v>0</v>
      </c>
      <c r="AB33" s="356" t="b">
        <f t="shared" si="25"/>
        <v>1</v>
      </c>
      <c r="AC33" s="356" t="b">
        <f t="shared" si="26"/>
        <v>0</v>
      </c>
      <c r="AD33" s="356" t="b">
        <f t="shared" si="27"/>
        <v>1</v>
      </c>
      <c r="AE33" s="356" t="b">
        <f t="shared" si="28"/>
        <v>0</v>
      </c>
      <c r="AF33" s="356" t="b">
        <f t="shared" si="29"/>
        <v>1</v>
      </c>
      <c r="AG33" s="356" t="b">
        <f t="shared" si="30"/>
        <v>0</v>
      </c>
      <c r="AH33" s="356" t="b">
        <f t="shared" si="31"/>
        <v>1</v>
      </c>
      <c r="AI33" s="356" t="b">
        <f t="shared" si="32"/>
        <v>0</v>
      </c>
      <c r="AJ33" s="356" t="b">
        <f t="shared" si="33"/>
        <v>1</v>
      </c>
      <c r="AK33" s="356" t="b">
        <f t="shared" si="34"/>
        <v>0</v>
      </c>
      <c r="AL33" s="895" t="str">
        <f t="shared" si="35"/>
        <v/>
      </c>
      <c r="AM33" s="896">
        <f t="shared" si="36"/>
        <v>1</v>
      </c>
      <c r="AN33" s="896" t="str">
        <f t="shared" si="37"/>
        <v/>
      </c>
      <c r="AO33" s="896">
        <f t="shared" si="38"/>
        <v>1</v>
      </c>
      <c r="AP33" s="896" t="str">
        <f t="shared" si="39"/>
        <v/>
      </c>
      <c r="AQ33" s="896">
        <f t="shared" si="40"/>
        <v>1</v>
      </c>
      <c r="AR33" s="896" t="str">
        <f t="shared" si="41"/>
        <v/>
      </c>
      <c r="AS33" s="896">
        <f t="shared" si="42"/>
        <v>1</v>
      </c>
      <c r="AT33" s="896" t="str">
        <f t="shared" si="43"/>
        <v/>
      </c>
      <c r="AU33" s="896">
        <f t="shared" si="44"/>
        <v>1</v>
      </c>
      <c r="AV33" s="896" t="str">
        <f t="shared" si="45"/>
        <v/>
      </c>
      <c r="AW33" s="900">
        <f t="shared" si="45"/>
        <v>1</v>
      </c>
    </row>
    <row r="34" spans="1:49" s="356" customFormat="1">
      <c r="A34" s="880" t="str">
        <f t="shared" si="46"/>
        <v>2023/03/21</v>
      </c>
      <c r="B34" s="355" t="s">
        <v>316</v>
      </c>
      <c r="C34" s="355" t="str">
        <f t="shared" ref="C34:C45" si="47">IFERROR(VLOOKUP($B34,_XM_XT_THUCTE,3,0),"")</f>
        <v>Điện giải  電解 (8)</v>
      </c>
      <c r="D34" s="355" t="str">
        <f t="shared" ref="D34:D45" si="48">IFERROR(VLOOKUP($B34,_XM_XT_THUCTE,2,0),"")</f>
        <v>XT-000C</v>
      </c>
      <c r="E34" s="355" t="str">
        <f t="shared" ref="E34:E45" si="49">IFERROR(VLOOKUP($B34,_XM_XT_THUCTE,4,0),"")</f>
        <v>g/L</v>
      </c>
      <c r="F34" s="355" t="str">
        <f t="shared" ref="F34:F45" si="50">IFERROR(VLOOKUP($B34,_XM_XT_THUCTE,5,0),"")</f>
        <v>50~70</v>
      </c>
      <c r="G34" s="868">
        <f t="shared" ref="G34:G45" si="51">IFERROR(VLOOKUP($B34,_XM_XT_THUCTE,8,0),"")</f>
        <v>12.5</v>
      </c>
      <c r="H34" s="868" t="str">
        <f t="shared" ref="H34:H45" si="52">IFERROR(VLOOKUP($B34,_XM_XT_THUCTE,11,0),"")</f>
        <v>+</v>
      </c>
      <c r="I34" s="873">
        <f t="shared" ref="I34:I45" si="53">IFERROR(VLOOKUP($B34,_XM_XT_THUCTE,12,0),"")</f>
        <v>18.45</v>
      </c>
      <c r="J34" s="868">
        <f t="shared" si="7"/>
        <v>0</v>
      </c>
      <c r="K34" s="868" t="str">
        <f t="shared" ref="K34:K45" si="54">IFERROR(VLOOKUP($B34,_XM_XT_THUCTE,17,0),"")</f>
        <v>+</v>
      </c>
      <c r="L34" s="873">
        <f t="shared" ref="L34:L45" si="55">IFERROR(VLOOKUP($B34,_XM_XT_THUCTE,18,0),"")</f>
        <v>0</v>
      </c>
      <c r="M34" s="868">
        <f t="shared" ref="M34:M45" si="56">IFERROR(VLOOKUP($B34,_XM_XT_THUCTE,20,0),"")</f>
        <v>0</v>
      </c>
      <c r="N34" s="868" t="str">
        <f t="shared" ref="N34:N45" si="57">IFERROR(VLOOKUP($B34,_XM_XT_THUCTE,23,0),"")</f>
        <v>+</v>
      </c>
      <c r="O34" s="873">
        <f t="shared" ref="O34:O45" si="58">IFERROR(VLOOKUP($B34,_XM_XT_THUCTE,24,0),"")</f>
        <v>0</v>
      </c>
      <c r="P34" s="868">
        <f t="shared" ref="P34:P45" si="59">IFERROR(VLOOKUP($B34,_XM_XT_THUCTE,26,0),"")</f>
        <v>0</v>
      </c>
      <c r="Q34" s="868" t="str">
        <f t="shared" ref="Q34:Q45" si="60">IFERROR(VLOOKUP($B34,_XM_XT_THUCTE,29,0),"")</f>
        <v>+</v>
      </c>
      <c r="R34" s="873">
        <f t="shared" ref="R34:R45" si="61">IFERROR(VLOOKUP($B34,_XM_XT_THUCTE,30,0),"")</f>
        <v>0</v>
      </c>
      <c r="S34" s="868">
        <f t="shared" ref="S34:S45" si="62">IFERROR(VLOOKUP($B34,_XM_XT_THUCTE,32,0),"")</f>
        <v>0</v>
      </c>
      <c r="T34" s="861" t="str">
        <f t="shared" ref="T34:T45" si="63">IFERROR(VLOOKUP($B34,_XM_XT_THUCTE,35,0),"")</f>
        <v>+</v>
      </c>
      <c r="U34" s="862">
        <f t="shared" ref="U34:U45" si="64">IFERROR(VLOOKUP($B34,_XM_XT_THUCTE,36,0),"")</f>
        <v>0</v>
      </c>
      <c r="V34" s="868">
        <f t="shared" ref="V34:V45" si="65">IFERROR(VLOOKUP($B34,_XM_XT_THUCTE,38,0),"")</f>
        <v>0</v>
      </c>
      <c r="W34" s="861" t="str">
        <f t="shared" ref="W34:W45" si="66">IFERROR(VLOOKUP($B34,_XM_XT_THUCTE,41,0),"")</f>
        <v>+</v>
      </c>
      <c r="X34" s="862">
        <f t="shared" ref="X34:X45" si="67">IFERROR(VLOOKUP($B34,_XM_XT_THUCTE,42,0),"")</f>
        <v>0</v>
      </c>
      <c r="Z34" s="356" t="b">
        <f t="shared" si="23"/>
        <v>1</v>
      </c>
      <c r="AA34" s="356" t="b">
        <f t="shared" si="24"/>
        <v>0</v>
      </c>
      <c r="AB34" s="356" t="b">
        <f t="shared" si="25"/>
        <v>1</v>
      </c>
      <c r="AC34" s="356" t="b">
        <f t="shared" si="26"/>
        <v>0</v>
      </c>
      <c r="AD34" s="356" t="b">
        <f t="shared" si="27"/>
        <v>1</v>
      </c>
      <c r="AE34" s="356" t="b">
        <f t="shared" si="28"/>
        <v>0</v>
      </c>
      <c r="AF34" s="356" t="b">
        <f t="shared" si="29"/>
        <v>1</v>
      </c>
      <c r="AG34" s="356" t="b">
        <f t="shared" si="30"/>
        <v>0</v>
      </c>
      <c r="AH34" s="356" t="b">
        <f t="shared" si="31"/>
        <v>1</v>
      </c>
      <c r="AI34" s="356" t="b">
        <f t="shared" si="32"/>
        <v>0</v>
      </c>
      <c r="AJ34" s="356" t="b">
        <f t="shared" si="33"/>
        <v>1</v>
      </c>
      <c r="AK34" s="356" t="b">
        <f t="shared" si="34"/>
        <v>0</v>
      </c>
      <c r="AL34" s="895" t="str">
        <f t="shared" si="35"/>
        <v/>
      </c>
      <c r="AM34" s="896">
        <f t="shared" si="36"/>
        <v>1</v>
      </c>
      <c r="AN34" s="896" t="str">
        <f t="shared" si="37"/>
        <v/>
      </c>
      <c r="AO34" s="896">
        <f t="shared" si="38"/>
        <v>1</v>
      </c>
      <c r="AP34" s="896" t="str">
        <f t="shared" si="39"/>
        <v/>
      </c>
      <c r="AQ34" s="896">
        <f t="shared" si="40"/>
        <v>1</v>
      </c>
      <c r="AR34" s="896" t="str">
        <f t="shared" si="41"/>
        <v/>
      </c>
      <c r="AS34" s="896">
        <f t="shared" si="42"/>
        <v>1</v>
      </c>
      <c r="AT34" s="896" t="str">
        <f t="shared" si="43"/>
        <v/>
      </c>
      <c r="AU34" s="896">
        <f t="shared" si="44"/>
        <v>1</v>
      </c>
      <c r="AV34" s="896" t="str">
        <f t="shared" si="45"/>
        <v/>
      </c>
      <c r="AW34" s="900">
        <f t="shared" si="45"/>
        <v>1</v>
      </c>
    </row>
    <row r="35" spans="1:49" s="356" customFormat="1">
      <c r="A35" s="880" t="str">
        <f t="shared" si="46"/>
        <v>2023/03/21</v>
      </c>
      <c r="B35" s="355" t="s">
        <v>317</v>
      </c>
      <c r="C35" s="355" t="str">
        <f t="shared" si="47"/>
        <v>Điện giải  電解  (20,21)</v>
      </c>
      <c r="D35" s="355" t="str">
        <f t="shared" si="48"/>
        <v>XT-000C</v>
      </c>
      <c r="E35" s="355" t="str">
        <f t="shared" si="49"/>
        <v>g/L</v>
      </c>
      <c r="F35" s="355" t="str">
        <f t="shared" si="50"/>
        <v>50~70</v>
      </c>
      <c r="G35" s="868">
        <f t="shared" si="51"/>
        <v>0</v>
      </c>
      <c r="H35" s="868" t="str">
        <f t="shared" si="52"/>
        <v>+</v>
      </c>
      <c r="I35" s="873">
        <f t="shared" si="53"/>
        <v>0</v>
      </c>
      <c r="J35" s="868">
        <f t="shared" si="7"/>
        <v>0</v>
      </c>
      <c r="K35" s="868" t="str">
        <f t="shared" si="54"/>
        <v>+</v>
      </c>
      <c r="L35" s="873">
        <f t="shared" si="55"/>
        <v>0</v>
      </c>
      <c r="M35" s="868">
        <f t="shared" si="56"/>
        <v>0</v>
      </c>
      <c r="N35" s="868" t="str">
        <f t="shared" si="57"/>
        <v>+</v>
      </c>
      <c r="O35" s="873">
        <f t="shared" si="58"/>
        <v>0</v>
      </c>
      <c r="P35" s="868">
        <f t="shared" si="59"/>
        <v>0</v>
      </c>
      <c r="Q35" s="868" t="str">
        <f t="shared" si="60"/>
        <v>+</v>
      </c>
      <c r="R35" s="873">
        <f t="shared" si="61"/>
        <v>0</v>
      </c>
      <c r="S35" s="868">
        <f t="shared" si="62"/>
        <v>0</v>
      </c>
      <c r="T35" s="861" t="str">
        <f t="shared" si="63"/>
        <v>+</v>
      </c>
      <c r="U35" s="862">
        <f t="shared" si="64"/>
        <v>0</v>
      </c>
      <c r="V35" s="868">
        <f t="shared" si="65"/>
        <v>0</v>
      </c>
      <c r="W35" s="861" t="str">
        <f t="shared" si="66"/>
        <v>+</v>
      </c>
      <c r="X35" s="862">
        <f t="shared" si="67"/>
        <v>0</v>
      </c>
      <c r="Z35" s="356" t="b">
        <f t="shared" si="23"/>
        <v>1</v>
      </c>
      <c r="AA35" s="356" t="b">
        <f t="shared" si="24"/>
        <v>0</v>
      </c>
      <c r="AB35" s="356" t="b">
        <f t="shared" si="25"/>
        <v>1</v>
      </c>
      <c r="AC35" s="356" t="b">
        <f t="shared" si="26"/>
        <v>0</v>
      </c>
      <c r="AD35" s="356" t="b">
        <f t="shared" si="27"/>
        <v>1</v>
      </c>
      <c r="AE35" s="356" t="b">
        <f t="shared" si="28"/>
        <v>0</v>
      </c>
      <c r="AF35" s="356" t="b">
        <f t="shared" si="29"/>
        <v>1</v>
      </c>
      <c r="AG35" s="356" t="b">
        <f t="shared" si="30"/>
        <v>0</v>
      </c>
      <c r="AH35" s="356" t="b">
        <f t="shared" si="31"/>
        <v>1</v>
      </c>
      <c r="AI35" s="356" t="b">
        <f t="shared" si="32"/>
        <v>0</v>
      </c>
      <c r="AJ35" s="356" t="b">
        <f t="shared" si="33"/>
        <v>1</v>
      </c>
      <c r="AK35" s="356" t="b">
        <f t="shared" si="34"/>
        <v>0</v>
      </c>
      <c r="AL35" s="895" t="str">
        <f t="shared" si="35"/>
        <v/>
      </c>
      <c r="AM35" s="896">
        <f t="shared" si="36"/>
        <v>1</v>
      </c>
      <c r="AN35" s="896" t="str">
        <f t="shared" si="37"/>
        <v/>
      </c>
      <c r="AO35" s="896">
        <f t="shared" si="38"/>
        <v>1</v>
      </c>
      <c r="AP35" s="896" t="str">
        <f t="shared" si="39"/>
        <v/>
      </c>
      <c r="AQ35" s="896">
        <f t="shared" si="40"/>
        <v>1</v>
      </c>
      <c r="AR35" s="896" t="str">
        <f t="shared" si="41"/>
        <v/>
      </c>
      <c r="AS35" s="896">
        <f t="shared" si="42"/>
        <v>1</v>
      </c>
      <c r="AT35" s="896" t="str">
        <f t="shared" si="43"/>
        <v/>
      </c>
      <c r="AU35" s="896">
        <f t="shared" si="44"/>
        <v>1</v>
      </c>
      <c r="AV35" s="896" t="str">
        <f t="shared" si="45"/>
        <v/>
      </c>
      <c r="AW35" s="900">
        <f t="shared" si="45"/>
        <v>1</v>
      </c>
    </row>
    <row r="36" spans="1:49" s="356" customFormat="1">
      <c r="A36" s="880" t="str">
        <f t="shared" si="46"/>
        <v>2023/03/21</v>
      </c>
      <c r="B36" s="355" t="s">
        <v>318</v>
      </c>
      <c r="C36" s="355" t="str">
        <f t="shared" si="47"/>
        <v>NaOH (26-37)
氫氧化鈉</v>
      </c>
      <c r="D36" s="355" t="str">
        <f t="shared" si="48"/>
        <v>XT-000C</v>
      </c>
      <c r="E36" s="355" t="str">
        <f t="shared" si="49"/>
        <v>g/L</v>
      </c>
      <c r="F36" s="355" t="str">
        <f t="shared" si="50"/>
        <v>135~ 145</v>
      </c>
      <c r="G36" s="868">
        <f t="shared" si="51"/>
        <v>17.3</v>
      </c>
      <c r="H36" s="868" t="str">
        <f t="shared" si="52"/>
        <v>+</v>
      </c>
      <c r="I36" s="873">
        <f t="shared" si="53"/>
        <v>84.905599999999694</v>
      </c>
      <c r="J36" s="868">
        <f t="shared" si="7"/>
        <v>0</v>
      </c>
      <c r="K36" s="868" t="str">
        <f t="shared" si="54"/>
        <v>+</v>
      </c>
      <c r="L36" s="873">
        <f t="shared" si="55"/>
        <v>0</v>
      </c>
      <c r="M36" s="868">
        <f t="shared" si="56"/>
        <v>0</v>
      </c>
      <c r="N36" s="868" t="str">
        <f t="shared" si="57"/>
        <v>+</v>
      </c>
      <c r="O36" s="873">
        <f t="shared" si="58"/>
        <v>0</v>
      </c>
      <c r="P36" s="868">
        <f t="shared" si="59"/>
        <v>0</v>
      </c>
      <c r="Q36" s="868" t="str">
        <f t="shared" si="60"/>
        <v>+</v>
      </c>
      <c r="R36" s="873">
        <f t="shared" si="61"/>
        <v>0</v>
      </c>
      <c r="S36" s="868">
        <f t="shared" si="62"/>
        <v>0</v>
      </c>
      <c r="T36" s="861" t="str">
        <f t="shared" si="63"/>
        <v>+</v>
      </c>
      <c r="U36" s="862">
        <f t="shared" si="64"/>
        <v>0</v>
      </c>
      <c r="V36" s="868">
        <f t="shared" si="65"/>
        <v>0</v>
      </c>
      <c r="W36" s="861" t="str">
        <f t="shared" si="66"/>
        <v>+</v>
      </c>
      <c r="X36" s="862">
        <f t="shared" si="67"/>
        <v>0</v>
      </c>
      <c r="Z36" s="356" t="b">
        <f t="shared" si="23"/>
        <v>1</v>
      </c>
      <c r="AA36" s="356" t="b">
        <f t="shared" si="24"/>
        <v>0</v>
      </c>
      <c r="AB36" s="356" t="b">
        <f t="shared" si="25"/>
        <v>1</v>
      </c>
      <c r="AC36" s="356" t="b">
        <f t="shared" si="26"/>
        <v>0</v>
      </c>
      <c r="AD36" s="356" t="b">
        <f t="shared" si="27"/>
        <v>1</v>
      </c>
      <c r="AE36" s="356" t="b">
        <f t="shared" si="28"/>
        <v>0</v>
      </c>
      <c r="AF36" s="356" t="b">
        <f t="shared" si="29"/>
        <v>1</v>
      </c>
      <c r="AG36" s="356" t="b">
        <f t="shared" si="30"/>
        <v>0</v>
      </c>
      <c r="AH36" s="356" t="b">
        <f t="shared" si="31"/>
        <v>1</v>
      </c>
      <c r="AI36" s="356" t="b">
        <f t="shared" si="32"/>
        <v>0</v>
      </c>
      <c r="AJ36" s="356" t="b">
        <f t="shared" si="33"/>
        <v>1</v>
      </c>
      <c r="AK36" s="356" t="b">
        <f t="shared" si="34"/>
        <v>0</v>
      </c>
      <c r="AL36" s="895" t="str">
        <f t="shared" si="35"/>
        <v/>
      </c>
      <c r="AM36" s="896">
        <f t="shared" si="36"/>
        <v>1</v>
      </c>
      <c r="AN36" s="896" t="str">
        <f t="shared" si="37"/>
        <v/>
      </c>
      <c r="AO36" s="896">
        <f t="shared" si="38"/>
        <v>1</v>
      </c>
      <c r="AP36" s="896" t="str">
        <f t="shared" si="39"/>
        <v/>
      </c>
      <c r="AQ36" s="896">
        <f t="shared" si="40"/>
        <v>1</v>
      </c>
      <c r="AR36" s="896" t="str">
        <f t="shared" si="41"/>
        <v/>
      </c>
      <c r="AS36" s="896">
        <f t="shared" si="42"/>
        <v>1</v>
      </c>
      <c r="AT36" s="896" t="str">
        <f t="shared" si="43"/>
        <v/>
      </c>
      <c r="AU36" s="896">
        <f t="shared" si="44"/>
        <v>1</v>
      </c>
      <c r="AV36" s="896" t="str">
        <f t="shared" si="45"/>
        <v/>
      </c>
      <c r="AW36" s="900">
        <f t="shared" si="45"/>
        <v>1</v>
      </c>
    </row>
    <row r="37" spans="1:49" s="356" customFormat="1">
      <c r="A37" s="880" t="str">
        <f t="shared" si="46"/>
        <v>2023/03/21</v>
      </c>
      <c r="B37" s="355" t="s">
        <v>319</v>
      </c>
      <c r="C37" s="355" t="str">
        <f t="shared" si="47"/>
        <v>Zn  鋅 (26-37)
(1 pcs Zn=25kg)</v>
      </c>
      <c r="D37" s="355" t="str">
        <f t="shared" si="48"/>
        <v>XT-000C</v>
      </c>
      <c r="E37" s="355" t="str">
        <f t="shared" si="49"/>
        <v>g/L</v>
      </c>
      <c r="F37" s="355" t="str">
        <f t="shared" si="50"/>
        <v>6~8</v>
      </c>
      <c r="G37" s="868">
        <f t="shared" si="51"/>
        <v>4.5</v>
      </c>
      <c r="H37" s="868" t="str">
        <f t="shared" si="52"/>
        <v>+</v>
      </c>
      <c r="I37" s="873">
        <f t="shared" si="53"/>
        <v>61.025899999999972</v>
      </c>
      <c r="J37" s="868">
        <f t="shared" si="7"/>
        <v>0</v>
      </c>
      <c r="K37" s="868" t="str">
        <f t="shared" si="54"/>
        <v>+</v>
      </c>
      <c r="L37" s="873">
        <f t="shared" si="55"/>
        <v>0</v>
      </c>
      <c r="M37" s="868">
        <f t="shared" si="56"/>
        <v>0</v>
      </c>
      <c r="N37" s="868" t="str">
        <f t="shared" si="57"/>
        <v>+</v>
      </c>
      <c r="O37" s="873">
        <f t="shared" si="58"/>
        <v>0</v>
      </c>
      <c r="P37" s="868">
        <f t="shared" si="59"/>
        <v>0</v>
      </c>
      <c r="Q37" s="868" t="str">
        <f t="shared" si="60"/>
        <v>+</v>
      </c>
      <c r="R37" s="873">
        <f t="shared" si="61"/>
        <v>0</v>
      </c>
      <c r="S37" s="868">
        <f t="shared" si="62"/>
        <v>0</v>
      </c>
      <c r="T37" s="861" t="str">
        <f t="shared" si="63"/>
        <v>+</v>
      </c>
      <c r="U37" s="862">
        <f t="shared" si="64"/>
        <v>0</v>
      </c>
      <c r="V37" s="868">
        <f t="shared" si="65"/>
        <v>0</v>
      </c>
      <c r="W37" s="861" t="str">
        <f t="shared" si="66"/>
        <v>+</v>
      </c>
      <c r="X37" s="862">
        <f t="shared" si="67"/>
        <v>0</v>
      </c>
      <c r="Z37" s="356" t="b">
        <f t="shared" si="23"/>
        <v>1</v>
      </c>
      <c r="AA37" s="356" t="b">
        <f t="shared" si="24"/>
        <v>0</v>
      </c>
      <c r="AB37" s="356" t="b">
        <f t="shared" si="25"/>
        <v>1</v>
      </c>
      <c r="AC37" s="356" t="b">
        <f t="shared" si="26"/>
        <v>0</v>
      </c>
      <c r="AD37" s="356" t="b">
        <f t="shared" si="27"/>
        <v>1</v>
      </c>
      <c r="AE37" s="356" t="b">
        <f t="shared" si="28"/>
        <v>0</v>
      </c>
      <c r="AF37" s="356" t="b">
        <f t="shared" si="29"/>
        <v>1</v>
      </c>
      <c r="AG37" s="356" t="b">
        <f t="shared" si="30"/>
        <v>0</v>
      </c>
      <c r="AH37" s="356" t="b">
        <f t="shared" si="31"/>
        <v>1</v>
      </c>
      <c r="AI37" s="356" t="b">
        <f t="shared" si="32"/>
        <v>0</v>
      </c>
      <c r="AJ37" s="356" t="b">
        <f t="shared" si="33"/>
        <v>1</v>
      </c>
      <c r="AK37" s="356" t="b">
        <f t="shared" si="34"/>
        <v>0</v>
      </c>
      <c r="AL37" s="895" t="str">
        <f t="shared" si="35"/>
        <v/>
      </c>
      <c r="AM37" s="896">
        <f t="shared" si="36"/>
        <v>1</v>
      </c>
      <c r="AN37" s="896" t="str">
        <f t="shared" si="37"/>
        <v/>
      </c>
      <c r="AO37" s="896">
        <f t="shared" si="38"/>
        <v>1</v>
      </c>
      <c r="AP37" s="896" t="str">
        <f t="shared" si="39"/>
        <v/>
      </c>
      <c r="AQ37" s="896">
        <f t="shared" si="40"/>
        <v>1</v>
      </c>
      <c r="AR37" s="896" t="str">
        <f t="shared" si="41"/>
        <v/>
      </c>
      <c r="AS37" s="896">
        <f t="shared" si="42"/>
        <v>1</v>
      </c>
      <c r="AT37" s="896" t="str">
        <f t="shared" si="43"/>
        <v/>
      </c>
      <c r="AU37" s="896">
        <f t="shared" si="44"/>
        <v>1</v>
      </c>
      <c r="AV37" s="896" t="str">
        <f t="shared" si="45"/>
        <v/>
      </c>
      <c r="AW37" s="900">
        <f t="shared" si="45"/>
        <v>1</v>
      </c>
    </row>
    <row r="38" spans="1:49" s="356" customFormat="1">
      <c r="A38" s="880" t="str">
        <f t="shared" si="46"/>
        <v>2023/03/21</v>
      </c>
      <c r="B38" s="355" t="s">
        <v>320</v>
      </c>
      <c r="C38" s="355" t="str">
        <f t="shared" si="47"/>
        <v>Nồng độ Cr2O3 三價鉻(46)
LANTHANE 318 (HALO)</v>
      </c>
      <c r="D38" s="355" t="str">
        <f t="shared" si="48"/>
        <v>XT-000C</v>
      </c>
      <c r="E38" s="355" t="str">
        <f t="shared" si="49"/>
        <v>%</v>
      </c>
      <c r="F38" s="355" t="str">
        <f t="shared" si="50"/>
        <v>5~8</v>
      </c>
      <c r="G38" s="868">
        <f t="shared" si="51"/>
        <v>0</v>
      </c>
      <c r="H38" s="868" t="str">
        <f t="shared" si="52"/>
        <v>+</v>
      </c>
      <c r="I38" s="873">
        <f t="shared" si="53"/>
        <v>0</v>
      </c>
      <c r="J38" s="868">
        <f t="shared" si="7"/>
        <v>0</v>
      </c>
      <c r="K38" s="868" t="str">
        <f t="shared" si="54"/>
        <v>+</v>
      </c>
      <c r="L38" s="873">
        <f t="shared" si="55"/>
        <v>0</v>
      </c>
      <c r="M38" s="868">
        <f t="shared" si="56"/>
        <v>0</v>
      </c>
      <c r="N38" s="868" t="str">
        <f t="shared" si="57"/>
        <v>+</v>
      </c>
      <c r="O38" s="873">
        <f t="shared" si="58"/>
        <v>0</v>
      </c>
      <c r="P38" s="868">
        <f t="shared" si="59"/>
        <v>0</v>
      </c>
      <c r="Q38" s="868" t="str">
        <f t="shared" si="60"/>
        <v>+</v>
      </c>
      <c r="R38" s="873">
        <f t="shared" si="61"/>
        <v>0</v>
      </c>
      <c r="S38" s="868">
        <f t="shared" si="62"/>
        <v>0</v>
      </c>
      <c r="T38" s="861" t="str">
        <f t="shared" si="63"/>
        <v>+</v>
      </c>
      <c r="U38" s="862">
        <f t="shared" si="64"/>
        <v>0</v>
      </c>
      <c r="V38" s="868">
        <f t="shared" si="65"/>
        <v>0</v>
      </c>
      <c r="W38" s="861" t="str">
        <f t="shared" si="66"/>
        <v>+</v>
      </c>
      <c r="X38" s="862">
        <f t="shared" si="67"/>
        <v>0</v>
      </c>
      <c r="Z38" s="356" t="b">
        <f t="shared" si="23"/>
        <v>1</v>
      </c>
      <c r="AA38" s="356" t="b">
        <f t="shared" si="24"/>
        <v>0</v>
      </c>
      <c r="AB38" s="356" t="b">
        <f t="shared" si="25"/>
        <v>1</v>
      </c>
      <c r="AC38" s="356" t="b">
        <f t="shared" si="26"/>
        <v>0</v>
      </c>
      <c r="AD38" s="356" t="b">
        <f t="shared" si="27"/>
        <v>1</v>
      </c>
      <c r="AE38" s="356" t="b">
        <f t="shared" si="28"/>
        <v>0</v>
      </c>
      <c r="AF38" s="356" t="b">
        <f t="shared" si="29"/>
        <v>1</v>
      </c>
      <c r="AG38" s="356" t="b">
        <f t="shared" si="30"/>
        <v>0</v>
      </c>
      <c r="AH38" s="356" t="b">
        <f t="shared" si="31"/>
        <v>1</v>
      </c>
      <c r="AI38" s="356" t="b">
        <f t="shared" si="32"/>
        <v>0</v>
      </c>
      <c r="AJ38" s="356" t="b">
        <f t="shared" si="33"/>
        <v>1</v>
      </c>
      <c r="AK38" s="356" t="b">
        <f t="shared" si="34"/>
        <v>0</v>
      </c>
      <c r="AL38" s="895" t="str">
        <f t="shared" si="35"/>
        <v/>
      </c>
      <c r="AM38" s="896">
        <f t="shared" si="36"/>
        <v>1</v>
      </c>
      <c r="AN38" s="896" t="str">
        <f t="shared" si="37"/>
        <v/>
      </c>
      <c r="AO38" s="896">
        <f t="shared" si="38"/>
        <v>1</v>
      </c>
      <c r="AP38" s="896" t="str">
        <f t="shared" si="39"/>
        <v/>
      </c>
      <c r="AQ38" s="896">
        <f t="shared" si="40"/>
        <v>1</v>
      </c>
      <c r="AR38" s="896" t="str">
        <f t="shared" si="41"/>
        <v/>
      </c>
      <c r="AS38" s="896">
        <f t="shared" si="42"/>
        <v>1</v>
      </c>
      <c r="AT38" s="896" t="str">
        <f t="shared" si="43"/>
        <v/>
      </c>
      <c r="AU38" s="896">
        <f t="shared" si="44"/>
        <v>1</v>
      </c>
      <c r="AV38" s="896" t="str">
        <f t="shared" si="45"/>
        <v/>
      </c>
      <c r="AW38" s="900">
        <f t="shared" si="45"/>
        <v>1</v>
      </c>
    </row>
    <row r="39" spans="1:49" s="356" customFormat="1">
      <c r="A39" s="880" t="str">
        <f t="shared" si="46"/>
        <v>2023/03/21</v>
      </c>
      <c r="B39" s="355" t="s">
        <v>321</v>
      </c>
      <c r="C39" s="355" t="str">
        <f t="shared" si="47"/>
        <v>PH</v>
      </c>
      <c r="D39" s="355" t="str">
        <f t="shared" si="48"/>
        <v>XT-000C</v>
      </c>
      <c r="E39" s="355" t="str">
        <f t="shared" si="49"/>
        <v>pH</v>
      </c>
      <c r="F39" s="355" t="str">
        <f t="shared" si="50"/>
        <v>2.0~2.4</v>
      </c>
      <c r="G39" s="868">
        <f t="shared" si="51"/>
        <v>0</v>
      </c>
      <c r="H39" s="868">
        <f t="shared" si="52"/>
        <v>0</v>
      </c>
      <c r="I39" s="873">
        <f t="shared" si="53"/>
        <v>0</v>
      </c>
      <c r="J39" s="868">
        <f t="shared" si="7"/>
        <v>0</v>
      </c>
      <c r="K39" s="868">
        <f t="shared" si="54"/>
        <v>0</v>
      </c>
      <c r="L39" s="873">
        <f t="shared" si="55"/>
        <v>0</v>
      </c>
      <c r="M39" s="868">
        <f t="shared" si="56"/>
        <v>0</v>
      </c>
      <c r="N39" s="868">
        <f t="shared" si="57"/>
        <v>0</v>
      </c>
      <c r="O39" s="873">
        <f t="shared" si="58"/>
        <v>0</v>
      </c>
      <c r="P39" s="868">
        <f t="shared" si="59"/>
        <v>0</v>
      </c>
      <c r="Q39" s="868">
        <f t="shared" si="60"/>
        <v>0</v>
      </c>
      <c r="R39" s="873">
        <f t="shared" si="61"/>
        <v>0</v>
      </c>
      <c r="S39" s="868">
        <f t="shared" si="62"/>
        <v>0</v>
      </c>
      <c r="T39" s="861">
        <f t="shared" si="63"/>
        <v>0</v>
      </c>
      <c r="U39" s="862">
        <f t="shared" si="64"/>
        <v>0</v>
      </c>
      <c r="V39" s="868">
        <f t="shared" si="65"/>
        <v>0</v>
      </c>
      <c r="W39" s="861">
        <f t="shared" si="66"/>
        <v>0</v>
      </c>
      <c r="X39" s="862">
        <f t="shared" si="67"/>
        <v>0</v>
      </c>
      <c r="Z39" s="356" t="b">
        <f t="shared" si="23"/>
        <v>1</v>
      </c>
      <c r="AA39" s="356" t="b">
        <f t="shared" si="24"/>
        <v>1</v>
      </c>
      <c r="AB39" s="356" t="b">
        <f t="shared" si="25"/>
        <v>1</v>
      </c>
      <c r="AC39" s="356" t="b">
        <f t="shared" si="26"/>
        <v>1</v>
      </c>
      <c r="AD39" s="356" t="b">
        <f t="shared" si="27"/>
        <v>1</v>
      </c>
      <c r="AE39" s="356" t="b">
        <f t="shared" si="28"/>
        <v>1</v>
      </c>
      <c r="AF39" s="356" t="b">
        <f t="shared" si="29"/>
        <v>1</v>
      </c>
      <c r="AG39" s="356" t="b">
        <f t="shared" si="30"/>
        <v>1</v>
      </c>
      <c r="AH39" s="356" t="b">
        <f t="shared" si="31"/>
        <v>1</v>
      </c>
      <c r="AI39" s="356" t="b">
        <f t="shared" si="32"/>
        <v>1</v>
      </c>
      <c r="AJ39" s="356" t="b">
        <f t="shared" si="33"/>
        <v>1</v>
      </c>
      <c r="AK39" s="356" t="b">
        <f t="shared" si="34"/>
        <v>1</v>
      </c>
      <c r="AL39" s="895" t="str">
        <f t="shared" si="35"/>
        <v/>
      </c>
      <c r="AM39" s="896" t="str">
        <f t="shared" si="36"/>
        <v/>
      </c>
      <c r="AN39" s="896" t="str">
        <f t="shared" si="37"/>
        <v/>
      </c>
      <c r="AO39" s="896" t="str">
        <f t="shared" si="38"/>
        <v/>
      </c>
      <c r="AP39" s="896" t="str">
        <f t="shared" si="39"/>
        <v/>
      </c>
      <c r="AQ39" s="896" t="str">
        <f t="shared" si="40"/>
        <v/>
      </c>
      <c r="AR39" s="896" t="str">
        <f t="shared" si="41"/>
        <v/>
      </c>
      <c r="AS39" s="896" t="str">
        <f t="shared" si="42"/>
        <v/>
      </c>
      <c r="AT39" s="896" t="str">
        <f t="shared" si="43"/>
        <v/>
      </c>
      <c r="AU39" s="896" t="str">
        <f t="shared" si="44"/>
        <v/>
      </c>
      <c r="AV39" s="896" t="str">
        <f t="shared" si="45"/>
        <v/>
      </c>
      <c r="AW39" s="900" t="str">
        <f t="shared" si="45"/>
        <v/>
      </c>
    </row>
    <row r="40" spans="1:49" s="356" customFormat="1">
      <c r="A40" s="880" t="str">
        <f t="shared" si="46"/>
        <v>2023/03/21</v>
      </c>
      <c r="B40" s="355" t="s">
        <v>322</v>
      </c>
      <c r="C40" s="355" t="str">
        <f t="shared" si="47"/>
        <v>Nồng độ acid đặc (13,14)
鹽酸 濃度</v>
      </c>
      <c r="D40" s="355" t="str">
        <f t="shared" si="48"/>
        <v>XT-000C</v>
      </c>
      <c r="E40" s="355" t="str">
        <f t="shared" si="49"/>
        <v>%V/V</v>
      </c>
      <c r="F40" s="355" t="str">
        <f t="shared" si="50"/>
        <v>40~50</v>
      </c>
      <c r="G40" s="868">
        <f t="shared" si="51"/>
        <v>1.74</v>
      </c>
      <c r="H40" s="868" t="str">
        <f t="shared" si="52"/>
        <v>+</v>
      </c>
      <c r="I40" s="873">
        <f t="shared" si="53"/>
        <v>356.73918750000007</v>
      </c>
      <c r="J40" s="868">
        <f t="shared" si="7"/>
        <v>0</v>
      </c>
      <c r="K40" s="868" t="str">
        <f t="shared" si="54"/>
        <v>+</v>
      </c>
      <c r="L40" s="873">
        <f t="shared" si="55"/>
        <v>0</v>
      </c>
      <c r="M40" s="868">
        <f t="shared" si="56"/>
        <v>0</v>
      </c>
      <c r="N40" s="868" t="str">
        <f t="shared" si="57"/>
        <v>+</v>
      </c>
      <c r="O40" s="873">
        <f t="shared" si="58"/>
        <v>0</v>
      </c>
      <c r="P40" s="868">
        <f t="shared" si="59"/>
        <v>0</v>
      </c>
      <c r="Q40" s="868" t="str">
        <f t="shared" si="60"/>
        <v>+</v>
      </c>
      <c r="R40" s="873">
        <f t="shared" si="61"/>
        <v>0</v>
      </c>
      <c r="S40" s="868">
        <f t="shared" si="62"/>
        <v>0</v>
      </c>
      <c r="T40" s="861" t="str">
        <f t="shared" si="63"/>
        <v>+</v>
      </c>
      <c r="U40" s="862">
        <f t="shared" si="64"/>
        <v>0</v>
      </c>
      <c r="V40" s="868">
        <f t="shared" si="65"/>
        <v>0</v>
      </c>
      <c r="W40" s="861" t="str">
        <f t="shared" si="66"/>
        <v>+</v>
      </c>
      <c r="X40" s="862">
        <f t="shared" si="67"/>
        <v>0</v>
      </c>
      <c r="Z40" s="356" t="b">
        <f t="shared" si="23"/>
        <v>1</v>
      </c>
      <c r="AA40" s="356" t="b">
        <f t="shared" si="24"/>
        <v>0</v>
      </c>
      <c r="AB40" s="356" t="b">
        <f t="shared" si="25"/>
        <v>1</v>
      </c>
      <c r="AC40" s="356" t="b">
        <f t="shared" si="26"/>
        <v>0</v>
      </c>
      <c r="AD40" s="356" t="b">
        <f t="shared" si="27"/>
        <v>1</v>
      </c>
      <c r="AE40" s="356" t="b">
        <f t="shared" si="28"/>
        <v>0</v>
      </c>
      <c r="AF40" s="356" t="b">
        <f t="shared" si="29"/>
        <v>1</v>
      </c>
      <c r="AG40" s="356" t="b">
        <f t="shared" si="30"/>
        <v>0</v>
      </c>
      <c r="AH40" s="356" t="b">
        <f t="shared" si="31"/>
        <v>1</v>
      </c>
      <c r="AI40" s="356" t="b">
        <f t="shared" si="32"/>
        <v>0</v>
      </c>
      <c r="AJ40" s="356" t="b">
        <f t="shared" si="33"/>
        <v>1</v>
      </c>
      <c r="AK40" s="356" t="b">
        <f t="shared" si="34"/>
        <v>0</v>
      </c>
      <c r="AL40" s="895" t="str">
        <f t="shared" si="35"/>
        <v/>
      </c>
      <c r="AM40" s="896">
        <f t="shared" si="36"/>
        <v>1</v>
      </c>
      <c r="AN40" s="896" t="str">
        <f t="shared" si="37"/>
        <v/>
      </c>
      <c r="AO40" s="896">
        <f t="shared" si="38"/>
        <v>1</v>
      </c>
      <c r="AP40" s="896" t="str">
        <f t="shared" si="39"/>
        <v/>
      </c>
      <c r="AQ40" s="896">
        <f t="shared" si="40"/>
        <v>1</v>
      </c>
      <c r="AR40" s="896" t="str">
        <f t="shared" si="41"/>
        <v/>
      </c>
      <c r="AS40" s="896">
        <f t="shared" si="42"/>
        <v>1</v>
      </c>
      <c r="AT40" s="896" t="str">
        <f t="shared" si="43"/>
        <v/>
      </c>
      <c r="AU40" s="896">
        <f t="shared" si="44"/>
        <v>1</v>
      </c>
      <c r="AV40" s="896" t="str">
        <f t="shared" si="45"/>
        <v/>
      </c>
      <c r="AW40" s="900">
        <f t="shared" si="45"/>
        <v>1</v>
      </c>
    </row>
    <row r="41" spans="1:49" s="356" customFormat="1">
      <c r="A41" s="880" t="str">
        <f t="shared" si="46"/>
        <v>2023/03/21</v>
      </c>
      <c r="B41" s="355" t="s">
        <v>323</v>
      </c>
      <c r="C41" s="355" t="str">
        <f t="shared" si="47"/>
        <v>Nồng độ acid đặc (15,16,17)
鹽酸 濃度</v>
      </c>
      <c r="D41" s="355" t="str">
        <f t="shared" si="48"/>
        <v>XT-000C</v>
      </c>
      <c r="E41" s="355" t="str">
        <f t="shared" si="49"/>
        <v>%V/V</v>
      </c>
      <c r="F41" s="355" t="str">
        <f t="shared" si="50"/>
        <v>40~50</v>
      </c>
      <c r="G41" s="868">
        <f t="shared" si="51"/>
        <v>0</v>
      </c>
      <c r="H41" s="868" t="str">
        <f t="shared" si="52"/>
        <v>+</v>
      </c>
      <c r="I41" s="873">
        <f t="shared" si="53"/>
        <v>0</v>
      </c>
      <c r="J41" s="868">
        <f t="shared" si="7"/>
        <v>0</v>
      </c>
      <c r="K41" s="868" t="str">
        <f t="shared" si="54"/>
        <v>+</v>
      </c>
      <c r="L41" s="873">
        <f t="shared" si="55"/>
        <v>0</v>
      </c>
      <c r="M41" s="868">
        <f t="shared" si="56"/>
        <v>0</v>
      </c>
      <c r="N41" s="868" t="str">
        <f t="shared" si="57"/>
        <v>+</v>
      </c>
      <c r="O41" s="873">
        <f t="shared" si="58"/>
        <v>0</v>
      </c>
      <c r="P41" s="868">
        <f t="shared" si="59"/>
        <v>0</v>
      </c>
      <c r="Q41" s="868" t="str">
        <f t="shared" si="60"/>
        <v>+</v>
      </c>
      <c r="R41" s="873">
        <f t="shared" si="61"/>
        <v>0</v>
      </c>
      <c r="S41" s="868">
        <f t="shared" si="62"/>
        <v>0</v>
      </c>
      <c r="T41" s="861" t="str">
        <f t="shared" si="63"/>
        <v>+</v>
      </c>
      <c r="U41" s="862">
        <f t="shared" si="64"/>
        <v>0</v>
      </c>
      <c r="V41" s="868">
        <f t="shared" si="65"/>
        <v>0</v>
      </c>
      <c r="W41" s="861" t="str">
        <f t="shared" si="66"/>
        <v>+</v>
      </c>
      <c r="X41" s="862">
        <f t="shared" si="67"/>
        <v>0</v>
      </c>
      <c r="Z41" s="356" t="b">
        <f t="shared" si="23"/>
        <v>1</v>
      </c>
      <c r="AA41" s="356" t="b">
        <f t="shared" si="24"/>
        <v>0</v>
      </c>
      <c r="AB41" s="356" t="b">
        <f t="shared" si="25"/>
        <v>1</v>
      </c>
      <c r="AC41" s="356" t="b">
        <f t="shared" si="26"/>
        <v>0</v>
      </c>
      <c r="AD41" s="356" t="b">
        <f t="shared" si="27"/>
        <v>1</v>
      </c>
      <c r="AE41" s="356" t="b">
        <f t="shared" si="28"/>
        <v>0</v>
      </c>
      <c r="AF41" s="356" t="b">
        <f t="shared" si="29"/>
        <v>1</v>
      </c>
      <c r="AG41" s="356" t="b">
        <f t="shared" si="30"/>
        <v>0</v>
      </c>
      <c r="AH41" s="356" t="b">
        <f t="shared" si="31"/>
        <v>1</v>
      </c>
      <c r="AI41" s="356" t="b">
        <f t="shared" si="32"/>
        <v>0</v>
      </c>
      <c r="AJ41" s="356" t="b">
        <f t="shared" si="33"/>
        <v>1</v>
      </c>
      <c r="AK41" s="356" t="b">
        <f t="shared" si="34"/>
        <v>0</v>
      </c>
      <c r="AL41" s="895" t="str">
        <f t="shared" si="35"/>
        <v/>
      </c>
      <c r="AM41" s="896">
        <f t="shared" si="36"/>
        <v>1</v>
      </c>
      <c r="AN41" s="896" t="str">
        <f t="shared" si="37"/>
        <v/>
      </c>
      <c r="AO41" s="896">
        <f t="shared" si="38"/>
        <v>1</v>
      </c>
      <c r="AP41" s="896" t="str">
        <f t="shared" si="39"/>
        <v/>
      </c>
      <c r="AQ41" s="896">
        <f t="shared" si="40"/>
        <v>1</v>
      </c>
      <c r="AR41" s="896" t="str">
        <f t="shared" si="41"/>
        <v/>
      </c>
      <c r="AS41" s="896">
        <f t="shared" si="42"/>
        <v>1</v>
      </c>
      <c r="AT41" s="896" t="str">
        <f t="shared" si="43"/>
        <v/>
      </c>
      <c r="AU41" s="896">
        <f t="shared" si="44"/>
        <v>1</v>
      </c>
      <c r="AV41" s="896" t="str">
        <f t="shared" si="45"/>
        <v/>
      </c>
      <c r="AW41" s="900">
        <f t="shared" si="45"/>
        <v>1</v>
      </c>
    </row>
    <row r="42" spans="1:49" s="356" customFormat="1">
      <c r="A42" s="880" t="str">
        <f t="shared" si="46"/>
        <v>2023/03/21</v>
      </c>
      <c r="B42" s="355" t="s">
        <v>324</v>
      </c>
      <c r="C42" s="355" t="str">
        <f t="shared" si="47"/>
        <v>Nồng độ acid loãng (12)
稀酸 濃度</v>
      </c>
      <c r="D42" s="355" t="str">
        <f t="shared" si="48"/>
        <v>XT-000C</v>
      </c>
      <c r="E42" s="355" t="str">
        <f t="shared" si="49"/>
        <v>%V/V</v>
      </c>
      <c r="F42" s="355" t="str">
        <f t="shared" si="50"/>
        <v>20~40</v>
      </c>
      <c r="G42" s="868">
        <f t="shared" si="51"/>
        <v>0.36</v>
      </c>
      <c r="H42" s="868" t="str">
        <f t="shared" si="52"/>
        <v>+</v>
      </c>
      <c r="I42" s="873">
        <f t="shared" si="53"/>
        <v>704.6077499999999</v>
      </c>
      <c r="J42" s="868">
        <f t="shared" si="7"/>
        <v>0</v>
      </c>
      <c r="K42" s="868" t="str">
        <f t="shared" si="54"/>
        <v>+</v>
      </c>
      <c r="L42" s="873">
        <f t="shared" si="55"/>
        <v>0</v>
      </c>
      <c r="M42" s="868">
        <f t="shared" si="56"/>
        <v>0</v>
      </c>
      <c r="N42" s="868" t="str">
        <f t="shared" si="57"/>
        <v>+</v>
      </c>
      <c r="O42" s="873">
        <f t="shared" si="58"/>
        <v>0</v>
      </c>
      <c r="P42" s="868">
        <f t="shared" si="59"/>
        <v>0</v>
      </c>
      <c r="Q42" s="868" t="str">
        <f t="shared" si="60"/>
        <v>+</v>
      </c>
      <c r="R42" s="873">
        <f t="shared" si="61"/>
        <v>0</v>
      </c>
      <c r="S42" s="868">
        <f t="shared" si="62"/>
        <v>0</v>
      </c>
      <c r="T42" s="861" t="str">
        <f t="shared" si="63"/>
        <v>+</v>
      </c>
      <c r="U42" s="862">
        <f t="shared" si="64"/>
        <v>0</v>
      </c>
      <c r="V42" s="868">
        <f t="shared" si="65"/>
        <v>0</v>
      </c>
      <c r="W42" s="861" t="str">
        <f t="shared" si="66"/>
        <v>+</v>
      </c>
      <c r="X42" s="862">
        <f t="shared" si="67"/>
        <v>0</v>
      </c>
      <c r="Z42" s="356" t="b">
        <f t="shared" si="23"/>
        <v>1</v>
      </c>
      <c r="AA42" s="356" t="b">
        <f t="shared" si="24"/>
        <v>0</v>
      </c>
      <c r="AB42" s="356" t="b">
        <f t="shared" si="25"/>
        <v>1</v>
      </c>
      <c r="AC42" s="356" t="b">
        <f t="shared" si="26"/>
        <v>0</v>
      </c>
      <c r="AD42" s="356" t="b">
        <f t="shared" si="27"/>
        <v>1</v>
      </c>
      <c r="AE42" s="356" t="b">
        <f t="shared" si="28"/>
        <v>0</v>
      </c>
      <c r="AF42" s="356" t="b">
        <f t="shared" si="29"/>
        <v>1</v>
      </c>
      <c r="AG42" s="356" t="b">
        <f t="shared" si="30"/>
        <v>0</v>
      </c>
      <c r="AH42" s="356" t="b">
        <f t="shared" si="31"/>
        <v>1</v>
      </c>
      <c r="AI42" s="356" t="b">
        <f t="shared" si="32"/>
        <v>0</v>
      </c>
      <c r="AJ42" s="356" t="b">
        <f t="shared" si="33"/>
        <v>1</v>
      </c>
      <c r="AK42" s="356" t="b">
        <f t="shared" si="34"/>
        <v>0</v>
      </c>
      <c r="AL42" s="895" t="str">
        <f t="shared" si="35"/>
        <v/>
      </c>
      <c r="AM42" s="896">
        <f t="shared" si="36"/>
        <v>1</v>
      </c>
      <c r="AN42" s="896" t="str">
        <f t="shared" si="37"/>
        <v/>
      </c>
      <c r="AO42" s="896">
        <f t="shared" si="38"/>
        <v>1</v>
      </c>
      <c r="AP42" s="896" t="str">
        <f t="shared" si="39"/>
        <v/>
      </c>
      <c r="AQ42" s="896">
        <f t="shared" si="40"/>
        <v>1</v>
      </c>
      <c r="AR42" s="896" t="str">
        <f t="shared" si="41"/>
        <v/>
      </c>
      <c r="AS42" s="896">
        <f t="shared" si="42"/>
        <v>1</v>
      </c>
      <c r="AT42" s="896" t="str">
        <f t="shared" si="43"/>
        <v/>
      </c>
      <c r="AU42" s="896">
        <f t="shared" si="44"/>
        <v>1</v>
      </c>
      <c r="AV42" s="896" t="str">
        <f t="shared" si="45"/>
        <v/>
      </c>
      <c r="AW42" s="900">
        <f t="shared" si="45"/>
        <v>1</v>
      </c>
    </row>
    <row r="43" spans="1:49" s="356" customFormat="1">
      <c r="A43" s="880" t="str">
        <f t="shared" si="46"/>
        <v>2023/03/21</v>
      </c>
      <c r="B43" s="355" t="s">
        <v>325</v>
      </c>
      <c r="C43" s="355" t="str">
        <f t="shared" si="47"/>
        <v>Nồng độ HNO3  (42)
硝酸濃度</v>
      </c>
      <c r="D43" s="355" t="str">
        <f t="shared" si="48"/>
        <v>XT-000C</v>
      </c>
      <c r="E43" s="355" t="str">
        <f t="shared" si="49"/>
        <v>%V/V</v>
      </c>
      <c r="F43" s="355" t="str">
        <f t="shared" si="50"/>
        <v>0.5~1.5</v>
      </c>
      <c r="G43" s="868">
        <f t="shared" si="51"/>
        <v>0</v>
      </c>
      <c r="H43" s="868" t="str">
        <f t="shared" si="52"/>
        <v>+</v>
      </c>
      <c r="I43" s="873">
        <f t="shared" si="53"/>
        <v>0</v>
      </c>
      <c r="J43" s="868">
        <f t="shared" si="7"/>
        <v>0</v>
      </c>
      <c r="K43" s="868" t="str">
        <f t="shared" si="54"/>
        <v>+</v>
      </c>
      <c r="L43" s="873">
        <f t="shared" si="55"/>
        <v>0</v>
      </c>
      <c r="M43" s="868">
        <f t="shared" si="56"/>
        <v>0</v>
      </c>
      <c r="N43" s="868" t="str">
        <f t="shared" si="57"/>
        <v>+</v>
      </c>
      <c r="O43" s="873">
        <f t="shared" si="58"/>
        <v>0</v>
      </c>
      <c r="P43" s="868">
        <f t="shared" si="59"/>
        <v>0</v>
      </c>
      <c r="Q43" s="868" t="str">
        <f t="shared" si="60"/>
        <v>+</v>
      </c>
      <c r="R43" s="873">
        <f t="shared" si="61"/>
        <v>0</v>
      </c>
      <c r="S43" s="868">
        <f t="shared" si="62"/>
        <v>0</v>
      </c>
      <c r="T43" s="861" t="str">
        <f t="shared" si="63"/>
        <v>+</v>
      </c>
      <c r="U43" s="862">
        <f t="shared" si="64"/>
        <v>0</v>
      </c>
      <c r="V43" s="868">
        <f t="shared" si="65"/>
        <v>0</v>
      </c>
      <c r="W43" s="861" t="str">
        <f t="shared" si="66"/>
        <v>+</v>
      </c>
      <c r="X43" s="862">
        <f t="shared" si="67"/>
        <v>0</v>
      </c>
      <c r="Z43" s="356" t="b">
        <f t="shared" si="23"/>
        <v>1</v>
      </c>
      <c r="AA43" s="356" t="b">
        <f t="shared" si="24"/>
        <v>0</v>
      </c>
      <c r="AB43" s="356" t="b">
        <f t="shared" si="25"/>
        <v>1</v>
      </c>
      <c r="AC43" s="356" t="b">
        <f t="shared" si="26"/>
        <v>0</v>
      </c>
      <c r="AD43" s="356" t="b">
        <f t="shared" si="27"/>
        <v>1</v>
      </c>
      <c r="AE43" s="356" t="b">
        <f t="shared" si="28"/>
        <v>0</v>
      </c>
      <c r="AF43" s="356" t="b">
        <f t="shared" si="29"/>
        <v>1</v>
      </c>
      <c r="AG43" s="356" t="b">
        <f t="shared" si="30"/>
        <v>0</v>
      </c>
      <c r="AH43" s="356" t="b">
        <f t="shared" si="31"/>
        <v>1</v>
      </c>
      <c r="AI43" s="356" t="b">
        <f t="shared" si="32"/>
        <v>0</v>
      </c>
      <c r="AJ43" s="356" t="b">
        <f t="shared" si="33"/>
        <v>1</v>
      </c>
      <c r="AK43" s="356" t="b">
        <f t="shared" si="34"/>
        <v>0</v>
      </c>
      <c r="AL43" s="895" t="str">
        <f t="shared" si="35"/>
        <v/>
      </c>
      <c r="AM43" s="896">
        <f t="shared" si="36"/>
        <v>1</v>
      </c>
      <c r="AN43" s="896" t="str">
        <f t="shared" si="37"/>
        <v/>
      </c>
      <c r="AO43" s="896">
        <f t="shared" si="38"/>
        <v>1</v>
      </c>
      <c r="AP43" s="896" t="str">
        <f t="shared" si="39"/>
        <v/>
      </c>
      <c r="AQ43" s="896">
        <f t="shared" si="40"/>
        <v>1</v>
      </c>
      <c r="AR43" s="896" t="str">
        <f t="shared" si="41"/>
        <v/>
      </c>
      <c r="AS43" s="896">
        <f t="shared" si="42"/>
        <v>1</v>
      </c>
      <c r="AT43" s="896" t="str">
        <f t="shared" si="43"/>
        <v/>
      </c>
      <c r="AU43" s="896">
        <f t="shared" si="44"/>
        <v>1</v>
      </c>
      <c r="AV43" s="896" t="str">
        <f t="shared" si="45"/>
        <v/>
      </c>
      <c r="AW43" s="900">
        <f t="shared" si="45"/>
        <v>1</v>
      </c>
    </row>
    <row r="44" spans="1:49" s="356" customFormat="1">
      <c r="A44" s="880" t="str">
        <f t="shared" si="46"/>
        <v>2023/03/21</v>
      </c>
      <c r="B44" s="355" t="s">
        <v>335</v>
      </c>
      <c r="C44" s="355" t="str">
        <f t="shared" si="47"/>
        <v>chất bóng (250 brightener)
光亮劑</v>
      </c>
      <c r="D44" s="355" t="str">
        <f t="shared" si="48"/>
        <v>XT-000C</v>
      </c>
      <c r="E44" s="355" t="str">
        <f t="shared" si="49"/>
        <v>ml/KAH</v>
      </c>
      <c r="F44" s="355" t="str">
        <f t="shared" si="50"/>
        <v>30~50 
(40)</v>
      </c>
      <c r="G44" s="868">
        <f t="shared" si="51"/>
        <v>0</v>
      </c>
      <c r="H44" s="868">
        <f t="shared" si="52"/>
        <v>0</v>
      </c>
      <c r="I44" s="873">
        <f t="shared" si="53"/>
        <v>0</v>
      </c>
      <c r="J44" s="868">
        <f t="shared" si="7"/>
        <v>0</v>
      </c>
      <c r="K44" s="868">
        <f t="shared" si="54"/>
        <v>0</v>
      </c>
      <c r="L44" s="873">
        <f t="shared" si="55"/>
        <v>0</v>
      </c>
      <c r="M44" s="868">
        <f t="shared" si="56"/>
        <v>0</v>
      </c>
      <c r="N44" s="868">
        <f t="shared" si="57"/>
        <v>0</v>
      </c>
      <c r="O44" s="873">
        <f t="shared" si="58"/>
        <v>0</v>
      </c>
      <c r="P44" s="868">
        <f t="shared" si="59"/>
        <v>0</v>
      </c>
      <c r="Q44" s="868">
        <f t="shared" si="60"/>
        <v>0</v>
      </c>
      <c r="R44" s="873">
        <f t="shared" si="61"/>
        <v>0</v>
      </c>
      <c r="S44" s="868">
        <f t="shared" si="62"/>
        <v>0</v>
      </c>
      <c r="T44" s="861">
        <f t="shared" si="63"/>
        <v>0</v>
      </c>
      <c r="U44" s="862">
        <f t="shared" si="64"/>
        <v>0</v>
      </c>
      <c r="V44" s="868">
        <f t="shared" si="65"/>
        <v>0</v>
      </c>
      <c r="W44" s="861">
        <f t="shared" si="66"/>
        <v>0</v>
      </c>
      <c r="X44" s="862">
        <f t="shared" si="67"/>
        <v>0</v>
      </c>
      <c r="Z44" s="356" t="b">
        <f t="shared" si="23"/>
        <v>1</v>
      </c>
      <c r="AA44" s="356" t="b">
        <f t="shared" si="24"/>
        <v>1</v>
      </c>
      <c r="AB44" s="356" t="b">
        <f t="shared" si="25"/>
        <v>1</v>
      </c>
      <c r="AC44" s="356" t="b">
        <f t="shared" si="26"/>
        <v>1</v>
      </c>
      <c r="AD44" s="356" t="b">
        <f t="shared" si="27"/>
        <v>1</v>
      </c>
      <c r="AE44" s="356" t="b">
        <f t="shared" si="28"/>
        <v>1</v>
      </c>
      <c r="AF44" s="356" t="b">
        <f t="shared" si="29"/>
        <v>1</v>
      </c>
      <c r="AG44" s="356" t="b">
        <f t="shared" si="30"/>
        <v>1</v>
      </c>
      <c r="AH44" s="356" t="b">
        <f t="shared" si="31"/>
        <v>1</v>
      </c>
      <c r="AI44" s="356" t="b">
        <f t="shared" si="32"/>
        <v>1</v>
      </c>
      <c r="AJ44" s="356" t="b">
        <f t="shared" si="33"/>
        <v>1</v>
      </c>
      <c r="AK44" s="356" t="b">
        <f t="shared" si="34"/>
        <v>1</v>
      </c>
      <c r="AL44" s="895" t="str">
        <f t="shared" si="35"/>
        <v/>
      </c>
      <c r="AM44" s="896" t="str">
        <f t="shared" si="36"/>
        <v/>
      </c>
      <c r="AN44" s="896" t="str">
        <f t="shared" si="37"/>
        <v/>
      </c>
      <c r="AO44" s="896" t="str">
        <f t="shared" si="38"/>
        <v/>
      </c>
      <c r="AP44" s="896" t="str">
        <f t="shared" si="39"/>
        <v/>
      </c>
      <c r="AQ44" s="896" t="str">
        <f t="shared" si="40"/>
        <v/>
      </c>
      <c r="AR44" s="896" t="str">
        <f t="shared" si="41"/>
        <v/>
      </c>
      <c r="AS44" s="896" t="str">
        <f t="shared" si="42"/>
        <v/>
      </c>
      <c r="AT44" s="896" t="str">
        <f t="shared" si="43"/>
        <v/>
      </c>
      <c r="AU44" s="896" t="str">
        <f t="shared" si="44"/>
        <v/>
      </c>
      <c r="AV44" s="896" t="str">
        <f t="shared" si="45"/>
        <v/>
      </c>
      <c r="AW44" s="900" t="str">
        <f t="shared" si="45"/>
        <v/>
      </c>
    </row>
    <row r="45" spans="1:49" s="356" customFormat="1">
      <c r="A45" s="880" t="str">
        <f t="shared" si="46"/>
        <v>2023/03/21</v>
      </c>
      <c r="B45" s="355" t="s">
        <v>336</v>
      </c>
      <c r="C45" s="355" t="str">
        <f t="shared" si="47"/>
        <v>chất mềm (250 base)
開缸劑</v>
      </c>
      <c r="D45" s="355" t="str">
        <f t="shared" si="48"/>
        <v>XT-000C</v>
      </c>
      <c r="E45" s="355" t="str">
        <f t="shared" si="49"/>
        <v>ml/KAH</v>
      </c>
      <c r="F45" s="355" t="str">
        <f t="shared" si="50"/>
        <v>160~220
(180)</v>
      </c>
      <c r="G45" s="868">
        <f t="shared" si="51"/>
        <v>0</v>
      </c>
      <c r="H45" s="868">
        <f t="shared" si="52"/>
        <v>0</v>
      </c>
      <c r="I45" s="873">
        <f t="shared" si="53"/>
        <v>0</v>
      </c>
      <c r="J45" s="868">
        <f t="shared" ref="J45" si="68">IFERROR(VLOOKUP($B45,_XM_XT_THUCTE,14,0),"")</f>
        <v>0</v>
      </c>
      <c r="K45" s="868">
        <f t="shared" si="54"/>
        <v>0</v>
      </c>
      <c r="L45" s="873">
        <f t="shared" si="55"/>
        <v>0</v>
      </c>
      <c r="M45" s="868">
        <f t="shared" si="56"/>
        <v>0</v>
      </c>
      <c r="N45" s="868">
        <f t="shared" si="57"/>
        <v>0</v>
      </c>
      <c r="O45" s="873">
        <f t="shared" si="58"/>
        <v>0</v>
      </c>
      <c r="P45" s="868">
        <f t="shared" si="59"/>
        <v>0</v>
      </c>
      <c r="Q45" s="868">
        <f t="shared" si="60"/>
        <v>0</v>
      </c>
      <c r="R45" s="873">
        <f t="shared" si="61"/>
        <v>0</v>
      </c>
      <c r="S45" s="868">
        <f t="shared" si="62"/>
        <v>0</v>
      </c>
      <c r="T45" s="861">
        <f t="shared" si="63"/>
        <v>0</v>
      </c>
      <c r="U45" s="862">
        <f t="shared" si="64"/>
        <v>0</v>
      </c>
      <c r="V45" s="868">
        <f t="shared" si="65"/>
        <v>0</v>
      </c>
      <c r="W45" s="861">
        <f t="shared" si="66"/>
        <v>0</v>
      </c>
      <c r="X45" s="862">
        <f t="shared" si="67"/>
        <v>0</v>
      </c>
      <c r="Z45" s="356" t="b">
        <f t="shared" si="23"/>
        <v>1</v>
      </c>
      <c r="AA45" s="356" t="b">
        <f t="shared" si="24"/>
        <v>1</v>
      </c>
      <c r="AB45" s="356" t="b">
        <f t="shared" si="25"/>
        <v>1</v>
      </c>
      <c r="AC45" s="356" t="b">
        <f t="shared" si="26"/>
        <v>1</v>
      </c>
      <c r="AD45" s="356" t="b">
        <f t="shared" si="27"/>
        <v>1</v>
      </c>
      <c r="AE45" s="356" t="b">
        <f t="shared" si="28"/>
        <v>1</v>
      </c>
      <c r="AF45" s="356" t="b">
        <f t="shared" si="29"/>
        <v>1</v>
      </c>
      <c r="AG45" s="356" t="b">
        <f t="shared" si="30"/>
        <v>1</v>
      </c>
      <c r="AH45" s="356" t="b">
        <f t="shared" si="31"/>
        <v>1</v>
      </c>
      <c r="AI45" s="356" t="b">
        <f t="shared" si="32"/>
        <v>1</v>
      </c>
      <c r="AJ45" s="356" t="b">
        <f t="shared" si="33"/>
        <v>1</v>
      </c>
      <c r="AK45" s="356" t="b">
        <f t="shared" si="34"/>
        <v>1</v>
      </c>
      <c r="AL45" s="895" t="str">
        <f t="shared" si="35"/>
        <v/>
      </c>
      <c r="AM45" s="896" t="str">
        <f t="shared" si="36"/>
        <v/>
      </c>
      <c r="AN45" s="896" t="str">
        <f t="shared" si="37"/>
        <v/>
      </c>
      <c r="AO45" s="896" t="str">
        <f t="shared" si="38"/>
        <v/>
      </c>
      <c r="AP45" s="896" t="str">
        <f t="shared" si="39"/>
        <v/>
      </c>
      <c r="AQ45" s="896" t="str">
        <f t="shared" si="40"/>
        <v/>
      </c>
      <c r="AR45" s="896" t="str">
        <f t="shared" si="41"/>
        <v/>
      </c>
      <c r="AS45" s="896" t="str">
        <f t="shared" si="42"/>
        <v/>
      </c>
      <c r="AT45" s="896" t="str">
        <f t="shared" si="43"/>
        <v/>
      </c>
      <c r="AU45" s="896" t="str">
        <f t="shared" si="44"/>
        <v/>
      </c>
      <c r="AV45" s="896" t="str">
        <f t="shared" si="45"/>
        <v/>
      </c>
      <c r="AW45" s="900" t="str">
        <f t="shared" si="45"/>
        <v/>
      </c>
    </row>
    <row r="46" spans="1:49" s="877" customFormat="1">
      <c r="A46" s="982" t="str">
        <f t="shared" si="46"/>
        <v>2023/03/21</v>
      </c>
      <c r="B46" s="876" t="s">
        <v>459</v>
      </c>
      <c r="C46" s="876" t="str">
        <f t="shared" ref="C46:C74" si="69">IFERROR(VLOOKUP($B46,RLMLXD,2,0),"")</f>
        <v>Rua acid (1) 鹽酸洗槽</v>
      </c>
      <c r="D46" s="876" t="str">
        <f t="shared" ref="D46:D74" si="70">IFERROR(VLOOKUP($B46,RLMLXD,43,0),"")</f>
        <v>CR-000E</v>
      </c>
      <c r="E46" s="876" t="str">
        <f t="shared" ref="E46:E74" si="71">IFERROR(VLOOKUP($B46,RLMLXD,4,0),"")</f>
        <v>%</v>
      </c>
      <c r="F46" s="876" t="str">
        <f t="shared" ref="F46:F74" si="72">IFERROR(VLOOKUP($B46,RLMLXD,5,0),"")</f>
        <v>10~15%  (12.5%)</v>
      </c>
      <c r="G46" s="863">
        <f t="shared" ref="G46:G99" si="73">IFERROR(VLOOKUP($B46,RLMLXD,8,0),"")</f>
        <v>0</v>
      </c>
      <c r="H46" s="863">
        <f t="shared" ref="H46:H99" si="74">IFERROR(VLOOKUP($B46,RLMLXD,11,0),"")</f>
        <v>0</v>
      </c>
      <c r="I46" s="864" t="str">
        <f t="shared" ref="I46:I99" si="75">IFERROR(VLOOKUP($B46,RLMLXD,12,0),"")</f>
        <v>L</v>
      </c>
      <c r="J46" s="863">
        <f t="shared" ref="J46:J99" si="76">IFERROR(VLOOKUP($B46,RLMLXD,14,0),"")</f>
        <v>0</v>
      </c>
      <c r="K46" s="863">
        <f t="shared" ref="K46:K99" si="77">IFERROR(VLOOKUP($B46,RLMLXD,17,0),"")</f>
        <v>0</v>
      </c>
      <c r="L46" s="864" t="str">
        <f t="shared" ref="L46:L99" si="78">IFERROR(VLOOKUP($B46,RLMLXD,18,0),"")</f>
        <v>L</v>
      </c>
      <c r="M46" s="863">
        <f t="shared" ref="M46:M99" si="79">IFERROR(VLOOKUP($B46,RLMLXD,20,0),"")</f>
        <v>0</v>
      </c>
      <c r="N46" s="863">
        <f t="shared" ref="N46:N99" si="80">IFERROR(VLOOKUP($B46,RLMLXD,23,0),"")</f>
        <v>0</v>
      </c>
      <c r="O46" s="864" t="str">
        <f t="shared" ref="O46:O99" si="81">IFERROR(VLOOKUP($B46,RLMLXD,24,0),"")</f>
        <v>L</v>
      </c>
      <c r="P46" s="863">
        <f t="shared" ref="P46:P99" si="82">IFERROR(VLOOKUP($B46,RLMLXD,26,0),"")</f>
        <v>0</v>
      </c>
      <c r="Q46" s="863">
        <f t="shared" ref="Q46:Q99" si="83">IFERROR(VLOOKUP($B46,RLMLXD,29,0),"")</f>
        <v>0</v>
      </c>
      <c r="R46" s="864" t="str">
        <f t="shared" ref="R46:R99" si="84">IFERROR(VLOOKUP($B46,RLMLXD,30,0),"")</f>
        <v>L</v>
      </c>
      <c r="S46" s="863">
        <f t="shared" ref="S46:S99" si="85">IFERROR(VLOOKUP($B46,RLMLXD,32,0),"")</f>
        <v>0</v>
      </c>
      <c r="T46" s="863">
        <f t="shared" ref="T46:T99" si="86">IFERROR(VLOOKUP($B46,RLMLXD,35,0),"")</f>
        <v>0</v>
      </c>
      <c r="U46" s="864" t="str">
        <f t="shared" ref="U46:U99" si="87">IFERROR(VLOOKUP($B46,RLMLXD,36,0),"")</f>
        <v>L</v>
      </c>
      <c r="V46" s="863">
        <f t="shared" ref="V46:V99" si="88">IFERROR(VLOOKUP($B46,RLMLXD,38,0),"")</f>
        <v>0</v>
      </c>
      <c r="W46" s="863">
        <f t="shared" ref="W46:W99" si="89">IFERROR(VLOOKUP($B46,RLMLXD,41,0),"")</f>
        <v>0</v>
      </c>
      <c r="X46" s="864" t="str">
        <f t="shared" ref="X46:X99" si="90">IFERROR(VLOOKUP($B46,RLMLXD,42,0),"")</f>
        <v>L</v>
      </c>
      <c r="Z46" s="878" t="b">
        <f t="shared" si="23"/>
        <v>1</v>
      </c>
      <c r="AA46" s="878" t="b">
        <f t="shared" si="24"/>
        <v>1</v>
      </c>
      <c r="AB46" s="878" t="b">
        <f t="shared" si="25"/>
        <v>1</v>
      </c>
      <c r="AC46" s="878" t="b">
        <f t="shared" si="26"/>
        <v>1</v>
      </c>
      <c r="AD46" s="878" t="b">
        <f t="shared" si="27"/>
        <v>1</v>
      </c>
      <c r="AE46" s="878" t="b">
        <f t="shared" si="28"/>
        <v>1</v>
      </c>
      <c r="AF46" s="878" t="b">
        <f t="shared" si="29"/>
        <v>1</v>
      </c>
      <c r="AG46" s="878" t="b">
        <f t="shared" si="30"/>
        <v>1</v>
      </c>
      <c r="AH46" s="878" t="b">
        <f t="shared" si="31"/>
        <v>1</v>
      </c>
      <c r="AI46" s="878" t="b">
        <f t="shared" si="32"/>
        <v>1</v>
      </c>
      <c r="AJ46" s="878" t="b">
        <f t="shared" si="33"/>
        <v>1</v>
      </c>
      <c r="AK46" s="878" t="b">
        <f t="shared" si="34"/>
        <v>1</v>
      </c>
      <c r="AL46" s="983" t="str">
        <f t="shared" si="35"/>
        <v/>
      </c>
      <c r="AM46" s="984" t="str">
        <f t="shared" si="36"/>
        <v/>
      </c>
      <c r="AN46" s="984" t="str">
        <f t="shared" si="37"/>
        <v/>
      </c>
      <c r="AO46" s="984" t="str">
        <f t="shared" si="38"/>
        <v/>
      </c>
      <c r="AP46" s="984" t="str">
        <f t="shared" si="39"/>
        <v/>
      </c>
      <c r="AQ46" s="984" t="str">
        <f t="shared" si="40"/>
        <v/>
      </c>
      <c r="AR46" s="984" t="str">
        <f t="shared" si="41"/>
        <v/>
      </c>
      <c r="AS46" s="984" t="str">
        <f t="shared" si="42"/>
        <v/>
      </c>
      <c r="AT46" s="984" t="str">
        <f t="shared" si="43"/>
        <v/>
      </c>
      <c r="AU46" s="984" t="str">
        <f t="shared" si="44"/>
        <v/>
      </c>
      <c r="AV46" s="984" t="str">
        <f t="shared" si="45"/>
        <v/>
      </c>
      <c r="AW46" s="985" t="str">
        <f t="shared" si="45"/>
        <v/>
      </c>
    </row>
    <row r="47" spans="1:49">
      <c r="A47" s="880" t="str">
        <f t="shared" si="46"/>
        <v>2023/03/21</v>
      </c>
      <c r="B47" s="355" t="s">
        <v>463</v>
      </c>
      <c r="C47" s="355" t="str">
        <f t="shared" si="69"/>
        <v>Rua acid (2) 鹽酸洗槽</v>
      </c>
      <c r="D47" s="355" t="str">
        <f t="shared" si="70"/>
        <v>CR-000E</v>
      </c>
      <c r="E47" s="355" t="str">
        <f t="shared" si="71"/>
        <v>%</v>
      </c>
      <c r="F47" s="355" t="str">
        <f t="shared" si="72"/>
        <v>10~15%  (12.5%)</v>
      </c>
      <c r="G47" s="868">
        <f t="shared" si="73"/>
        <v>0</v>
      </c>
      <c r="H47" s="868">
        <f t="shared" si="74"/>
        <v>292.1875</v>
      </c>
      <c r="I47" s="873" t="str">
        <f t="shared" si="75"/>
        <v>L</v>
      </c>
      <c r="J47" s="868">
        <f t="shared" si="76"/>
        <v>0</v>
      </c>
      <c r="K47" s="868">
        <f t="shared" si="77"/>
        <v>292.1875</v>
      </c>
      <c r="L47" s="873" t="str">
        <f t="shared" si="78"/>
        <v>L</v>
      </c>
      <c r="M47" s="868">
        <f t="shared" si="79"/>
        <v>0</v>
      </c>
      <c r="N47" s="868">
        <f t="shared" si="80"/>
        <v>292.1875</v>
      </c>
      <c r="O47" s="873" t="str">
        <f t="shared" si="81"/>
        <v>L</v>
      </c>
      <c r="P47" s="868">
        <f t="shared" si="82"/>
        <v>0</v>
      </c>
      <c r="Q47" s="868">
        <f t="shared" si="83"/>
        <v>292.1875</v>
      </c>
      <c r="R47" s="873" t="str">
        <f t="shared" si="84"/>
        <v>L</v>
      </c>
      <c r="S47" s="868">
        <f t="shared" si="85"/>
        <v>0</v>
      </c>
      <c r="T47" s="861">
        <f t="shared" si="86"/>
        <v>292.1875</v>
      </c>
      <c r="U47" s="862" t="str">
        <f t="shared" si="87"/>
        <v>L</v>
      </c>
      <c r="V47" s="868">
        <f t="shared" si="88"/>
        <v>0</v>
      </c>
      <c r="W47" s="861">
        <f t="shared" si="89"/>
        <v>292.1875</v>
      </c>
      <c r="X47" s="862" t="str">
        <f t="shared" si="90"/>
        <v>L</v>
      </c>
      <c r="Z47" s="356" t="b">
        <f t="shared" si="23"/>
        <v>1</v>
      </c>
      <c r="AA47" s="356" t="b">
        <f t="shared" si="24"/>
        <v>1</v>
      </c>
      <c r="AB47" s="356" t="b">
        <f t="shared" si="25"/>
        <v>1</v>
      </c>
      <c r="AC47" s="356" t="b">
        <f t="shared" si="26"/>
        <v>1</v>
      </c>
      <c r="AD47" s="356" t="b">
        <f t="shared" si="27"/>
        <v>1</v>
      </c>
      <c r="AE47" s="356" t="b">
        <f t="shared" si="28"/>
        <v>1</v>
      </c>
      <c r="AF47" s="356" t="b">
        <f t="shared" si="29"/>
        <v>1</v>
      </c>
      <c r="AG47" s="356" t="b">
        <f t="shared" si="30"/>
        <v>1</v>
      </c>
      <c r="AH47" s="356" t="b">
        <f t="shared" si="31"/>
        <v>1</v>
      </c>
      <c r="AI47" s="356" t="b">
        <f t="shared" si="32"/>
        <v>1</v>
      </c>
      <c r="AJ47" s="356" t="b">
        <f t="shared" si="33"/>
        <v>1</v>
      </c>
      <c r="AK47" s="356" t="b">
        <f t="shared" si="34"/>
        <v>1</v>
      </c>
      <c r="AL47" s="895" t="str">
        <f t="shared" si="35"/>
        <v/>
      </c>
      <c r="AM47" s="896" t="str">
        <f t="shared" si="36"/>
        <v/>
      </c>
      <c r="AN47" s="896" t="str">
        <f t="shared" si="37"/>
        <v/>
      </c>
      <c r="AO47" s="896" t="str">
        <f t="shared" si="38"/>
        <v/>
      </c>
      <c r="AP47" s="896" t="str">
        <f t="shared" si="39"/>
        <v/>
      </c>
      <c r="AQ47" s="896" t="str">
        <f t="shared" si="40"/>
        <v/>
      </c>
      <c r="AR47" s="896" t="str">
        <f t="shared" si="41"/>
        <v/>
      </c>
      <c r="AS47" s="896" t="str">
        <f t="shared" si="42"/>
        <v/>
      </c>
      <c r="AT47" s="896" t="str">
        <f t="shared" si="43"/>
        <v/>
      </c>
      <c r="AU47" s="896" t="str">
        <f t="shared" si="44"/>
        <v/>
      </c>
      <c r="AV47" s="896" t="str">
        <f t="shared" si="45"/>
        <v/>
      </c>
      <c r="AW47" s="900" t="str">
        <f t="shared" si="45"/>
        <v/>
      </c>
    </row>
    <row r="48" spans="1:49">
      <c r="A48" s="880" t="str">
        <f t="shared" si="46"/>
        <v>2023/03/21</v>
      </c>
      <c r="B48" s="355" t="s">
        <v>464</v>
      </c>
      <c r="C48" s="355" t="str">
        <f t="shared" si="69"/>
        <v>Muối axit Phosphoric  (TA)
磷酸鹽</v>
      </c>
      <c r="D48" s="355" t="str">
        <f t="shared" si="70"/>
        <v>CR-000E</v>
      </c>
      <c r="E48" s="355" t="str">
        <f t="shared" si="71"/>
        <v>Point</v>
      </c>
      <c r="F48" s="355" t="str">
        <f t="shared" si="72"/>
        <v>Tổng chua TA  全酸
40~60 (50)</v>
      </c>
      <c r="G48" s="868">
        <f t="shared" si="73"/>
        <v>0</v>
      </c>
      <c r="H48" s="868">
        <f t="shared" si="74"/>
        <v>0</v>
      </c>
      <c r="I48" s="873" t="str">
        <f t="shared" si="75"/>
        <v>kg</v>
      </c>
      <c r="J48" s="868">
        <f t="shared" si="76"/>
        <v>0</v>
      </c>
      <c r="K48" s="868">
        <f t="shared" si="77"/>
        <v>0</v>
      </c>
      <c r="L48" s="873" t="str">
        <f t="shared" si="78"/>
        <v>kg</v>
      </c>
      <c r="M48" s="868">
        <f t="shared" si="79"/>
        <v>0</v>
      </c>
      <c r="N48" s="868">
        <f t="shared" si="80"/>
        <v>0</v>
      </c>
      <c r="O48" s="873" t="str">
        <f t="shared" si="81"/>
        <v>kg</v>
      </c>
      <c r="P48" s="868">
        <f t="shared" si="82"/>
        <v>0</v>
      </c>
      <c r="Q48" s="868">
        <f t="shared" si="83"/>
        <v>0</v>
      </c>
      <c r="R48" s="873" t="str">
        <f t="shared" si="84"/>
        <v>kg</v>
      </c>
      <c r="S48" s="868">
        <f t="shared" si="85"/>
        <v>0</v>
      </c>
      <c r="T48" s="861">
        <f t="shared" si="86"/>
        <v>0</v>
      </c>
      <c r="U48" s="862" t="str">
        <f t="shared" si="87"/>
        <v>kg</v>
      </c>
      <c r="V48" s="868">
        <f t="shared" si="88"/>
        <v>0</v>
      </c>
      <c r="W48" s="861">
        <f t="shared" si="89"/>
        <v>0</v>
      </c>
      <c r="X48" s="862" t="str">
        <f t="shared" si="90"/>
        <v>kg</v>
      </c>
      <c r="Z48" s="356" t="b">
        <f t="shared" si="23"/>
        <v>1</v>
      </c>
      <c r="AA48" s="356" t="b">
        <f t="shared" si="24"/>
        <v>1</v>
      </c>
      <c r="AB48" s="356" t="b">
        <f t="shared" si="25"/>
        <v>1</v>
      </c>
      <c r="AC48" s="356" t="b">
        <f t="shared" si="26"/>
        <v>1</v>
      </c>
      <c r="AD48" s="356" t="b">
        <f t="shared" si="27"/>
        <v>1</v>
      </c>
      <c r="AE48" s="356" t="b">
        <f t="shared" si="28"/>
        <v>1</v>
      </c>
      <c r="AF48" s="356" t="b">
        <f t="shared" si="29"/>
        <v>1</v>
      </c>
      <c r="AG48" s="356" t="b">
        <f t="shared" si="30"/>
        <v>1</v>
      </c>
      <c r="AH48" s="356" t="b">
        <f t="shared" si="31"/>
        <v>1</v>
      </c>
      <c r="AI48" s="356" t="b">
        <f t="shared" si="32"/>
        <v>1</v>
      </c>
      <c r="AJ48" s="356" t="b">
        <f t="shared" si="33"/>
        <v>1</v>
      </c>
      <c r="AK48" s="356" t="b">
        <f t="shared" si="34"/>
        <v>1</v>
      </c>
      <c r="AL48" s="895" t="str">
        <f t="shared" si="35"/>
        <v/>
      </c>
      <c r="AM48" s="896" t="str">
        <f t="shared" si="36"/>
        <v/>
      </c>
      <c r="AN48" s="896" t="str">
        <f t="shared" si="37"/>
        <v/>
      </c>
      <c r="AO48" s="896" t="str">
        <f t="shared" si="38"/>
        <v/>
      </c>
      <c r="AP48" s="896" t="str">
        <f t="shared" si="39"/>
        <v/>
      </c>
      <c r="AQ48" s="896" t="str">
        <f t="shared" si="40"/>
        <v/>
      </c>
      <c r="AR48" s="896" t="str">
        <f t="shared" si="41"/>
        <v/>
      </c>
      <c r="AS48" s="896" t="str">
        <f t="shared" si="42"/>
        <v/>
      </c>
      <c r="AT48" s="896" t="str">
        <f t="shared" si="43"/>
        <v/>
      </c>
      <c r="AU48" s="896" t="str">
        <f t="shared" si="44"/>
        <v/>
      </c>
      <c r="AV48" s="896" t="str">
        <f t="shared" si="45"/>
        <v/>
      </c>
      <c r="AW48" s="900" t="str">
        <f t="shared" si="45"/>
        <v/>
      </c>
    </row>
    <row r="49" spans="1:49">
      <c r="A49" s="880" t="str">
        <f t="shared" si="46"/>
        <v>2023/03/21</v>
      </c>
      <c r="B49" s="355" t="s">
        <v>467</v>
      </c>
      <c r="C49" s="355" t="str">
        <f t="shared" si="69"/>
        <v>Muối axit Phosphoric  (tỷ lệ axit)
磷酸鹽</v>
      </c>
      <c r="D49" s="355" t="str">
        <f t="shared" si="70"/>
        <v>CR-000E</v>
      </c>
      <c r="E49" s="355" t="str">
        <f t="shared" si="71"/>
        <v>Point</v>
      </c>
      <c r="F49" s="355" t="str">
        <f t="shared" si="72"/>
        <v>tỷ lệ axit  酸比 
5.2~7.8 (6.5)</v>
      </c>
      <c r="G49" s="868">
        <f t="shared" si="73"/>
        <v>0</v>
      </c>
      <c r="H49" s="868">
        <f t="shared" si="74"/>
        <v>0</v>
      </c>
      <c r="I49" s="873" t="str">
        <f t="shared" si="75"/>
        <v>kg</v>
      </c>
      <c r="J49" s="868">
        <f t="shared" si="76"/>
        <v>0</v>
      </c>
      <c r="K49" s="868">
        <f t="shared" si="77"/>
        <v>0</v>
      </c>
      <c r="L49" s="873" t="str">
        <f t="shared" si="78"/>
        <v>kg</v>
      </c>
      <c r="M49" s="868">
        <f t="shared" si="79"/>
        <v>0</v>
      </c>
      <c r="N49" s="868">
        <f t="shared" si="80"/>
        <v>0</v>
      </c>
      <c r="O49" s="873" t="str">
        <f t="shared" si="81"/>
        <v>kg</v>
      </c>
      <c r="P49" s="868">
        <f t="shared" si="82"/>
        <v>0</v>
      </c>
      <c r="Q49" s="868">
        <f t="shared" si="83"/>
        <v>0</v>
      </c>
      <c r="R49" s="873" t="str">
        <f t="shared" si="84"/>
        <v>kg</v>
      </c>
      <c r="S49" s="868">
        <f t="shared" si="85"/>
        <v>0</v>
      </c>
      <c r="T49" s="861">
        <f t="shared" si="86"/>
        <v>0</v>
      </c>
      <c r="U49" s="862" t="str">
        <f t="shared" si="87"/>
        <v>kg</v>
      </c>
      <c r="V49" s="868">
        <f t="shared" si="88"/>
        <v>0</v>
      </c>
      <c r="W49" s="861">
        <f t="shared" si="89"/>
        <v>0</v>
      </c>
      <c r="X49" s="862" t="str">
        <f t="shared" si="90"/>
        <v>kg</v>
      </c>
      <c r="Z49" s="356" t="b">
        <f t="shared" si="23"/>
        <v>1</v>
      </c>
      <c r="AA49" s="356" t="b">
        <f t="shared" si="24"/>
        <v>1</v>
      </c>
      <c r="AB49" s="356" t="b">
        <f t="shared" si="25"/>
        <v>1</v>
      </c>
      <c r="AC49" s="356" t="b">
        <f t="shared" si="26"/>
        <v>1</v>
      </c>
      <c r="AD49" s="356" t="b">
        <f t="shared" si="27"/>
        <v>1</v>
      </c>
      <c r="AE49" s="356" t="b">
        <f t="shared" si="28"/>
        <v>1</v>
      </c>
      <c r="AF49" s="356" t="b">
        <f t="shared" si="29"/>
        <v>1</v>
      </c>
      <c r="AG49" s="356" t="b">
        <f t="shared" si="30"/>
        <v>1</v>
      </c>
      <c r="AH49" s="356" t="b">
        <f t="shared" si="31"/>
        <v>1</v>
      </c>
      <c r="AI49" s="356" t="b">
        <f t="shared" si="32"/>
        <v>1</v>
      </c>
      <c r="AJ49" s="356" t="b">
        <f t="shared" si="33"/>
        <v>1</v>
      </c>
      <c r="AK49" s="356" t="b">
        <f t="shared" si="34"/>
        <v>1</v>
      </c>
      <c r="AL49" s="895" t="str">
        <f t="shared" si="35"/>
        <v/>
      </c>
      <c r="AM49" s="896" t="str">
        <f t="shared" si="36"/>
        <v/>
      </c>
      <c r="AN49" s="896" t="str">
        <f t="shared" si="37"/>
        <v/>
      </c>
      <c r="AO49" s="896" t="str">
        <f t="shared" si="38"/>
        <v/>
      </c>
      <c r="AP49" s="896" t="str">
        <f t="shared" si="39"/>
        <v/>
      </c>
      <c r="AQ49" s="896" t="str">
        <f t="shared" si="40"/>
        <v/>
      </c>
      <c r="AR49" s="896" t="str">
        <f t="shared" si="41"/>
        <v/>
      </c>
      <c r="AS49" s="896" t="str">
        <f t="shared" si="42"/>
        <v/>
      </c>
      <c r="AT49" s="896" t="str">
        <f t="shared" si="43"/>
        <v/>
      </c>
      <c r="AU49" s="896" t="str">
        <f t="shared" si="44"/>
        <v/>
      </c>
      <c r="AV49" s="896" t="str">
        <f t="shared" si="45"/>
        <v/>
      </c>
      <c r="AW49" s="900" t="str">
        <f t="shared" si="45"/>
        <v/>
      </c>
    </row>
    <row r="50" spans="1:49">
      <c r="A50" s="880" t="str">
        <f t="shared" si="46"/>
        <v>2023/03/21</v>
      </c>
      <c r="B50" s="355" t="s">
        <v>468</v>
      </c>
      <c r="C50" s="355" t="str">
        <f t="shared" si="69"/>
        <v>Muối axit Phosphoric (Fe phân ly) 
磷酸鹽</v>
      </c>
      <c r="D50" s="355" t="str">
        <f t="shared" si="70"/>
        <v>CR-000E</v>
      </c>
      <c r="E50" s="355" t="str">
        <f t="shared" si="71"/>
        <v>Point</v>
      </c>
      <c r="F50" s="355" t="str">
        <f t="shared" si="72"/>
        <v xml:space="preserve">Fe phân ly &lt;0.4
 鐵離子&lt;0.4
</v>
      </c>
      <c r="G50" s="868">
        <f t="shared" si="73"/>
        <v>0</v>
      </c>
      <c r="H50" s="868">
        <f>IFERROR(VLOOKUP($B50,RLMLXD,11,0),"")</f>
        <v>0</v>
      </c>
      <c r="I50" s="873">
        <f t="shared" si="75"/>
        <v>0</v>
      </c>
      <c r="J50" s="868">
        <f t="shared" si="76"/>
        <v>0</v>
      </c>
      <c r="K50" s="868">
        <f t="shared" si="77"/>
        <v>0</v>
      </c>
      <c r="L50" s="873">
        <f t="shared" si="78"/>
        <v>0</v>
      </c>
      <c r="M50" s="868">
        <f t="shared" si="79"/>
        <v>0</v>
      </c>
      <c r="N50" s="868">
        <f t="shared" si="80"/>
        <v>0</v>
      </c>
      <c r="O50" s="873">
        <f t="shared" si="81"/>
        <v>0</v>
      </c>
      <c r="P50" s="868">
        <f t="shared" si="82"/>
        <v>0</v>
      </c>
      <c r="Q50" s="868">
        <f t="shared" si="83"/>
        <v>0</v>
      </c>
      <c r="R50" s="873">
        <f t="shared" si="84"/>
        <v>0</v>
      </c>
      <c r="S50" s="868">
        <f t="shared" si="85"/>
        <v>0</v>
      </c>
      <c r="T50" s="861">
        <f t="shared" si="86"/>
        <v>0</v>
      </c>
      <c r="U50" s="862">
        <f t="shared" si="87"/>
        <v>0</v>
      </c>
      <c r="V50" s="868">
        <f t="shared" si="88"/>
        <v>0</v>
      </c>
      <c r="W50" s="861">
        <f t="shared" si="89"/>
        <v>0</v>
      </c>
      <c r="X50" s="862">
        <f t="shared" si="90"/>
        <v>0</v>
      </c>
      <c r="Z50" s="356" t="b">
        <f t="shared" si="23"/>
        <v>1</v>
      </c>
      <c r="AA50" s="356" t="b">
        <f t="shared" si="24"/>
        <v>1</v>
      </c>
      <c r="AB50" s="356" t="b">
        <f t="shared" si="25"/>
        <v>1</v>
      </c>
      <c r="AC50" s="356" t="b">
        <f t="shared" si="26"/>
        <v>1</v>
      </c>
      <c r="AD50" s="356" t="b">
        <f t="shared" si="27"/>
        <v>1</v>
      </c>
      <c r="AE50" s="356" t="b">
        <f t="shared" si="28"/>
        <v>1</v>
      </c>
      <c r="AF50" s="356" t="b">
        <f t="shared" si="29"/>
        <v>1</v>
      </c>
      <c r="AG50" s="356" t="b">
        <f t="shared" si="30"/>
        <v>1</v>
      </c>
      <c r="AH50" s="356" t="b">
        <f t="shared" si="31"/>
        <v>1</v>
      </c>
      <c r="AI50" s="356" t="b">
        <f t="shared" si="32"/>
        <v>1</v>
      </c>
      <c r="AJ50" s="356" t="b">
        <f t="shared" si="33"/>
        <v>1</v>
      </c>
      <c r="AK50" s="356" t="b">
        <f t="shared" si="34"/>
        <v>1</v>
      </c>
      <c r="AL50" s="895" t="str">
        <f t="shared" si="35"/>
        <v/>
      </c>
      <c r="AM50" s="896" t="str">
        <f t="shared" si="36"/>
        <v/>
      </c>
      <c r="AN50" s="896" t="str">
        <f t="shared" si="37"/>
        <v/>
      </c>
      <c r="AO50" s="896" t="str">
        <f t="shared" si="38"/>
        <v/>
      </c>
      <c r="AP50" s="896" t="str">
        <f t="shared" si="39"/>
        <v/>
      </c>
      <c r="AQ50" s="896" t="str">
        <f t="shared" si="40"/>
        <v/>
      </c>
      <c r="AR50" s="896" t="str">
        <f t="shared" si="41"/>
        <v/>
      </c>
      <c r="AS50" s="896" t="str">
        <f t="shared" si="42"/>
        <v/>
      </c>
      <c r="AT50" s="896" t="str">
        <f t="shared" si="43"/>
        <v/>
      </c>
      <c r="AU50" s="896" t="str">
        <f t="shared" si="44"/>
        <v/>
      </c>
      <c r="AV50" s="896" t="str">
        <f t="shared" si="45"/>
        <v/>
      </c>
      <c r="AW50" s="900" t="str">
        <f t="shared" si="45"/>
        <v/>
      </c>
    </row>
    <row r="51" spans="1:49">
      <c r="A51" s="880" t="str">
        <f t="shared" si="46"/>
        <v>2023/03/21</v>
      </c>
      <c r="B51" s="355" t="s">
        <v>470</v>
      </c>
      <c r="C51" s="355" t="str">
        <f t="shared" si="69"/>
        <v>Muối axit Phosphoric  (TA)
磷酸鹽</v>
      </c>
      <c r="D51" s="355" t="str">
        <f t="shared" si="70"/>
        <v>CR-000E</v>
      </c>
      <c r="E51" s="355" t="str">
        <f t="shared" si="71"/>
        <v>Point</v>
      </c>
      <c r="F51" s="355" t="str">
        <f t="shared" si="72"/>
        <v>Tổng chua TA  全酸
40~60 (50)</v>
      </c>
      <c r="G51" s="868">
        <f t="shared" si="73"/>
        <v>0</v>
      </c>
      <c r="H51" s="868">
        <f t="shared" si="74"/>
        <v>0</v>
      </c>
      <c r="I51" s="873" t="str">
        <f t="shared" si="75"/>
        <v>kg</v>
      </c>
      <c r="J51" s="868">
        <f t="shared" si="76"/>
        <v>0</v>
      </c>
      <c r="K51" s="868">
        <f t="shared" si="77"/>
        <v>0</v>
      </c>
      <c r="L51" s="873" t="str">
        <f t="shared" si="78"/>
        <v>kg</v>
      </c>
      <c r="M51" s="868">
        <f t="shared" si="79"/>
        <v>0</v>
      </c>
      <c r="N51" s="868">
        <f t="shared" si="80"/>
        <v>0</v>
      </c>
      <c r="O51" s="873" t="str">
        <f t="shared" si="81"/>
        <v>kg</v>
      </c>
      <c r="P51" s="868">
        <f t="shared" si="82"/>
        <v>0</v>
      </c>
      <c r="Q51" s="868">
        <f t="shared" si="83"/>
        <v>0</v>
      </c>
      <c r="R51" s="873" t="str">
        <f t="shared" si="84"/>
        <v>kg</v>
      </c>
      <c r="S51" s="868">
        <f t="shared" si="85"/>
        <v>0</v>
      </c>
      <c r="T51" s="861">
        <f t="shared" si="86"/>
        <v>0</v>
      </c>
      <c r="U51" s="862" t="str">
        <f t="shared" si="87"/>
        <v>kg</v>
      </c>
      <c r="V51" s="868">
        <f t="shared" si="88"/>
        <v>0</v>
      </c>
      <c r="W51" s="861">
        <f t="shared" si="89"/>
        <v>0</v>
      </c>
      <c r="X51" s="862" t="str">
        <f t="shared" si="90"/>
        <v>kg</v>
      </c>
      <c r="Z51" s="356" t="b">
        <f t="shared" si="23"/>
        <v>1</v>
      </c>
      <c r="AA51" s="356" t="b">
        <f t="shared" si="24"/>
        <v>1</v>
      </c>
      <c r="AB51" s="356" t="b">
        <f t="shared" si="25"/>
        <v>1</v>
      </c>
      <c r="AC51" s="356" t="b">
        <f t="shared" si="26"/>
        <v>1</v>
      </c>
      <c r="AD51" s="356" t="b">
        <f t="shared" si="27"/>
        <v>1</v>
      </c>
      <c r="AE51" s="356" t="b">
        <f t="shared" si="28"/>
        <v>1</v>
      </c>
      <c r="AF51" s="356" t="b">
        <f t="shared" si="29"/>
        <v>1</v>
      </c>
      <c r="AG51" s="356" t="b">
        <f t="shared" si="30"/>
        <v>1</v>
      </c>
      <c r="AH51" s="356" t="b">
        <f t="shared" si="31"/>
        <v>1</v>
      </c>
      <c r="AI51" s="356" t="b">
        <f t="shared" si="32"/>
        <v>1</v>
      </c>
      <c r="AJ51" s="356" t="b">
        <f t="shared" si="33"/>
        <v>1</v>
      </c>
      <c r="AK51" s="356" t="b">
        <f t="shared" si="34"/>
        <v>1</v>
      </c>
      <c r="AL51" s="895" t="str">
        <f t="shared" si="35"/>
        <v/>
      </c>
      <c r="AM51" s="896" t="str">
        <f t="shared" si="36"/>
        <v/>
      </c>
      <c r="AN51" s="896" t="str">
        <f t="shared" si="37"/>
        <v/>
      </c>
      <c r="AO51" s="896" t="str">
        <f t="shared" si="38"/>
        <v/>
      </c>
      <c r="AP51" s="896" t="str">
        <f t="shared" si="39"/>
        <v/>
      </c>
      <c r="AQ51" s="896" t="str">
        <f t="shared" si="40"/>
        <v/>
      </c>
      <c r="AR51" s="896" t="str">
        <f t="shared" si="41"/>
        <v/>
      </c>
      <c r="AS51" s="896" t="str">
        <f t="shared" si="42"/>
        <v/>
      </c>
      <c r="AT51" s="896" t="str">
        <f t="shared" si="43"/>
        <v/>
      </c>
      <c r="AU51" s="896" t="str">
        <f t="shared" si="44"/>
        <v/>
      </c>
      <c r="AV51" s="896" t="str">
        <f t="shared" si="45"/>
        <v/>
      </c>
      <c r="AW51" s="900" t="str">
        <f t="shared" si="45"/>
        <v/>
      </c>
    </row>
    <row r="52" spans="1:49">
      <c r="A52" s="880" t="str">
        <f t="shared" si="46"/>
        <v>2023/03/21</v>
      </c>
      <c r="B52" s="355" t="s">
        <v>472</v>
      </c>
      <c r="C52" s="355" t="str">
        <f t="shared" si="69"/>
        <v>Muối axit Phosphoric  (tỷ lệ axit)
磷酸鹽</v>
      </c>
      <c r="D52" s="355" t="str">
        <f t="shared" si="70"/>
        <v>CR-000E</v>
      </c>
      <c r="E52" s="355" t="str">
        <f t="shared" si="71"/>
        <v>Point</v>
      </c>
      <c r="F52" s="355" t="str">
        <f t="shared" si="72"/>
        <v>tỷ lệ axit  酸比 
5.2~7.8 (6.5)</v>
      </c>
      <c r="G52" s="868">
        <f t="shared" si="73"/>
        <v>0</v>
      </c>
      <c r="H52" s="868">
        <f t="shared" si="74"/>
        <v>0</v>
      </c>
      <c r="I52" s="873" t="str">
        <f t="shared" si="75"/>
        <v>kg</v>
      </c>
      <c r="J52" s="868">
        <f t="shared" si="76"/>
        <v>0</v>
      </c>
      <c r="K52" s="868">
        <f t="shared" si="77"/>
        <v>0</v>
      </c>
      <c r="L52" s="873" t="str">
        <f t="shared" si="78"/>
        <v>kg</v>
      </c>
      <c r="M52" s="868">
        <f t="shared" si="79"/>
        <v>0</v>
      </c>
      <c r="N52" s="868">
        <f t="shared" si="80"/>
        <v>0</v>
      </c>
      <c r="O52" s="873" t="str">
        <f t="shared" si="81"/>
        <v>kg</v>
      </c>
      <c r="P52" s="868">
        <f t="shared" si="82"/>
        <v>0</v>
      </c>
      <c r="Q52" s="868">
        <f t="shared" si="83"/>
        <v>0</v>
      </c>
      <c r="R52" s="873" t="str">
        <f t="shared" si="84"/>
        <v>kg</v>
      </c>
      <c r="S52" s="868">
        <f t="shared" si="85"/>
        <v>0</v>
      </c>
      <c r="T52" s="861">
        <f t="shared" si="86"/>
        <v>0</v>
      </c>
      <c r="U52" s="862" t="str">
        <f t="shared" si="87"/>
        <v>kg</v>
      </c>
      <c r="V52" s="868">
        <f t="shared" si="88"/>
        <v>0</v>
      </c>
      <c r="W52" s="861">
        <f t="shared" si="89"/>
        <v>0</v>
      </c>
      <c r="X52" s="862" t="str">
        <f t="shared" si="90"/>
        <v>kg</v>
      </c>
      <c r="Z52" s="356" t="b">
        <f t="shared" si="23"/>
        <v>1</v>
      </c>
      <c r="AA52" s="356" t="b">
        <f t="shared" si="24"/>
        <v>1</v>
      </c>
      <c r="AB52" s="356" t="b">
        <f t="shared" si="25"/>
        <v>1</v>
      </c>
      <c r="AC52" s="356" t="b">
        <f t="shared" si="26"/>
        <v>1</v>
      </c>
      <c r="AD52" s="356" t="b">
        <f t="shared" si="27"/>
        <v>1</v>
      </c>
      <c r="AE52" s="356" t="b">
        <f t="shared" si="28"/>
        <v>1</v>
      </c>
      <c r="AF52" s="356" t="b">
        <f t="shared" si="29"/>
        <v>1</v>
      </c>
      <c r="AG52" s="356" t="b">
        <f t="shared" si="30"/>
        <v>1</v>
      </c>
      <c r="AH52" s="356" t="b">
        <f t="shared" si="31"/>
        <v>1</v>
      </c>
      <c r="AI52" s="356" t="b">
        <f t="shared" si="32"/>
        <v>1</v>
      </c>
      <c r="AJ52" s="356" t="b">
        <f t="shared" si="33"/>
        <v>1</v>
      </c>
      <c r="AK52" s="356" t="b">
        <f t="shared" si="34"/>
        <v>1</v>
      </c>
      <c r="AL52" s="895" t="str">
        <f t="shared" si="35"/>
        <v/>
      </c>
      <c r="AM52" s="896" t="str">
        <f t="shared" si="36"/>
        <v/>
      </c>
      <c r="AN52" s="896" t="str">
        <f t="shared" si="37"/>
        <v/>
      </c>
      <c r="AO52" s="896" t="str">
        <f t="shared" si="38"/>
        <v/>
      </c>
      <c r="AP52" s="896" t="str">
        <f t="shared" si="39"/>
        <v/>
      </c>
      <c r="AQ52" s="896" t="str">
        <f t="shared" si="40"/>
        <v/>
      </c>
      <c r="AR52" s="896" t="str">
        <f t="shared" si="41"/>
        <v/>
      </c>
      <c r="AS52" s="896" t="str">
        <f t="shared" si="42"/>
        <v/>
      </c>
      <c r="AT52" s="896" t="str">
        <f t="shared" si="43"/>
        <v/>
      </c>
      <c r="AU52" s="896" t="str">
        <f t="shared" si="44"/>
        <v/>
      </c>
      <c r="AV52" s="896" t="str">
        <f t="shared" si="45"/>
        <v/>
      </c>
      <c r="AW52" s="900" t="str">
        <f t="shared" si="45"/>
        <v/>
      </c>
    </row>
    <row r="53" spans="1:49">
      <c r="A53" s="880" t="str">
        <f t="shared" si="46"/>
        <v>2023/03/21</v>
      </c>
      <c r="B53" s="355" t="s">
        <v>473</v>
      </c>
      <c r="C53" s="355" t="str">
        <f t="shared" si="69"/>
        <v>Muối axit Phosphoric (Fe phân ly) 
磷酸鹽</v>
      </c>
      <c r="D53" s="355" t="str">
        <f t="shared" si="70"/>
        <v>CR-000E</v>
      </c>
      <c r="E53" s="355" t="str">
        <f t="shared" si="71"/>
        <v>Point</v>
      </c>
      <c r="F53" s="355" t="str">
        <f t="shared" si="72"/>
        <v xml:space="preserve">Fe phân ly &lt;0.4
 鐵離子&lt;0.4
</v>
      </c>
      <c r="G53" s="868">
        <f t="shared" si="73"/>
        <v>0</v>
      </c>
      <c r="H53" s="868">
        <f t="shared" si="74"/>
        <v>0</v>
      </c>
      <c r="I53" s="873">
        <f t="shared" si="75"/>
        <v>0</v>
      </c>
      <c r="J53" s="868">
        <f t="shared" si="76"/>
        <v>0</v>
      </c>
      <c r="K53" s="868">
        <f t="shared" si="77"/>
        <v>0</v>
      </c>
      <c r="L53" s="873">
        <f t="shared" si="78"/>
        <v>0</v>
      </c>
      <c r="M53" s="868">
        <f t="shared" si="79"/>
        <v>0</v>
      </c>
      <c r="N53" s="868">
        <f t="shared" si="80"/>
        <v>0</v>
      </c>
      <c r="O53" s="873">
        <f t="shared" si="81"/>
        <v>0</v>
      </c>
      <c r="P53" s="868">
        <f t="shared" si="82"/>
        <v>0</v>
      </c>
      <c r="Q53" s="868">
        <f t="shared" si="83"/>
        <v>0</v>
      </c>
      <c r="R53" s="873">
        <f t="shared" si="84"/>
        <v>0</v>
      </c>
      <c r="S53" s="868">
        <f t="shared" si="85"/>
        <v>0</v>
      </c>
      <c r="T53" s="861">
        <f t="shared" si="86"/>
        <v>0</v>
      </c>
      <c r="U53" s="862">
        <f t="shared" si="87"/>
        <v>0</v>
      </c>
      <c r="V53" s="868">
        <f t="shared" si="88"/>
        <v>0</v>
      </c>
      <c r="W53" s="861">
        <f t="shared" si="89"/>
        <v>0</v>
      </c>
      <c r="X53" s="862">
        <f t="shared" si="90"/>
        <v>0</v>
      </c>
      <c r="Z53" s="356" t="b">
        <f t="shared" si="23"/>
        <v>1</v>
      </c>
      <c r="AA53" s="356" t="b">
        <f t="shared" si="24"/>
        <v>1</v>
      </c>
      <c r="AB53" s="356" t="b">
        <f t="shared" si="25"/>
        <v>1</v>
      </c>
      <c r="AC53" s="356" t="b">
        <f t="shared" si="26"/>
        <v>1</v>
      </c>
      <c r="AD53" s="356" t="b">
        <f t="shared" si="27"/>
        <v>1</v>
      </c>
      <c r="AE53" s="356" t="b">
        <f t="shared" si="28"/>
        <v>1</v>
      </c>
      <c r="AF53" s="356" t="b">
        <f t="shared" si="29"/>
        <v>1</v>
      </c>
      <c r="AG53" s="356" t="b">
        <f t="shared" si="30"/>
        <v>1</v>
      </c>
      <c r="AH53" s="356" t="b">
        <f t="shared" si="31"/>
        <v>1</v>
      </c>
      <c r="AI53" s="356" t="b">
        <f t="shared" si="32"/>
        <v>1</v>
      </c>
      <c r="AJ53" s="356" t="b">
        <f t="shared" si="33"/>
        <v>1</v>
      </c>
      <c r="AK53" s="356" t="b">
        <f t="shared" si="34"/>
        <v>1</v>
      </c>
      <c r="AL53" s="895" t="str">
        <f t="shared" si="35"/>
        <v/>
      </c>
      <c r="AM53" s="896" t="str">
        <f t="shared" si="36"/>
        <v/>
      </c>
      <c r="AN53" s="896" t="str">
        <f t="shared" si="37"/>
        <v/>
      </c>
      <c r="AO53" s="896" t="str">
        <f t="shared" si="38"/>
        <v/>
      </c>
      <c r="AP53" s="896" t="str">
        <f t="shared" si="39"/>
        <v/>
      </c>
      <c r="AQ53" s="896" t="str">
        <f t="shared" si="40"/>
        <v/>
      </c>
      <c r="AR53" s="896" t="str">
        <f t="shared" si="41"/>
        <v/>
      </c>
      <c r="AS53" s="896" t="str">
        <f t="shared" si="42"/>
        <v/>
      </c>
      <c r="AT53" s="896" t="str">
        <f t="shared" si="43"/>
        <v/>
      </c>
      <c r="AU53" s="896" t="str">
        <f t="shared" si="44"/>
        <v/>
      </c>
      <c r="AV53" s="896" t="str">
        <f t="shared" si="45"/>
        <v/>
      </c>
      <c r="AW53" s="900" t="str">
        <f t="shared" si="45"/>
        <v/>
      </c>
    </row>
    <row r="54" spans="1:49">
      <c r="A54" s="880" t="str">
        <f t="shared" si="46"/>
        <v>2023/03/21</v>
      </c>
      <c r="B54" s="355" t="s">
        <v>474</v>
      </c>
      <c r="C54" s="355" t="str">
        <f t="shared" si="69"/>
        <v>Xà bông bôi trơn
潤滑皂</v>
      </c>
      <c r="D54" s="355" t="str">
        <f t="shared" si="70"/>
        <v>CR-000E</v>
      </c>
      <c r="E54" s="355" t="str">
        <f t="shared" si="71"/>
        <v>Point</v>
      </c>
      <c r="F54" s="355" t="str">
        <f t="shared" si="72"/>
        <v>0.8~1.2</v>
      </c>
      <c r="G54" s="868">
        <f t="shared" si="73"/>
        <v>0</v>
      </c>
      <c r="H54" s="868">
        <f t="shared" si="74"/>
        <v>0</v>
      </c>
      <c r="I54" s="873" t="str">
        <f t="shared" si="75"/>
        <v>kg</v>
      </c>
      <c r="J54" s="868">
        <f t="shared" si="76"/>
        <v>0</v>
      </c>
      <c r="K54" s="868">
        <f t="shared" si="77"/>
        <v>0</v>
      </c>
      <c r="L54" s="873" t="str">
        <f t="shared" si="78"/>
        <v>kg</v>
      </c>
      <c r="M54" s="868">
        <f t="shared" si="79"/>
        <v>0</v>
      </c>
      <c r="N54" s="868">
        <f t="shared" si="80"/>
        <v>0</v>
      </c>
      <c r="O54" s="873" t="str">
        <f t="shared" si="81"/>
        <v>kg</v>
      </c>
      <c r="P54" s="868">
        <f t="shared" si="82"/>
        <v>0</v>
      </c>
      <c r="Q54" s="868">
        <f t="shared" si="83"/>
        <v>0</v>
      </c>
      <c r="R54" s="873" t="str">
        <f t="shared" si="84"/>
        <v>kg</v>
      </c>
      <c r="S54" s="868">
        <f t="shared" si="85"/>
        <v>0</v>
      </c>
      <c r="T54" s="861">
        <f t="shared" si="86"/>
        <v>0</v>
      </c>
      <c r="U54" s="862" t="str">
        <f t="shared" si="87"/>
        <v>kg</v>
      </c>
      <c r="V54" s="868">
        <f t="shared" si="88"/>
        <v>0</v>
      </c>
      <c r="W54" s="861">
        <f t="shared" si="89"/>
        <v>0</v>
      </c>
      <c r="X54" s="862" t="str">
        <f t="shared" si="90"/>
        <v>kg</v>
      </c>
      <c r="Z54" s="356" t="b">
        <f t="shared" si="23"/>
        <v>1</v>
      </c>
      <c r="AA54" s="356" t="b">
        <f t="shared" si="24"/>
        <v>1</v>
      </c>
      <c r="AB54" s="356" t="b">
        <f t="shared" si="25"/>
        <v>1</v>
      </c>
      <c r="AC54" s="356" t="b">
        <f t="shared" si="26"/>
        <v>1</v>
      </c>
      <c r="AD54" s="356" t="b">
        <f t="shared" si="27"/>
        <v>1</v>
      </c>
      <c r="AE54" s="356" t="b">
        <f t="shared" si="28"/>
        <v>1</v>
      </c>
      <c r="AF54" s="356" t="b">
        <f t="shared" si="29"/>
        <v>1</v>
      </c>
      <c r="AG54" s="356" t="b">
        <f t="shared" si="30"/>
        <v>1</v>
      </c>
      <c r="AH54" s="356" t="b">
        <f t="shared" si="31"/>
        <v>1</v>
      </c>
      <c r="AI54" s="356" t="b">
        <f t="shared" si="32"/>
        <v>1</v>
      </c>
      <c r="AJ54" s="356" t="b">
        <f t="shared" si="33"/>
        <v>1</v>
      </c>
      <c r="AK54" s="356" t="b">
        <f t="shared" si="34"/>
        <v>1</v>
      </c>
      <c r="AL54" s="895" t="str">
        <f t="shared" si="35"/>
        <v/>
      </c>
      <c r="AM54" s="896" t="str">
        <f t="shared" si="36"/>
        <v/>
      </c>
      <c r="AN54" s="896" t="str">
        <f t="shared" si="37"/>
        <v/>
      </c>
      <c r="AO54" s="896" t="str">
        <f t="shared" si="38"/>
        <v/>
      </c>
      <c r="AP54" s="896" t="str">
        <f t="shared" si="39"/>
        <v/>
      </c>
      <c r="AQ54" s="896" t="str">
        <f t="shared" si="40"/>
        <v/>
      </c>
      <c r="AR54" s="896" t="str">
        <f t="shared" si="41"/>
        <v/>
      </c>
      <c r="AS54" s="896" t="str">
        <f t="shared" si="42"/>
        <v/>
      </c>
      <c r="AT54" s="896" t="str">
        <f t="shared" si="43"/>
        <v/>
      </c>
      <c r="AU54" s="896" t="str">
        <f t="shared" si="44"/>
        <v/>
      </c>
      <c r="AV54" s="896" t="str">
        <f t="shared" si="45"/>
        <v/>
      </c>
      <c r="AW54" s="900" t="str">
        <f t="shared" si="45"/>
        <v/>
      </c>
    </row>
    <row r="55" spans="1:49">
      <c r="A55" s="880" t="str">
        <f t="shared" si="46"/>
        <v>2023/03/21</v>
      </c>
      <c r="B55" s="355" t="s">
        <v>477</v>
      </c>
      <c r="C55" s="355" t="str">
        <f t="shared" si="69"/>
        <v>pH</v>
      </c>
      <c r="D55" s="355" t="str">
        <f t="shared" si="70"/>
        <v>CR-000E</v>
      </c>
      <c r="E55" s="355" t="str">
        <f t="shared" si="71"/>
        <v>pH</v>
      </c>
      <c r="F55" s="355" t="str">
        <f t="shared" si="72"/>
        <v>8~10</v>
      </c>
      <c r="G55" s="868">
        <f t="shared" si="73"/>
        <v>0</v>
      </c>
      <c r="H55" s="868">
        <f t="shared" si="74"/>
        <v>0</v>
      </c>
      <c r="I55" s="873">
        <f t="shared" si="75"/>
        <v>0</v>
      </c>
      <c r="J55" s="868">
        <f t="shared" si="76"/>
        <v>0</v>
      </c>
      <c r="K55" s="868">
        <f t="shared" si="77"/>
        <v>0</v>
      </c>
      <c r="L55" s="873">
        <f t="shared" si="78"/>
        <v>0</v>
      </c>
      <c r="M55" s="868">
        <f t="shared" si="79"/>
        <v>0</v>
      </c>
      <c r="N55" s="868">
        <f t="shared" si="80"/>
        <v>0</v>
      </c>
      <c r="O55" s="873">
        <f t="shared" si="81"/>
        <v>0</v>
      </c>
      <c r="P55" s="868">
        <f t="shared" si="82"/>
        <v>0</v>
      </c>
      <c r="Q55" s="868">
        <f t="shared" si="83"/>
        <v>0</v>
      </c>
      <c r="R55" s="873">
        <f t="shared" si="84"/>
        <v>0</v>
      </c>
      <c r="S55" s="868">
        <f t="shared" si="85"/>
        <v>0</v>
      </c>
      <c r="T55" s="861">
        <f t="shared" si="86"/>
        <v>0</v>
      </c>
      <c r="U55" s="862">
        <f t="shared" si="87"/>
        <v>0</v>
      </c>
      <c r="V55" s="868">
        <f t="shared" si="88"/>
        <v>0</v>
      </c>
      <c r="W55" s="861">
        <f t="shared" si="89"/>
        <v>0</v>
      </c>
      <c r="X55" s="862">
        <f t="shared" si="90"/>
        <v>0</v>
      </c>
      <c r="Z55" s="356" t="b">
        <f t="shared" si="23"/>
        <v>1</v>
      </c>
      <c r="AA55" s="356" t="b">
        <f t="shared" si="24"/>
        <v>1</v>
      </c>
      <c r="AB55" s="356" t="b">
        <f t="shared" si="25"/>
        <v>1</v>
      </c>
      <c r="AC55" s="356" t="b">
        <f t="shared" si="26"/>
        <v>1</v>
      </c>
      <c r="AD55" s="356" t="b">
        <f t="shared" si="27"/>
        <v>1</v>
      </c>
      <c r="AE55" s="356" t="b">
        <f t="shared" si="28"/>
        <v>1</v>
      </c>
      <c r="AF55" s="356" t="b">
        <f t="shared" si="29"/>
        <v>1</v>
      </c>
      <c r="AG55" s="356" t="b">
        <f t="shared" si="30"/>
        <v>1</v>
      </c>
      <c r="AH55" s="356" t="b">
        <f t="shared" si="31"/>
        <v>1</v>
      </c>
      <c r="AI55" s="356" t="b">
        <f t="shared" si="32"/>
        <v>1</v>
      </c>
      <c r="AJ55" s="356" t="b">
        <f t="shared" si="33"/>
        <v>1</v>
      </c>
      <c r="AK55" s="356" t="b">
        <f t="shared" si="34"/>
        <v>1</v>
      </c>
      <c r="AL55" s="895" t="str">
        <f t="shared" si="35"/>
        <v/>
      </c>
      <c r="AM55" s="896" t="str">
        <f t="shared" si="36"/>
        <v/>
      </c>
      <c r="AN55" s="896" t="str">
        <f t="shared" si="37"/>
        <v/>
      </c>
      <c r="AO55" s="896" t="str">
        <f t="shared" si="38"/>
        <v/>
      </c>
      <c r="AP55" s="896" t="str">
        <f t="shared" si="39"/>
        <v/>
      </c>
      <c r="AQ55" s="896" t="str">
        <f t="shared" si="40"/>
        <v/>
      </c>
      <c r="AR55" s="896" t="str">
        <f t="shared" si="41"/>
        <v/>
      </c>
      <c r="AS55" s="896" t="str">
        <f t="shared" si="42"/>
        <v/>
      </c>
      <c r="AT55" s="896" t="str">
        <f t="shared" si="43"/>
        <v/>
      </c>
      <c r="AU55" s="896" t="str">
        <f t="shared" si="44"/>
        <v/>
      </c>
      <c r="AV55" s="896" t="str">
        <f t="shared" si="45"/>
        <v/>
      </c>
      <c r="AW55" s="900" t="str">
        <f t="shared" si="45"/>
        <v/>
      </c>
    </row>
    <row r="56" spans="1:49">
      <c r="A56" s="880" t="str">
        <f t="shared" si="46"/>
        <v>2023/03/21</v>
      </c>
      <c r="B56" s="355" t="s">
        <v>982</v>
      </c>
      <c r="C56" s="355" t="str">
        <f t="shared" si="69"/>
        <v>Khử dầu
脫脂</v>
      </c>
      <c r="D56" s="355" t="str">
        <f t="shared" si="70"/>
        <v>CR-000C</v>
      </c>
      <c r="E56" s="355" t="str">
        <f t="shared" si="71"/>
        <v>Point</v>
      </c>
      <c r="F56" s="355" t="str">
        <f t="shared" si="72"/>
        <v>30 – 50 (40)</v>
      </c>
      <c r="G56" s="868">
        <f t="shared" si="73"/>
        <v>0</v>
      </c>
      <c r="H56" s="868">
        <f t="shared" si="74"/>
        <v>0</v>
      </c>
      <c r="I56" s="873" t="str">
        <f t="shared" si="75"/>
        <v>kg</v>
      </c>
      <c r="J56" s="868">
        <f t="shared" si="76"/>
        <v>0</v>
      </c>
      <c r="K56" s="868">
        <f t="shared" si="77"/>
        <v>0</v>
      </c>
      <c r="L56" s="873" t="str">
        <f t="shared" si="78"/>
        <v>kg</v>
      </c>
      <c r="M56" s="868">
        <f t="shared" si="79"/>
        <v>0</v>
      </c>
      <c r="N56" s="868">
        <f t="shared" si="80"/>
        <v>0</v>
      </c>
      <c r="O56" s="873" t="str">
        <f t="shared" si="81"/>
        <v>kg</v>
      </c>
      <c r="P56" s="868">
        <f t="shared" si="82"/>
        <v>0</v>
      </c>
      <c r="Q56" s="868">
        <f t="shared" si="83"/>
        <v>0</v>
      </c>
      <c r="R56" s="873" t="str">
        <f t="shared" si="84"/>
        <v>kg</v>
      </c>
      <c r="S56" s="868">
        <f t="shared" si="85"/>
        <v>0</v>
      </c>
      <c r="T56" s="861">
        <f t="shared" si="86"/>
        <v>0</v>
      </c>
      <c r="U56" s="862" t="str">
        <f t="shared" si="87"/>
        <v>kg</v>
      </c>
      <c r="V56" s="868">
        <f t="shared" si="88"/>
        <v>0</v>
      </c>
      <c r="W56" s="861">
        <f t="shared" si="89"/>
        <v>0</v>
      </c>
      <c r="X56" s="862" t="str">
        <f t="shared" si="90"/>
        <v>kg</v>
      </c>
      <c r="Z56" s="356" t="b">
        <f t="shared" si="23"/>
        <v>1</v>
      </c>
      <c r="AA56" s="356" t="b">
        <f t="shared" si="24"/>
        <v>1</v>
      </c>
      <c r="AB56" s="356" t="b">
        <f t="shared" si="25"/>
        <v>1</v>
      </c>
      <c r="AC56" s="356" t="b">
        <f t="shared" si="26"/>
        <v>1</v>
      </c>
      <c r="AD56" s="356" t="b">
        <f t="shared" si="27"/>
        <v>1</v>
      </c>
      <c r="AE56" s="356" t="b">
        <f t="shared" si="28"/>
        <v>1</v>
      </c>
      <c r="AF56" s="356" t="b">
        <f t="shared" si="29"/>
        <v>1</v>
      </c>
      <c r="AG56" s="356" t="b">
        <f t="shared" si="30"/>
        <v>1</v>
      </c>
      <c r="AH56" s="356" t="b">
        <f t="shared" si="31"/>
        <v>1</v>
      </c>
      <c r="AI56" s="356" t="b">
        <f t="shared" si="32"/>
        <v>1</v>
      </c>
      <c r="AJ56" s="356" t="b">
        <f t="shared" si="33"/>
        <v>1</v>
      </c>
      <c r="AK56" s="356" t="b">
        <f t="shared" si="34"/>
        <v>1</v>
      </c>
      <c r="AL56" s="895" t="str">
        <f t="shared" si="35"/>
        <v/>
      </c>
      <c r="AM56" s="896" t="str">
        <f t="shared" si="36"/>
        <v/>
      </c>
      <c r="AN56" s="896" t="str">
        <f t="shared" si="37"/>
        <v/>
      </c>
      <c r="AO56" s="896" t="str">
        <f t="shared" si="38"/>
        <v/>
      </c>
      <c r="AP56" s="896" t="str">
        <f t="shared" si="39"/>
        <v/>
      </c>
      <c r="AQ56" s="896" t="str">
        <f t="shared" si="40"/>
        <v/>
      </c>
      <c r="AR56" s="896" t="str">
        <f t="shared" si="41"/>
        <v/>
      </c>
      <c r="AS56" s="896" t="str">
        <f t="shared" si="42"/>
        <v/>
      </c>
      <c r="AT56" s="896" t="str">
        <f t="shared" si="43"/>
        <v/>
      </c>
      <c r="AU56" s="896" t="str">
        <f t="shared" si="44"/>
        <v/>
      </c>
      <c r="AV56" s="896" t="str">
        <f t="shared" si="45"/>
        <v/>
      </c>
      <c r="AW56" s="900" t="str">
        <f t="shared" si="45"/>
        <v/>
      </c>
    </row>
    <row r="57" spans="1:49">
      <c r="A57" s="880" t="str">
        <f t="shared" si="46"/>
        <v>2023/03/21</v>
      </c>
      <c r="B57" s="355" t="s">
        <v>983</v>
      </c>
      <c r="C57" s="355" t="str">
        <f t="shared" si="69"/>
        <v>Rua acid  鹽酸洗槽</v>
      </c>
      <c r="D57" s="355" t="str">
        <f t="shared" si="70"/>
        <v>CR-000C</v>
      </c>
      <c r="E57" s="355" t="str">
        <f t="shared" si="71"/>
        <v>%</v>
      </c>
      <c r="F57" s="355" t="str">
        <f t="shared" si="72"/>
        <v>10~15%  (12.5%)</v>
      </c>
      <c r="G57" s="868">
        <f t="shared" si="73"/>
        <v>0</v>
      </c>
      <c r="H57" s="868">
        <f t="shared" si="74"/>
        <v>0</v>
      </c>
      <c r="I57" s="873" t="str">
        <f t="shared" si="75"/>
        <v>L</v>
      </c>
      <c r="J57" s="868">
        <f t="shared" si="76"/>
        <v>0</v>
      </c>
      <c r="K57" s="868">
        <f t="shared" si="77"/>
        <v>0</v>
      </c>
      <c r="L57" s="873" t="str">
        <f t="shared" si="78"/>
        <v>L</v>
      </c>
      <c r="M57" s="868">
        <f t="shared" si="79"/>
        <v>0</v>
      </c>
      <c r="N57" s="868">
        <f t="shared" si="80"/>
        <v>0</v>
      </c>
      <c r="O57" s="873" t="str">
        <f t="shared" si="81"/>
        <v>L</v>
      </c>
      <c r="P57" s="868">
        <f t="shared" si="82"/>
        <v>0</v>
      </c>
      <c r="Q57" s="868">
        <f t="shared" si="83"/>
        <v>0</v>
      </c>
      <c r="R57" s="873" t="str">
        <f t="shared" si="84"/>
        <v>L</v>
      </c>
      <c r="S57" s="868">
        <f t="shared" si="85"/>
        <v>0</v>
      </c>
      <c r="T57" s="861">
        <f t="shared" si="86"/>
        <v>0</v>
      </c>
      <c r="U57" s="862" t="str">
        <f t="shared" si="87"/>
        <v>L</v>
      </c>
      <c r="V57" s="868">
        <f t="shared" si="88"/>
        <v>0</v>
      </c>
      <c r="W57" s="861">
        <f t="shared" si="89"/>
        <v>0</v>
      </c>
      <c r="X57" s="862" t="str">
        <f t="shared" si="90"/>
        <v>L</v>
      </c>
      <c r="Z57" s="356" t="b">
        <f t="shared" si="23"/>
        <v>1</v>
      </c>
      <c r="AA57" s="356" t="b">
        <f t="shared" si="24"/>
        <v>1</v>
      </c>
      <c r="AB57" s="356" t="b">
        <f t="shared" si="25"/>
        <v>1</v>
      </c>
      <c r="AC57" s="356" t="b">
        <f t="shared" si="26"/>
        <v>1</v>
      </c>
      <c r="AD57" s="356" t="b">
        <f t="shared" si="27"/>
        <v>1</v>
      </c>
      <c r="AE57" s="356" t="b">
        <f t="shared" si="28"/>
        <v>1</v>
      </c>
      <c r="AF57" s="356" t="b">
        <f t="shared" si="29"/>
        <v>1</v>
      </c>
      <c r="AG57" s="356" t="b">
        <f t="shared" si="30"/>
        <v>1</v>
      </c>
      <c r="AH57" s="356" t="b">
        <f t="shared" si="31"/>
        <v>1</v>
      </c>
      <c r="AI57" s="356" t="b">
        <f t="shared" si="32"/>
        <v>1</v>
      </c>
      <c r="AJ57" s="356" t="b">
        <f t="shared" si="33"/>
        <v>1</v>
      </c>
      <c r="AK57" s="356" t="b">
        <f t="shared" si="34"/>
        <v>1</v>
      </c>
      <c r="AL57" s="895" t="str">
        <f t="shared" si="35"/>
        <v/>
      </c>
      <c r="AM57" s="896" t="str">
        <f t="shared" si="36"/>
        <v/>
      </c>
      <c r="AN57" s="896" t="str">
        <f t="shared" si="37"/>
        <v/>
      </c>
      <c r="AO57" s="896" t="str">
        <f t="shared" si="38"/>
        <v/>
      </c>
      <c r="AP57" s="896" t="str">
        <f t="shared" si="39"/>
        <v/>
      </c>
      <c r="AQ57" s="896" t="str">
        <f t="shared" si="40"/>
        <v/>
      </c>
      <c r="AR57" s="896" t="str">
        <f t="shared" si="41"/>
        <v/>
      </c>
      <c r="AS57" s="896" t="str">
        <f t="shared" si="42"/>
        <v/>
      </c>
      <c r="AT57" s="896" t="str">
        <f t="shared" si="43"/>
        <v/>
      </c>
      <c r="AU57" s="896" t="str">
        <f t="shared" si="44"/>
        <v/>
      </c>
      <c r="AV57" s="896" t="str">
        <f t="shared" si="45"/>
        <v/>
      </c>
      <c r="AW57" s="900" t="str">
        <f t="shared" si="45"/>
        <v/>
      </c>
    </row>
    <row r="58" spans="1:49">
      <c r="A58" s="880" t="str">
        <f t="shared" si="46"/>
        <v>2023/03/21</v>
      </c>
      <c r="B58" s="355" t="s">
        <v>987</v>
      </c>
      <c r="C58" s="355" t="str">
        <f t="shared" si="69"/>
        <v>Muối axit Phosphoric  (TA)
磷酸鹽</v>
      </c>
      <c r="D58" s="355" t="str">
        <f t="shared" si="70"/>
        <v>CR-000C</v>
      </c>
      <c r="E58" s="355" t="str">
        <f t="shared" si="71"/>
        <v>Point</v>
      </c>
      <c r="F58" s="355" t="str">
        <f t="shared" si="72"/>
        <v>Tổng chua TA  全酸
40~60 (50)</v>
      </c>
      <c r="G58" s="868">
        <f t="shared" si="73"/>
        <v>0</v>
      </c>
      <c r="H58" s="868">
        <f t="shared" si="74"/>
        <v>0</v>
      </c>
      <c r="I58" s="873" t="str">
        <f t="shared" si="75"/>
        <v>kg</v>
      </c>
      <c r="J58" s="868">
        <f t="shared" si="76"/>
        <v>0</v>
      </c>
      <c r="K58" s="868">
        <f t="shared" si="77"/>
        <v>0</v>
      </c>
      <c r="L58" s="873" t="str">
        <f t="shared" si="78"/>
        <v>kg</v>
      </c>
      <c r="M58" s="868">
        <f t="shared" si="79"/>
        <v>0</v>
      </c>
      <c r="N58" s="868">
        <f t="shared" si="80"/>
        <v>0</v>
      </c>
      <c r="O58" s="873" t="str">
        <f t="shared" si="81"/>
        <v>kg</v>
      </c>
      <c r="P58" s="868">
        <f t="shared" si="82"/>
        <v>0</v>
      </c>
      <c r="Q58" s="868">
        <f t="shared" si="83"/>
        <v>0</v>
      </c>
      <c r="R58" s="873" t="str">
        <f t="shared" si="84"/>
        <v>kg</v>
      </c>
      <c r="S58" s="868">
        <f t="shared" si="85"/>
        <v>0</v>
      </c>
      <c r="T58" s="861">
        <f t="shared" si="86"/>
        <v>0</v>
      </c>
      <c r="U58" s="862" t="str">
        <f t="shared" si="87"/>
        <v>kg</v>
      </c>
      <c r="V58" s="868">
        <f t="shared" si="88"/>
        <v>0</v>
      </c>
      <c r="W58" s="861">
        <f t="shared" si="89"/>
        <v>0</v>
      </c>
      <c r="X58" s="862" t="str">
        <f t="shared" si="90"/>
        <v>kg</v>
      </c>
      <c r="Z58" s="356" t="b">
        <f t="shared" si="23"/>
        <v>1</v>
      </c>
      <c r="AA58" s="356" t="b">
        <f t="shared" si="24"/>
        <v>1</v>
      </c>
      <c r="AB58" s="356" t="b">
        <f t="shared" si="25"/>
        <v>1</v>
      </c>
      <c r="AC58" s="356" t="b">
        <f t="shared" si="26"/>
        <v>1</v>
      </c>
      <c r="AD58" s="356" t="b">
        <f t="shared" si="27"/>
        <v>1</v>
      </c>
      <c r="AE58" s="356" t="b">
        <f t="shared" si="28"/>
        <v>1</v>
      </c>
      <c r="AF58" s="356" t="b">
        <f t="shared" si="29"/>
        <v>1</v>
      </c>
      <c r="AG58" s="356" t="b">
        <f t="shared" si="30"/>
        <v>1</v>
      </c>
      <c r="AH58" s="356" t="b">
        <f t="shared" si="31"/>
        <v>1</v>
      </c>
      <c r="AI58" s="356" t="b">
        <f t="shared" si="32"/>
        <v>1</v>
      </c>
      <c r="AJ58" s="356" t="b">
        <f t="shared" si="33"/>
        <v>1</v>
      </c>
      <c r="AK58" s="356" t="b">
        <f t="shared" si="34"/>
        <v>1</v>
      </c>
      <c r="AL58" s="895" t="str">
        <f t="shared" si="35"/>
        <v/>
      </c>
      <c r="AM58" s="896" t="str">
        <f t="shared" si="36"/>
        <v/>
      </c>
      <c r="AN58" s="896" t="str">
        <f t="shared" si="37"/>
        <v/>
      </c>
      <c r="AO58" s="896" t="str">
        <f t="shared" si="38"/>
        <v/>
      </c>
      <c r="AP58" s="896" t="str">
        <f t="shared" si="39"/>
        <v/>
      </c>
      <c r="AQ58" s="896" t="str">
        <f t="shared" si="40"/>
        <v/>
      </c>
      <c r="AR58" s="896" t="str">
        <f t="shared" si="41"/>
        <v/>
      </c>
      <c r="AS58" s="896" t="str">
        <f t="shared" si="42"/>
        <v/>
      </c>
      <c r="AT58" s="896" t="str">
        <f t="shared" si="43"/>
        <v/>
      </c>
      <c r="AU58" s="896" t="str">
        <f t="shared" si="44"/>
        <v/>
      </c>
      <c r="AV58" s="896" t="str">
        <f t="shared" si="45"/>
        <v/>
      </c>
      <c r="AW58" s="900" t="str">
        <f t="shared" si="45"/>
        <v/>
      </c>
    </row>
    <row r="59" spans="1:49">
      <c r="A59" s="880" t="str">
        <f t="shared" si="46"/>
        <v>2023/03/21</v>
      </c>
      <c r="B59" s="355" t="s">
        <v>989</v>
      </c>
      <c r="C59" s="355" t="str">
        <f t="shared" si="69"/>
        <v>Muối axit Phosphoric  (tỷ lệ axit)
磷酸鹽</v>
      </c>
      <c r="D59" s="355" t="str">
        <f t="shared" si="70"/>
        <v>CR-000C</v>
      </c>
      <c r="E59" s="355" t="str">
        <f t="shared" si="71"/>
        <v>Point</v>
      </c>
      <c r="F59" s="355" t="str">
        <f t="shared" si="72"/>
        <v>tỷ lệ axit  酸比 
5.2~7.8 (6.5)</v>
      </c>
      <c r="G59" s="868">
        <f t="shared" si="73"/>
        <v>0</v>
      </c>
      <c r="H59" s="868">
        <f t="shared" si="74"/>
        <v>0</v>
      </c>
      <c r="I59" s="873" t="str">
        <f t="shared" si="75"/>
        <v>kg</v>
      </c>
      <c r="J59" s="868">
        <f t="shared" si="76"/>
        <v>0</v>
      </c>
      <c r="K59" s="868">
        <f t="shared" si="77"/>
        <v>0</v>
      </c>
      <c r="L59" s="873" t="str">
        <f t="shared" si="78"/>
        <v>kg</v>
      </c>
      <c r="M59" s="868">
        <f t="shared" si="79"/>
        <v>0</v>
      </c>
      <c r="N59" s="868">
        <f t="shared" si="80"/>
        <v>0</v>
      </c>
      <c r="O59" s="873" t="str">
        <f t="shared" si="81"/>
        <v>kg</v>
      </c>
      <c r="P59" s="868">
        <f t="shared" si="82"/>
        <v>0</v>
      </c>
      <c r="Q59" s="868">
        <f t="shared" si="83"/>
        <v>0</v>
      </c>
      <c r="R59" s="873" t="str">
        <f t="shared" si="84"/>
        <v>kg</v>
      </c>
      <c r="S59" s="868">
        <f t="shared" si="85"/>
        <v>0</v>
      </c>
      <c r="T59" s="861">
        <f t="shared" si="86"/>
        <v>0</v>
      </c>
      <c r="U59" s="862" t="str">
        <f t="shared" si="87"/>
        <v>kg</v>
      </c>
      <c r="V59" s="868">
        <f t="shared" si="88"/>
        <v>0</v>
      </c>
      <c r="W59" s="861">
        <f t="shared" si="89"/>
        <v>0</v>
      </c>
      <c r="X59" s="862" t="str">
        <f t="shared" si="90"/>
        <v>kg</v>
      </c>
      <c r="Z59" s="356" t="b">
        <f t="shared" si="23"/>
        <v>1</v>
      </c>
      <c r="AA59" s="356" t="b">
        <f t="shared" si="24"/>
        <v>1</v>
      </c>
      <c r="AB59" s="356" t="b">
        <f t="shared" si="25"/>
        <v>1</v>
      </c>
      <c r="AC59" s="356" t="b">
        <f t="shared" si="26"/>
        <v>1</v>
      </c>
      <c r="AD59" s="356" t="b">
        <f t="shared" si="27"/>
        <v>1</v>
      </c>
      <c r="AE59" s="356" t="b">
        <f t="shared" si="28"/>
        <v>1</v>
      </c>
      <c r="AF59" s="356" t="b">
        <f t="shared" si="29"/>
        <v>1</v>
      </c>
      <c r="AG59" s="356" t="b">
        <f t="shared" si="30"/>
        <v>1</v>
      </c>
      <c r="AH59" s="356" t="b">
        <f t="shared" si="31"/>
        <v>1</v>
      </c>
      <c r="AI59" s="356" t="b">
        <f t="shared" si="32"/>
        <v>1</v>
      </c>
      <c r="AJ59" s="356" t="b">
        <f t="shared" si="33"/>
        <v>1</v>
      </c>
      <c r="AK59" s="356" t="b">
        <f t="shared" si="34"/>
        <v>1</v>
      </c>
      <c r="AL59" s="895" t="str">
        <f t="shared" si="35"/>
        <v/>
      </c>
      <c r="AM59" s="896" t="str">
        <f t="shared" si="36"/>
        <v/>
      </c>
      <c r="AN59" s="896" t="str">
        <f t="shared" si="37"/>
        <v/>
      </c>
      <c r="AO59" s="896" t="str">
        <f t="shared" si="38"/>
        <v/>
      </c>
      <c r="AP59" s="896" t="str">
        <f t="shared" si="39"/>
        <v/>
      </c>
      <c r="AQ59" s="896" t="str">
        <f t="shared" si="40"/>
        <v/>
      </c>
      <c r="AR59" s="896" t="str">
        <f t="shared" si="41"/>
        <v/>
      </c>
      <c r="AS59" s="896" t="str">
        <f t="shared" si="42"/>
        <v/>
      </c>
      <c r="AT59" s="896" t="str">
        <f t="shared" si="43"/>
        <v/>
      </c>
      <c r="AU59" s="896" t="str">
        <f t="shared" si="44"/>
        <v/>
      </c>
      <c r="AV59" s="896" t="str">
        <f t="shared" si="45"/>
        <v/>
      </c>
      <c r="AW59" s="900" t="str">
        <f t="shared" si="45"/>
        <v/>
      </c>
    </row>
    <row r="60" spans="1:49">
      <c r="A60" s="880" t="str">
        <f t="shared" si="46"/>
        <v>2023/03/21</v>
      </c>
      <c r="B60" s="355" t="s">
        <v>990</v>
      </c>
      <c r="C60" s="355" t="str">
        <f t="shared" si="69"/>
        <v>Muối axit Phosphoric (Fe phân ly) 
磷酸鹽</v>
      </c>
      <c r="D60" s="355" t="str">
        <f t="shared" si="70"/>
        <v>CR-000C</v>
      </c>
      <c r="E60" s="355" t="str">
        <f t="shared" si="71"/>
        <v>Point</v>
      </c>
      <c r="F60" s="355" t="str">
        <f t="shared" si="72"/>
        <v xml:space="preserve">Fe phân ly &lt;0.4
 鐵離子&lt;0.4
</v>
      </c>
      <c r="G60" s="868">
        <f t="shared" si="73"/>
        <v>0</v>
      </c>
      <c r="H60" s="868">
        <f t="shared" si="74"/>
        <v>0</v>
      </c>
      <c r="I60" s="873">
        <f t="shared" si="75"/>
        <v>0</v>
      </c>
      <c r="J60" s="868">
        <f t="shared" si="76"/>
        <v>0</v>
      </c>
      <c r="K60" s="868">
        <f t="shared" si="77"/>
        <v>0</v>
      </c>
      <c r="L60" s="873">
        <f t="shared" si="78"/>
        <v>0</v>
      </c>
      <c r="M60" s="868">
        <f t="shared" si="79"/>
        <v>0</v>
      </c>
      <c r="N60" s="868">
        <f t="shared" si="80"/>
        <v>0</v>
      </c>
      <c r="O60" s="873">
        <f t="shared" si="81"/>
        <v>0</v>
      </c>
      <c r="P60" s="868">
        <f t="shared" si="82"/>
        <v>0</v>
      </c>
      <c r="Q60" s="868">
        <f t="shared" si="83"/>
        <v>0</v>
      </c>
      <c r="R60" s="873">
        <f t="shared" si="84"/>
        <v>0</v>
      </c>
      <c r="S60" s="868">
        <f t="shared" si="85"/>
        <v>0</v>
      </c>
      <c r="T60" s="861">
        <f t="shared" si="86"/>
        <v>0</v>
      </c>
      <c r="U60" s="862">
        <f t="shared" si="87"/>
        <v>0</v>
      </c>
      <c r="V60" s="868">
        <f t="shared" si="88"/>
        <v>0</v>
      </c>
      <c r="W60" s="861">
        <f t="shared" si="89"/>
        <v>0</v>
      </c>
      <c r="X60" s="862">
        <f t="shared" si="90"/>
        <v>0</v>
      </c>
      <c r="Z60" s="356" t="b">
        <f t="shared" si="23"/>
        <v>1</v>
      </c>
      <c r="AA60" s="356" t="b">
        <f t="shared" si="24"/>
        <v>1</v>
      </c>
      <c r="AB60" s="356" t="b">
        <f t="shared" si="25"/>
        <v>1</v>
      </c>
      <c r="AC60" s="356" t="b">
        <f t="shared" si="26"/>
        <v>1</v>
      </c>
      <c r="AD60" s="356" t="b">
        <f t="shared" si="27"/>
        <v>1</v>
      </c>
      <c r="AE60" s="356" t="b">
        <f t="shared" si="28"/>
        <v>1</v>
      </c>
      <c r="AF60" s="356" t="b">
        <f t="shared" si="29"/>
        <v>1</v>
      </c>
      <c r="AG60" s="356" t="b">
        <f t="shared" si="30"/>
        <v>1</v>
      </c>
      <c r="AH60" s="356" t="b">
        <f t="shared" si="31"/>
        <v>1</v>
      </c>
      <c r="AI60" s="356" t="b">
        <f t="shared" si="32"/>
        <v>1</v>
      </c>
      <c r="AJ60" s="356" t="b">
        <f t="shared" si="33"/>
        <v>1</v>
      </c>
      <c r="AK60" s="356" t="b">
        <f t="shared" si="34"/>
        <v>1</v>
      </c>
      <c r="AL60" s="895" t="str">
        <f t="shared" si="35"/>
        <v/>
      </c>
      <c r="AM60" s="896" t="str">
        <f t="shared" si="36"/>
        <v/>
      </c>
      <c r="AN60" s="896" t="str">
        <f t="shared" si="37"/>
        <v/>
      </c>
      <c r="AO60" s="896" t="str">
        <f t="shared" si="38"/>
        <v/>
      </c>
      <c r="AP60" s="896" t="str">
        <f t="shared" si="39"/>
        <v/>
      </c>
      <c r="AQ60" s="896" t="str">
        <f t="shared" si="40"/>
        <v/>
      </c>
      <c r="AR60" s="896" t="str">
        <f t="shared" si="41"/>
        <v/>
      </c>
      <c r="AS60" s="896" t="str">
        <f t="shared" si="42"/>
        <v/>
      </c>
      <c r="AT60" s="896" t="str">
        <f t="shared" si="43"/>
        <v/>
      </c>
      <c r="AU60" s="896" t="str">
        <f t="shared" si="44"/>
        <v/>
      </c>
      <c r="AV60" s="896" t="str">
        <f t="shared" si="45"/>
        <v/>
      </c>
      <c r="AW60" s="900" t="str">
        <f t="shared" si="45"/>
        <v/>
      </c>
    </row>
    <row r="61" spans="1:49">
      <c r="A61" s="880" t="str">
        <f t="shared" si="46"/>
        <v>2023/03/21</v>
      </c>
      <c r="B61" s="355" t="s">
        <v>985</v>
      </c>
      <c r="C61" s="355" t="str">
        <f t="shared" si="69"/>
        <v>Xà bông bôi trơn
潤滑皂</v>
      </c>
      <c r="D61" s="355" t="str">
        <f t="shared" si="70"/>
        <v>CR-000C</v>
      </c>
      <c r="E61" s="355" t="str">
        <f t="shared" si="71"/>
        <v>Point</v>
      </c>
      <c r="F61" s="355" t="str">
        <f t="shared" si="72"/>
        <v>0.8~1.2</v>
      </c>
      <c r="G61" s="868">
        <f t="shared" si="73"/>
        <v>0</v>
      </c>
      <c r="H61" s="868">
        <f t="shared" si="74"/>
        <v>0</v>
      </c>
      <c r="I61" s="873" t="str">
        <f t="shared" si="75"/>
        <v>kg</v>
      </c>
      <c r="J61" s="868">
        <f t="shared" si="76"/>
        <v>0</v>
      </c>
      <c r="K61" s="868">
        <f t="shared" si="77"/>
        <v>0</v>
      </c>
      <c r="L61" s="873" t="str">
        <f t="shared" si="78"/>
        <v>kg</v>
      </c>
      <c r="M61" s="868">
        <f t="shared" si="79"/>
        <v>0</v>
      </c>
      <c r="N61" s="868">
        <f t="shared" si="80"/>
        <v>0</v>
      </c>
      <c r="O61" s="873" t="str">
        <f t="shared" si="81"/>
        <v>kg</v>
      </c>
      <c r="P61" s="868">
        <f t="shared" si="82"/>
        <v>0</v>
      </c>
      <c r="Q61" s="868">
        <f t="shared" si="83"/>
        <v>0</v>
      </c>
      <c r="R61" s="873" t="str">
        <f t="shared" si="84"/>
        <v>kg</v>
      </c>
      <c r="S61" s="868">
        <f t="shared" si="85"/>
        <v>0</v>
      </c>
      <c r="T61" s="861">
        <f t="shared" si="86"/>
        <v>0</v>
      </c>
      <c r="U61" s="862" t="str">
        <f t="shared" si="87"/>
        <v>kg</v>
      </c>
      <c r="V61" s="868">
        <f t="shared" si="88"/>
        <v>0</v>
      </c>
      <c r="W61" s="861">
        <f t="shared" si="89"/>
        <v>0</v>
      </c>
      <c r="X61" s="862" t="str">
        <f t="shared" si="90"/>
        <v>kg</v>
      </c>
      <c r="Z61" s="356" t="b">
        <f t="shared" si="23"/>
        <v>1</v>
      </c>
      <c r="AA61" s="356" t="b">
        <f t="shared" si="24"/>
        <v>1</v>
      </c>
      <c r="AB61" s="356" t="b">
        <f t="shared" si="25"/>
        <v>1</v>
      </c>
      <c r="AC61" s="356" t="b">
        <f t="shared" si="26"/>
        <v>1</v>
      </c>
      <c r="AD61" s="356" t="b">
        <f t="shared" si="27"/>
        <v>1</v>
      </c>
      <c r="AE61" s="356" t="b">
        <f t="shared" si="28"/>
        <v>1</v>
      </c>
      <c r="AF61" s="356" t="b">
        <f t="shared" si="29"/>
        <v>1</v>
      </c>
      <c r="AG61" s="356" t="b">
        <f t="shared" si="30"/>
        <v>1</v>
      </c>
      <c r="AH61" s="356" t="b">
        <f t="shared" si="31"/>
        <v>1</v>
      </c>
      <c r="AI61" s="356" t="b">
        <f t="shared" si="32"/>
        <v>1</v>
      </c>
      <c r="AJ61" s="356" t="b">
        <f t="shared" si="33"/>
        <v>1</v>
      </c>
      <c r="AK61" s="356" t="b">
        <f t="shared" si="34"/>
        <v>1</v>
      </c>
      <c r="AL61" s="895" t="str">
        <f t="shared" si="35"/>
        <v/>
      </c>
      <c r="AM61" s="896" t="str">
        <f t="shared" si="36"/>
        <v/>
      </c>
      <c r="AN61" s="896" t="str">
        <f t="shared" si="37"/>
        <v/>
      </c>
      <c r="AO61" s="896" t="str">
        <f t="shared" si="38"/>
        <v/>
      </c>
      <c r="AP61" s="896" t="str">
        <f t="shared" si="39"/>
        <v/>
      </c>
      <c r="AQ61" s="896" t="str">
        <f t="shared" si="40"/>
        <v/>
      </c>
      <c r="AR61" s="896" t="str">
        <f t="shared" si="41"/>
        <v/>
      </c>
      <c r="AS61" s="896" t="str">
        <f t="shared" si="42"/>
        <v/>
      </c>
      <c r="AT61" s="896" t="str">
        <f t="shared" si="43"/>
        <v/>
      </c>
      <c r="AU61" s="896" t="str">
        <f t="shared" si="44"/>
        <v/>
      </c>
      <c r="AV61" s="896" t="str">
        <f t="shared" si="45"/>
        <v/>
      </c>
      <c r="AW61" s="900" t="str">
        <f t="shared" si="45"/>
        <v/>
      </c>
    </row>
    <row r="62" spans="1:49">
      <c r="A62" s="880" t="str">
        <f t="shared" ref="A62:A99" si="91">IF(B62="","",$A$4)</f>
        <v>2023/03/21</v>
      </c>
      <c r="B62" s="355" t="s">
        <v>986</v>
      </c>
      <c r="C62" s="355" t="str">
        <f t="shared" si="69"/>
        <v>pH</v>
      </c>
      <c r="D62" s="355" t="str">
        <f t="shared" si="70"/>
        <v>CR-000C</v>
      </c>
      <c r="E62" s="355" t="str">
        <f t="shared" si="71"/>
        <v>pH</v>
      </c>
      <c r="F62" s="355" t="str">
        <f t="shared" si="72"/>
        <v>8~10</v>
      </c>
      <c r="G62" s="868">
        <f t="shared" si="73"/>
        <v>0</v>
      </c>
      <c r="H62" s="868">
        <f t="shared" si="74"/>
        <v>0</v>
      </c>
      <c r="I62" s="873">
        <f t="shared" si="75"/>
        <v>0</v>
      </c>
      <c r="J62" s="868">
        <f t="shared" si="76"/>
        <v>0</v>
      </c>
      <c r="K62" s="868">
        <f t="shared" si="77"/>
        <v>0</v>
      </c>
      <c r="L62" s="873">
        <f t="shared" si="78"/>
        <v>0</v>
      </c>
      <c r="M62" s="868">
        <f t="shared" si="79"/>
        <v>0</v>
      </c>
      <c r="N62" s="868">
        <f t="shared" si="80"/>
        <v>0</v>
      </c>
      <c r="O62" s="873">
        <f t="shared" si="81"/>
        <v>0</v>
      </c>
      <c r="P62" s="868">
        <f t="shared" si="82"/>
        <v>0</v>
      </c>
      <c r="Q62" s="868">
        <f t="shared" si="83"/>
        <v>0</v>
      </c>
      <c r="R62" s="873">
        <f t="shared" si="84"/>
        <v>0</v>
      </c>
      <c r="S62" s="868">
        <f t="shared" si="85"/>
        <v>0</v>
      </c>
      <c r="T62" s="861">
        <f t="shared" si="86"/>
        <v>0</v>
      </c>
      <c r="U62" s="862">
        <f t="shared" si="87"/>
        <v>0</v>
      </c>
      <c r="V62" s="868">
        <f t="shared" si="88"/>
        <v>0</v>
      </c>
      <c r="W62" s="861">
        <f t="shared" si="89"/>
        <v>0</v>
      </c>
      <c r="X62" s="862">
        <f t="shared" si="90"/>
        <v>0</v>
      </c>
      <c r="Z62" s="356" t="b">
        <f t="shared" si="23"/>
        <v>1</v>
      </c>
      <c r="AA62" s="356" t="b">
        <f t="shared" si="24"/>
        <v>1</v>
      </c>
      <c r="AB62" s="356" t="b">
        <f t="shared" si="25"/>
        <v>1</v>
      </c>
      <c r="AC62" s="356" t="b">
        <f t="shared" si="26"/>
        <v>1</v>
      </c>
      <c r="AD62" s="356" t="b">
        <f t="shared" si="27"/>
        <v>1</v>
      </c>
      <c r="AE62" s="356" t="b">
        <f t="shared" si="28"/>
        <v>1</v>
      </c>
      <c r="AF62" s="356" t="b">
        <f t="shared" si="29"/>
        <v>1</v>
      </c>
      <c r="AG62" s="356" t="b">
        <f t="shared" si="30"/>
        <v>1</v>
      </c>
      <c r="AH62" s="356" t="b">
        <f t="shared" si="31"/>
        <v>1</v>
      </c>
      <c r="AI62" s="356" t="b">
        <f t="shared" si="32"/>
        <v>1</v>
      </c>
      <c r="AJ62" s="356" t="b">
        <f t="shared" si="33"/>
        <v>1</v>
      </c>
      <c r="AK62" s="356" t="b">
        <f t="shared" si="34"/>
        <v>1</v>
      </c>
      <c r="AL62" s="895" t="str">
        <f t="shared" si="35"/>
        <v/>
      </c>
      <c r="AM62" s="896" t="str">
        <f t="shared" si="36"/>
        <v/>
      </c>
      <c r="AN62" s="896" t="str">
        <f t="shared" si="37"/>
        <v/>
      </c>
      <c r="AO62" s="896" t="str">
        <f t="shared" si="38"/>
        <v/>
      </c>
      <c r="AP62" s="896" t="str">
        <f t="shared" si="39"/>
        <v/>
      </c>
      <c r="AQ62" s="896" t="str">
        <f t="shared" si="40"/>
        <v/>
      </c>
      <c r="AR62" s="896" t="str">
        <f t="shared" si="41"/>
        <v/>
      </c>
      <c r="AS62" s="896" t="str">
        <f t="shared" si="42"/>
        <v/>
      </c>
      <c r="AT62" s="896" t="str">
        <f t="shared" si="43"/>
        <v/>
      </c>
      <c r="AU62" s="896" t="str">
        <f t="shared" si="44"/>
        <v/>
      </c>
      <c r="AV62" s="896" t="str">
        <f t="shared" si="45"/>
        <v/>
      </c>
      <c r="AW62" s="900" t="str">
        <f t="shared" si="45"/>
        <v/>
      </c>
    </row>
    <row r="63" spans="1:49">
      <c r="A63" s="880" t="str">
        <f t="shared" si="91"/>
        <v>2023/03/21</v>
      </c>
      <c r="B63" s="355" t="s">
        <v>492</v>
      </c>
      <c r="C63" s="355" t="str">
        <f t="shared" si="69"/>
        <v/>
      </c>
      <c r="D63" s="355" t="str">
        <f t="shared" si="70"/>
        <v/>
      </c>
      <c r="E63" s="355" t="str">
        <f t="shared" si="71"/>
        <v/>
      </c>
      <c r="F63" s="355" t="str">
        <f t="shared" si="72"/>
        <v/>
      </c>
      <c r="G63" s="868" t="str">
        <f t="shared" si="73"/>
        <v/>
      </c>
      <c r="H63" s="868" t="str">
        <f t="shared" si="74"/>
        <v/>
      </c>
      <c r="I63" s="873" t="str">
        <f t="shared" si="75"/>
        <v/>
      </c>
      <c r="J63" s="868" t="str">
        <f t="shared" si="76"/>
        <v/>
      </c>
      <c r="K63" s="868" t="str">
        <f t="shared" si="77"/>
        <v/>
      </c>
      <c r="L63" s="873" t="str">
        <f t="shared" si="78"/>
        <v/>
      </c>
      <c r="M63" s="868" t="str">
        <f t="shared" si="79"/>
        <v/>
      </c>
      <c r="N63" s="868" t="str">
        <f t="shared" si="80"/>
        <v/>
      </c>
      <c r="O63" s="873" t="str">
        <f t="shared" si="81"/>
        <v/>
      </c>
      <c r="P63" s="868" t="str">
        <f t="shared" si="82"/>
        <v/>
      </c>
      <c r="Q63" s="868" t="str">
        <f t="shared" si="83"/>
        <v/>
      </c>
      <c r="R63" s="873" t="str">
        <f t="shared" si="84"/>
        <v/>
      </c>
      <c r="S63" s="868" t="str">
        <f t="shared" si="85"/>
        <v/>
      </c>
      <c r="T63" s="861" t="str">
        <f t="shared" si="86"/>
        <v/>
      </c>
      <c r="U63" s="862" t="str">
        <f t="shared" si="87"/>
        <v/>
      </c>
      <c r="V63" s="868" t="str">
        <f t="shared" si="88"/>
        <v/>
      </c>
      <c r="W63" s="861" t="str">
        <f t="shared" si="89"/>
        <v/>
      </c>
      <c r="X63" s="862" t="str">
        <f t="shared" si="90"/>
        <v/>
      </c>
      <c r="Z63" s="356" t="b">
        <f t="shared" si="23"/>
        <v>0</v>
      </c>
      <c r="AA63" s="356" t="b">
        <f t="shared" si="24"/>
        <v>0</v>
      </c>
      <c r="AB63" s="356" t="b">
        <f t="shared" si="25"/>
        <v>0</v>
      </c>
      <c r="AC63" s="356" t="b">
        <f t="shared" si="26"/>
        <v>0</v>
      </c>
      <c r="AD63" s="356" t="b">
        <f t="shared" si="27"/>
        <v>0</v>
      </c>
      <c r="AE63" s="356" t="b">
        <f t="shared" si="28"/>
        <v>0</v>
      </c>
      <c r="AF63" s="356" t="b">
        <f t="shared" si="29"/>
        <v>0</v>
      </c>
      <c r="AG63" s="356" t="b">
        <f t="shared" si="30"/>
        <v>0</v>
      </c>
      <c r="AH63" s="356" t="b">
        <f t="shared" si="31"/>
        <v>0</v>
      </c>
      <c r="AI63" s="356" t="b">
        <f t="shared" si="32"/>
        <v>0</v>
      </c>
      <c r="AJ63" s="356" t="b">
        <f t="shared" si="33"/>
        <v>0</v>
      </c>
      <c r="AK63" s="356" t="b">
        <f t="shared" si="34"/>
        <v>0</v>
      </c>
      <c r="AL63" s="895">
        <f t="shared" si="35"/>
        <v>1</v>
      </c>
      <c r="AM63" s="896">
        <f t="shared" si="36"/>
        <v>1</v>
      </c>
      <c r="AN63" s="896">
        <f t="shared" si="37"/>
        <v>1</v>
      </c>
      <c r="AO63" s="896">
        <f t="shared" si="38"/>
        <v>1</v>
      </c>
      <c r="AP63" s="896">
        <f t="shared" si="39"/>
        <v>1</v>
      </c>
      <c r="AQ63" s="896">
        <f t="shared" si="40"/>
        <v>1</v>
      </c>
      <c r="AR63" s="896">
        <f t="shared" si="41"/>
        <v>1</v>
      </c>
      <c r="AS63" s="896">
        <f t="shared" si="42"/>
        <v>1</v>
      </c>
      <c r="AT63" s="896">
        <f t="shared" si="43"/>
        <v>1</v>
      </c>
      <c r="AU63" s="896">
        <f t="shared" si="44"/>
        <v>1</v>
      </c>
      <c r="AV63" s="896">
        <f t="shared" si="45"/>
        <v>1</v>
      </c>
      <c r="AW63" s="900">
        <f t="shared" si="45"/>
        <v>1</v>
      </c>
    </row>
    <row r="64" spans="1:49">
      <c r="A64" s="880" t="str">
        <f t="shared" si="91"/>
        <v>2023/03/21</v>
      </c>
      <c r="B64" s="355" t="s">
        <v>494</v>
      </c>
      <c r="C64" s="355" t="str">
        <f t="shared" si="69"/>
        <v/>
      </c>
      <c r="D64" s="355" t="str">
        <f t="shared" si="70"/>
        <v/>
      </c>
      <c r="E64" s="355" t="str">
        <f t="shared" si="71"/>
        <v/>
      </c>
      <c r="F64" s="355" t="str">
        <f t="shared" si="72"/>
        <v/>
      </c>
      <c r="G64" s="868" t="str">
        <f t="shared" si="73"/>
        <v/>
      </c>
      <c r="H64" s="868" t="str">
        <f t="shared" si="74"/>
        <v/>
      </c>
      <c r="I64" s="873" t="str">
        <f t="shared" si="75"/>
        <v/>
      </c>
      <c r="J64" s="868" t="str">
        <f t="shared" si="76"/>
        <v/>
      </c>
      <c r="K64" s="868" t="str">
        <f t="shared" si="77"/>
        <v/>
      </c>
      <c r="L64" s="873" t="str">
        <f t="shared" si="78"/>
        <v/>
      </c>
      <c r="M64" s="868" t="str">
        <f t="shared" si="79"/>
        <v/>
      </c>
      <c r="N64" s="868" t="str">
        <f t="shared" si="80"/>
        <v/>
      </c>
      <c r="O64" s="873" t="str">
        <f t="shared" si="81"/>
        <v/>
      </c>
      <c r="P64" s="868" t="str">
        <f t="shared" si="82"/>
        <v/>
      </c>
      <c r="Q64" s="868" t="str">
        <f t="shared" si="83"/>
        <v/>
      </c>
      <c r="R64" s="873" t="str">
        <f t="shared" si="84"/>
        <v/>
      </c>
      <c r="S64" s="868" t="str">
        <f t="shared" si="85"/>
        <v/>
      </c>
      <c r="T64" s="861" t="str">
        <f t="shared" si="86"/>
        <v/>
      </c>
      <c r="U64" s="862" t="str">
        <f t="shared" si="87"/>
        <v/>
      </c>
      <c r="V64" s="868" t="str">
        <f t="shared" si="88"/>
        <v/>
      </c>
      <c r="W64" s="861" t="str">
        <f t="shared" si="89"/>
        <v/>
      </c>
      <c r="X64" s="862" t="str">
        <f t="shared" si="90"/>
        <v/>
      </c>
      <c r="Z64" s="356" t="b">
        <f t="shared" si="23"/>
        <v>0</v>
      </c>
      <c r="AA64" s="356" t="b">
        <f t="shared" si="24"/>
        <v>0</v>
      </c>
      <c r="AB64" s="356" t="b">
        <f t="shared" si="25"/>
        <v>0</v>
      </c>
      <c r="AC64" s="356" t="b">
        <f t="shared" si="26"/>
        <v>0</v>
      </c>
      <c r="AD64" s="356" t="b">
        <f t="shared" si="27"/>
        <v>0</v>
      </c>
      <c r="AE64" s="356" t="b">
        <f t="shared" si="28"/>
        <v>0</v>
      </c>
      <c r="AF64" s="356" t="b">
        <f t="shared" si="29"/>
        <v>0</v>
      </c>
      <c r="AG64" s="356" t="b">
        <f t="shared" si="30"/>
        <v>0</v>
      </c>
      <c r="AH64" s="356" t="b">
        <f t="shared" si="31"/>
        <v>0</v>
      </c>
      <c r="AI64" s="356" t="b">
        <f t="shared" si="32"/>
        <v>0</v>
      </c>
      <c r="AJ64" s="356" t="b">
        <f t="shared" si="33"/>
        <v>0</v>
      </c>
      <c r="AK64" s="356" t="b">
        <f t="shared" si="34"/>
        <v>0</v>
      </c>
      <c r="AL64" s="895">
        <f t="shared" si="35"/>
        <v>1</v>
      </c>
      <c r="AM64" s="896">
        <f t="shared" si="36"/>
        <v>1</v>
      </c>
      <c r="AN64" s="896">
        <f t="shared" si="37"/>
        <v>1</v>
      </c>
      <c r="AO64" s="896">
        <f t="shared" si="38"/>
        <v>1</v>
      </c>
      <c r="AP64" s="896">
        <f t="shared" si="39"/>
        <v>1</v>
      </c>
      <c r="AQ64" s="896">
        <f t="shared" si="40"/>
        <v>1</v>
      </c>
      <c r="AR64" s="896">
        <f t="shared" si="41"/>
        <v>1</v>
      </c>
      <c r="AS64" s="896">
        <f t="shared" si="42"/>
        <v>1</v>
      </c>
      <c r="AT64" s="896">
        <f t="shared" si="43"/>
        <v>1</v>
      </c>
      <c r="AU64" s="896">
        <f t="shared" si="44"/>
        <v>1</v>
      </c>
      <c r="AV64" s="896">
        <f t="shared" si="45"/>
        <v>1</v>
      </c>
      <c r="AW64" s="900">
        <f t="shared" si="45"/>
        <v>1</v>
      </c>
    </row>
    <row r="65" spans="1:49">
      <c r="A65" s="880" t="str">
        <f t="shared" si="91"/>
        <v>2023/03/21</v>
      </c>
      <c r="B65" s="355" t="s">
        <v>495</v>
      </c>
      <c r="C65" s="355" t="str">
        <f t="shared" si="69"/>
        <v/>
      </c>
      <c r="D65" s="355" t="str">
        <f t="shared" si="70"/>
        <v/>
      </c>
      <c r="E65" s="355" t="str">
        <f t="shared" si="71"/>
        <v/>
      </c>
      <c r="F65" s="355" t="str">
        <f t="shared" si="72"/>
        <v/>
      </c>
      <c r="G65" s="868" t="str">
        <f t="shared" si="73"/>
        <v/>
      </c>
      <c r="H65" s="868" t="str">
        <f t="shared" si="74"/>
        <v/>
      </c>
      <c r="I65" s="873" t="str">
        <f t="shared" si="75"/>
        <v/>
      </c>
      <c r="J65" s="868" t="str">
        <f t="shared" si="76"/>
        <v/>
      </c>
      <c r="K65" s="868" t="str">
        <f t="shared" si="77"/>
        <v/>
      </c>
      <c r="L65" s="873" t="str">
        <f t="shared" si="78"/>
        <v/>
      </c>
      <c r="M65" s="868" t="str">
        <f t="shared" si="79"/>
        <v/>
      </c>
      <c r="N65" s="868" t="str">
        <f t="shared" si="80"/>
        <v/>
      </c>
      <c r="O65" s="873" t="str">
        <f t="shared" si="81"/>
        <v/>
      </c>
      <c r="P65" s="868" t="str">
        <f t="shared" si="82"/>
        <v/>
      </c>
      <c r="Q65" s="868" t="str">
        <f t="shared" si="83"/>
        <v/>
      </c>
      <c r="R65" s="873" t="str">
        <f t="shared" si="84"/>
        <v/>
      </c>
      <c r="S65" s="868" t="str">
        <f t="shared" si="85"/>
        <v/>
      </c>
      <c r="T65" s="861" t="str">
        <f t="shared" si="86"/>
        <v/>
      </c>
      <c r="U65" s="862" t="str">
        <f t="shared" si="87"/>
        <v/>
      </c>
      <c r="V65" s="868" t="str">
        <f t="shared" si="88"/>
        <v/>
      </c>
      <c r="W65" s="861" t="str">
        <f t="shared" si="89"/>
        <v/>
      </c>
      <c r="X65" s="862" t="str">
        <f t="shared" si="90"/>
        <v/>
      </c>
      <c r="Z65" s="356" t="b">
        <f t="shared" si="23"/>
        <v>0</v>
      </c>
      <c r="AA65" s="356" t="b">
        <f t="shared" si="24"/>
        <v>0</v>
      </c>
      <c r="AB65" s="356" t="b">
        <f t="shared" si="25"/>
        <v>0</v>
      </c>
      <c r="AC65" s="356" t="b">
        <f t="shared" si="26"/>
        <v>0</v>
      </c>
      <c r="AD65" s="356" t="b">
        <f t="shared" si="27"/>
        <v>0</v>
      </c>
      <c r="AE65" s="356" t="b">
        <f t="shared" si="28"/>
        <v>0</v>
      </c>
      <c r="AF65" s="356" t="b">
        <f t="shared" si="29"/>
        <v>0</v>
      </c>
      <c r="AG65" s="356" t="b">
        <f t="shared" si="30"/>
        <v>0</v>
      </c>
      <c r="AH65" s="356" t="b">
        <f t="shared" si="31"/>
        <v>0</v>
      </c>
      <c r="AI65" s="356" t="b">
        <f t="shared" si="32"/>
        <v>0</v>
      </c>
      <c r="AJ65" s="356" t="b">
        <f t="shared" si="33"/>
        <v>0</v>
      </c>
      <c r="AK65" s="356" t="b">
        <f t="shared" si="34"/>
        <v>0</v>
      </c>
      <c r="AL65" s="895">
        <f t="shared" si="35"/>
        <v>1</v>
      </c>
      <c r="AM65" s="896">
        <f t="shared" si="36"/>
        <v>1</v>
      </c>
      <c r="AN65" s="896">
        <f t="shared" si="37"/>
        <v>1</v>
      </c>
      <c r="AO65" s="896">
        <f t="shared" si="38"/>
        <v>1</v>
      </c>
      <c r="AP65" s="896">
        <f t="shared" si="39"/>
        <v>1</v>
      </c>
      <c r="AQ65" s="896">
        <f t="shared" si="40"/>
        <v>1</v>
      </c>
      <c r="AR65" s="896">
        <f t="shared" si="41"/>
        <v>1</v>
      </c>
      <c r="AS65" s="896">
        <f t="shared" si="42"/>
        <v>1</v>
      </c>
      <c r="AT65" s="896">
        <f t="shared" si="43"/>
        <v>1</v>
      </c>
      <c r="AU65" s="896">
        <f t="shared" si="44"/>
        <v>1</v>
      </c>
      <c r="AV65" s="896">
        <f t="shared" si="45"/>
        <v>1</v>
      </c>
      <c r="AW65" s="900">
        <f t="shared" si="45"/>
        <v>1</v>
      </c>
    </row>
    <row r="66" spans="1:49">
      <c r="A66" s="880" t="str">
        <f t="shared" si="91"/>
        <v>2023/03/21</v>
      </c>
      <c r="B66" s="355" t="s">
        <v>496</v>
      </c>
      <c r="C66" s="355" t="str">
        <f t="shared" si="69"/>
        <v/>
      </c>
      <c r="D66" s="355" t="str">
        <f t="shared" si="70"/>
        <v/>
      </c>
      <c r="E66" s="355" t="str">
        <f t="shared" si="71"/>
        <v/>
      </c>
      <c r="F66" s="355" t="str">
        <f t="shared" si="72"/>
        <v/>
      </c>
      <c r="G66" s="868" t="str">
        <f t="shared" si="73"/>
        <v/>
      </c>
      <c r="H66" s="868" t="str">
        <f t="shared" si="74"/>
        <v/>
      </c>
      <c r="I66" s="873" t="str">
        <f t="shared" si="75"/>
        <v/>
      </c>
      <c r="J66" s="868" t="str">
        <f t="shared" si="76"/>
        <v/>
      </c>
      <c r="K66" s="868" t="str">
        <f t="shared" si="77"/>
        <v/>
      </c>
      <c r="L66" s="873" t="str">
        <f t="shared" si="78"/>
        <v/>
      </c>
      <c r="M66" s="868" t="str">
        <f t="shared" si="79"/>
        <v/>
      </c>
      <c r="N66" s="868" t="str">
        <f t="shared" si="80"/>
        <v/>
      </c>
      <c r="O66" s="873" t="str">
        <f t="shared" si="81"/>
        <v/>
      </c>
      <c r="P66" s="868" t="str">
        <f t="shared" si="82"/>
        <v/>
      </c>
      <c r="Q66" s="868" t="str">
        <f t="shared" si="83"/>
        <v/>
      </c>
      <c r="R66" s="873" t="str">
        <f t="shared" si="84"/>
        <v/>
      </c>
      <c r="S66" s="868" t="str">
        <f t="shared" si="85"/>
        <v/>
      </c>
      <c r="T66" s="861" t="str">
        <f t="shared" si="86"/>
        <v/>
      </c>
      <c r="U66" s="862" t="str">
        <f t="shared" si="87"/>
        <v/>
      </c>
      <c r="V66" s="868" t="str">
        <f t="shared" si="88"/>
        <v/>
      </c>
      <c r="W66" s="861" t="str">
        <f t="shared" si="89"/>
        <v/>
      </c>
      <c r="X66" s="862" t="str">
        <f t="shared" si="90"/>
        <v/>
      </c>
      <c r="Z66" s="356" t="b">
        <f t="shared" si="23"/>
        <v>0</v>
      </c>
      <c r="AA66" s="356" t="b">
        <f t="shared" si="24"/>
        <v>0</v>
      </c>
      <c r="AB66" s="356" t="b">
        <f t="shared" si="25"/>
        <v>0</v>
      </c>
      <c r="AC66" s="356" t="b">
        <f t="shared" si="26"/>
        <v>0</v>
      </c>
      <c r="AD66" s="356" t="b">
        <f t="shared" si="27"/>
        <v>0</v>
      </c>
      <c r="AE66" s="356" t="b">
        <f t="shared" si="28"/>
        <v>0</v>
      </c>
      <c r="AF66" s="356" t="b">
        <f t="shared" si="29"/>
        <v>0</v>
      </c>
      <c r="AG66" s="356" t="b">
        <f t="shared" si="30"/>
        <v>0</v>
      </c>
      <c r="AH66" s="356" t="b">
        <f t="shared" si="31"/>
        <v>0</v>
      </c>
      <c r="AI66" s="356" t="b">
        <f t="shared" si="32"/>
        <v>0</v>
      </c>
      <c r="AJ66" s="356" t="b">
        <f t="shared" si="33"/>
        <v>0</v>
      </c>
      <c r="AK66" s="356" t="b">
        <f t="shared" si="34"/>
        <v>0</v>
      </c>
      <c r="AL66" s="895">
        <f t="shared" si="35"/>
        <v>1</v>
      </c>
      <c r="AM66" s="896">
        <f t="shared" si="36"/>
        <v>1</v>
      </c>
      <c r="AN66" s="896">
        <f t="shared" si="37"/>
        <v>1</v>
      </c>
      <c r="AO66" s="896">
        <f t="shared" si="38"/>
        <v>1</v>
      </c>
      <c r="AP66" s="896">
        <f t="shared" si="39"/>
        <v>1</v>
      </c>
      <c r="AQ66" s="896">
        <f t="shared" si="40"/>
        <v>1</v>
      </c>
      <c r="AR66" s="896">
        <f t="shared" si="41"/>
        <v>1</v>
      </c>
      <c r="AS66" s="896">
        <f t="shared" si="42"/>
        <v>1</v>
      </c>
      <c r="AT66" s="896">
        <f t="shared" si="43"/>
        <v>1</v>
      </c>
      <c r="AU66" s="896">
        <f t="shared" si="44"/>
        <v>1</v>
      </c>
      <c r="AV66" s="896">
        <f t="shared" si="45"/>
        <v>1</v>
      </c>
      <c r="AW66" s="900">
        <f t="shared" si="45"/>
        <v>1</v>
      </c>
    </row>
    <row r="67" spans="1:49">
      <c r="A67" s="880" t="str">
        <f t="shared" si="91"/>
        <v>2023/03/21</v>
      </c>
      <c r="B67" s="355" t="s">
        <v>497</v>
      </c>
      <c r="C67" s="355" t="str">
        <f t="shared" si="69"/>
        <v/>
      </c>
      <c r="D67" s="355" t="str">
        <f t="shared" si="70"/>
        <v/>
      </c>
      <c r="E67" s="355" t="str">
        <f t="shared" si="71"/>
        <v/>
      </c>
      <c r="F67" s="355" t="str">
        <f t="shared" si="72"/>
        <v/>
      </c>
      <c r="G67" s="868" t="str">
        <f t="shared" si="73"/>
        <v/>
      </c>
      <c r="H67" s="868" t="str">
        <f t="shared" si="74"/>
        <v/>
      </c>
      <c r="I67" s="873" t="str">
        <f t="shared" si="75"/>
        <v/>
      </c>
      <c r="J67" s="868" t="str">
        <f t="shared" si="76"/>
        <v/>
      </c>
      <c r="K67" s="868" t="str">
        <f t="shared" si="77"/>
        <v/>
      </c>
      <c r="L67" s="873" t="str">
        <f t="shared" si="78"/>
        <v/>
      </c>
      <c r="M67" s="868" t="str">
        <f t="shared" si="79"/>
        <v/>
      </c>
      <c r="N67" s="868" t="str">
        <f t="shared" si="80"/>
        <v/>
      </c>
      <c r="O67" s="873" t="str">
        <f t="shared" si="81"/>
        <v/>
      </c>
      <c r="P67" s="868" t="str">
        <f t="shared" si="82"/>
        <v/>
      </c>
      <c r="Q67" s="868" t="str">
        <f t="shared" si="83"/>
        <v/>
      </c>
      <c r="R67" s="873" t="str">
        <f t="shared" si="84"/>
        <v/>
      </c>
      <c r="S67" s="868" t="str">
        <f t="shared" si="85"/>
        <v/>
      </c>
      <c r="T67" s="861" t="str">
        <f t="shared" si="86"/>
        <v/>
      </c>
      <c r="U67" s="862" t="str">
        <f t="shared" si="87"/>
        <v/>
      </c>
      <c r="V67" s="868" t="str">
        <f t="shared" si="88"/>
        <v/>
      </c>
      <c r="W67" s="861" t="str">
        <f t="shared" si="89"/>
        <v/>
      </c>
      <c r="X67" s="862" t="str">
        <f t="shared" si="90"/>
        <v/>
      </c>
      <c r="Z67" s="356" t="b">
        <f t="shared" si="23"/>
        <v>0</v>
      </c>
      <c r="AA67" s="356" t="b">
        <f t="shared" si="24"/>
        <v>0</v>
      </c>
      <c r="AB67" s="356" t="b">
        <f t="shared" si="25"/>
        <v>0</v>
      </c>
      <c r="AC67" s="356" t="b">
        <f t="shared" si="26"/>
        <v>0</v>
      </c>
      <c r="AD67" s="356" t="b">
        <f t="shared" si="27"/>
        <v>0</v>
      </c>
      <c r="AE67" s="356" t="b">
        <f t="shared" si="28"/>
        <v>0</v>
      </c>
      <c r="AF67" s="356" t="b">
        <f t="shared" si="29"/>
        <v>0</v>
      </c>
      <c r="AG67" s="356" t="b">
        <f t="shared" si="30"/>
        <v>0</v>
      </c>
      <c r="AH67" s="356" t="b">
        <f t="shared" si="31"/>
        <v>0</v>
      </c>
      <c r="AI67" s="356" t="b">
        <f t="shared" si="32"/>
        <v>0</v>
      </c>
      <c r="AJ67" s="356" t="b">
        <f t="shared" si="33"/>
        <v>0</v>
      </c>
      <c r="AK67" s="356" t="b">
        <f t="shared" si="34"/>
        <v>0</v>
      </c>
      <c r="AL67" s="895">
        <f t="shared" si="35"/>
        <v>1</v>
      </c>
      <c r="AM67" s="896">
        <f t="shared" si="36"/>
        <v>1</v>
      </c>
      <c r="AN67" s="896">
        <f t="shared" si="37"/>
        <v>1</v>
      </c>
      <c r="AO67" s="896">
        <f t="shared" si="38"/>
        <v>1</v>
      </c>
      <c r="AP67" s="896">
        <f t="shared" si="39"/>
        <v>1</v>
      </c>
      <c r="AQ67" s="896">
        <f t="shared" si="40"/>
        <v>1</v>
      </c>
      <c r="AR67" s="896">
        <f t="shared" si="41"/>
        <v>1</v>
      </c>
      <c r="AS67" s="896">
        <f t="shared" si="42"/>
        <v>1</v>
      </c>
      <c r="AT67" s="896">
        <f t="shared" si="43"/>
        <v>1</v>
      </c>
      <c r="AU67" s="896">
        <f t="shared" si="44"/>
        <v>1</v>
      </c>
      <c r="AV67" s="896">
        <f t="shared" si="45"/>
        <v>1</v>
      </c>
      <c r="AW67" s="900">
        <f t="shared" si="45"/>
        <v>1</v>
      </c>
    </row>
    <row r="68" spans="1:49">
      <c r="A68" s="880" t="str">
        <f t="shared" si="91"/>
        <v>2023/03/21</v>
      </c>
      <c r="B68" s="355" t="s">
        <v>498</v>
      </c>
      <c r="C68" s="355" t="str">
        <f t="shared" si="69"/>
        <v/>
      </c>
      <c r="D68" s="355" t="str">
        <f t="shared" si="70"/>
        <v/>
      </c>
      <c r="E68" s="355" t="str">
        <f t="shared" si="71"/>
        <v/>
      </c>
      <c r="F68" s="355" t="str">
        <f t="shared" si="72"/>
        <v/>
      </c>
      <c r="G68" s="868" t="str">
        <f t="shared" si="73"/>
        <v/>
      </c>
      <c r="H68" s="868" t="str">
        <f t="shared" si="74"/>
        <v/>
      </c>
      <c r="I68" s="873" t="str">
        <f t="shared" si="75"/>
        <v/>
      </c>
      <c r="J68" s="868" t="str">
        <f t="shared" si="76"/>
        <v/>
      </c>
      <c r="K68" s="868" t="str">
        <f t="shared" si="77"/>
        <v/>
      </c>
      <c r="L68" s="873" t="str">
        <f t="shared" si="78"/>
        <v/>
      </c>
      <c r="M68" s="868" t="str">
        <f t="shared" si="79"/>
        <v/>
      </c>
      <c r="N68" s="868" t="str">
        <f t="shared" si="80"/>
        <v/>
      </c>
      <c r="O68" s="873" t="str">
        <f t="shared" si="81"/>
        <v/>
      </c>
      <c r="P68" s="868" t="str">
        <f t="shared" si="82"/>
        <v/>
      </c>
      <c r="Q68" s="868" t="str">
        <f t="shared" si="83"/>
        <v/>
      </c>
      <c r="R68" s="873" t="str">
        <f t="shared" si="84"/>
        <v/>
      </c>
      <c r="S68" s="868" t="str">
        <f t="shared" si="85"/>
        <v/>
      </c>
      <c r="T68" s="861" t="str">
        <f t="shared" si="86"/>
        <v/>
      </c>
      <c r="U68" s="862" t="str">
        <f t="shared" si="87"/>
        <v/>
      </c>
      <c r="V68" s="868" t="str">
        <f t="shared" si="88"/>
        <v/>
      </c>
      <c r="W68" s="861" t="str">
        <f t="shared" si="89"/>
        <v/>
      </c>
      <c r="X68" s="862" t="str">
        <f t="shared" si="90"/>
        <v/>
      </c>
      <c r="Z68" s="356" t="b">
        <f t="shared" si="23"/>
        <v>0</v>
      </c>
      <c r="AA68" s="356" t="b">
        <f t="shared" si="24"/>
        <v>0</v>
      </c>
      <c r="AB68" s="356" t="b">
        <f t="shared" si="25"/>
        <v>0</v>
      </c>
      <c r="AC68" s="356" t="b">
        <f t="shared" si="26"/>
        <v>0</v>
      </c>
      <c r="AD68" s="356" t="b">
        <f t="shared" si="27"/>
        <v>0</v>
      </c>
      <c r="AE68" s="356" t="b">
        <f t="shared" si="28"/>
        <v>0</v>
      </c>
      <c r="AF68" s="356" t="b">
        <f t="shared" si="29"/>
        <v>0</v>
      </c>
      <c r="AG68" s="356" t="b">
        <f t="shared" si="30"/>
        <v>0</v>
      </c>
      <c r="AH68" s="356" t="b">
        <f t="shared" si="31"/>
        <v>0</v>
      </c>
      <c r="AI68" s="356" t="b">
        <f t="shared" si="32"/>
        <v>0</v>
      </c>
      <c r="AJ68" s="356" t="b">
        <f t="shared" si="33"/>
        <v>0</v>
      </c>
      <c r="AK68" s="356" t="b">
        <f t="shared" si="34"/>
        <v>0</v>
      </c>
      <c r="AL68" s="895">
        <f t="shared" si="35"/>
        <v>1</v>
      </c>
      <c r="AM68" s="896">
        <f t="shared" si="36"/>
        <v>1</v>
      </c>
      <c r="AN68" s="896">
        <f t="shared" si="37"/>
        <v>1</v>
      </c>
      <c r="AO68" s="896">
        <f t="shared" si="38"/>
        <v>1</v>
      </c>
      <c r="AP68" s="896">
        <f t="shared" si="39"/>
        <v>1</v>
      </c>
      <c r="AQ68" s="896">
        <f t="shared" si="40"/>
        <v>1</v>
      </c>
      <c r="AR68" s="896">
        <f t="shared" si="41"/>
        <v>1</v>
      </c>
      <c r="AS68" s="896">
        <f t="shared" si="42"/>
        <v>1</v>
      </c>
      <c r="AT68" s="896">
        <f t="shared" si="43"/>
        <v>1</v>
      </c>
      <c r="AU68" s="896">
        <f t="shared" si="44"/>
        <v>1</v>
      </c>
      <c r="AV68" s="896">
        <f t="shared" si="45"/>
        <v>1</v>
      </c>
      <c r="AW68" s="900">
        <f t="shared" si="45"/>
        <v>1</v>
      </c>
    </row>
    <row r="69" spans="1:49">
      <c r="A69" s="880" t="str">
        <f t="shared" si="91"/>
        <v>2023/03/21</v>
      </c>
      <c r="B69" s="355" t="s">
        <v>499</v>
      </c>
      <c r="C69" s="355" t="str">
        <f t="shared" si="69"/>
        <v/>
      </c>
      <c r="D69" s="355" t="str">
        <f t="shared" si="70"/>
        <v/>
      </c>
      <c r="E69" s="355" t="str">
        <f t="shared" si="71"/>
        <v/>
      </c>
      <c r="F69" s="355" t="str">
        <f t="shared" si="72"/>
        <v/>
      </c>
      <c r="G69" s="868" t="str">
        <f t="shared" si="73"/>
        <v/>
      </c>
      <c r="H69" s="868" t="str">
        <f t="shared" si="74"/>
        <v/>
      </c>
      <c r="I69" s="873" t="str">
        <f t="shared" si="75"/>
        <v/>
      </c>
      <c r="J69" s="868" t="str">
        <f t="shared" si="76"/>
        <v/>
      </c>
      <c r="K69" s="868" t="str">
        <f t="shared" si="77"/>
        <v/>
      </c>
      <c r="L69" s="873" t="str">
        <f t="shared" si="78"/>
        <v/>
      </c>
      <c r="M69" s="868" t="str">
        <f t="shared" si="79"/>
        <v/>
      </c>
      <c r="N69" s="868" t="str">
        <f t="shared" si="80"/>
        <v/>
      </c>
      <c r="O69" s="873" t="str">
        <f t="shared" si="81"/>
        <v/>
      </c>
      <c r="P69" s="868" t="str">
        <f t="shared" si="82"/>
        <v/>
      </c>
      <c r="Q69" s="868" t="str">
        <f t="shared" si="83"/>
        <v/>
      </c>
      <c r="R69" s="873" t="str">
        <f t="shared" si="84"/>
        <v/>
      </c>
      <c r="S69" s="868" t="str">
        <f t="shared" si="85"/>
        <v/>
      </c>
      <c r="T69" s="861" t="str">
        <f t="shared" si="86"/>
        <v/>
      </c>
      <c r="U69" s="862" t="str">
        <f t="shared" si="87"/>
        <v/>
      </c>
      <c r="V69" s="868" t="str">
        <f t="shared" si="88"/>
        <v/>
      </c>
      <c r="W69" s="861" t="str">
        <f t="shared" si="89"/>
        <v/>
      </c>
      <c r="X69" s="862" t="str">
        <f t="shared" si="90"/>
        <v/>
      </c>
      <c r="Z69" s="356" t="b">
        <f t="shared" ref="Z69:Z99" si="92">ISNUMBER(G69)</f>
        <v>0</v>
      </c>
      <c r="AA69" s="356" t="b">
        <f t="shared" ref="AA69:AA99" si="93">ISNUMBER(H69)</f>
        <v>0</v>
      </c>
      <c r="AB69" s="356" t="b">
        <f t="shared" ref="AB69:AB99" si="94">ISNUMBER(J69)</f>
        <v>0</v>
      </c>
      <c r="AC69" s="356" t="b">
        <f t="shared" ref="AC69:AC99" si="95">ISNUMBER(K69)</f>
        <v>0</v>
      </c>
      <c r="AD69" s="356" t="b">
        <f t="shared" ref="AD69:AD99" si="96">ISNUMBER(M69)</f>
        <v>0</v>
      </c>
      <c r="AE69" s="356" t="b">
        <f t="shared" ref="AE69:AE99" si="97">ISNUMBER(N69)</f>
        <v>0</v>
      </c>
      <c r="AF69" s="356" t="b">
        <f t="shared" ref="AF69:AF99" si="98">ISNUMBER(P69)</f>
        <v>0</v>
      </c>
      <c r="AG69" s="356" t="b">
        <f t="shared" ref="AG69:AG99" si="99">ISNUMBER(Q69)</f>
        <v>0</v>
      </c>
      <c r="AH69" s="356" t="b">
        <f t="shared" ref="AH69:AH99" si="100">ISNUMBER(S69)</f>
        <v>0</v>
      </c>
      <c r="AI69" s="356" t="b">
        <f t="shared" ref="AI69:AI99" si="101">ISNUMBER(T69)</f>
        <v>0</v>
      </c>
      <c r="AJ69" s="356" t="b">
        <f t="shared" ref="AJ69:AJ99" si="102">ISNUMBER(V69)</f>
        <v>0</v>
      </c>
      <c r="AK69" s="356" t="b">
        <f t="shared" ref="AK69:AK99" si="103">ISNUMBER(W69)</f>
        <v>0</v>
      </c>
      <c r="AL69" s="895">
        <f t="shared" ref="AL69:AL99" si="104">IF(Z69=TRUE,"",1)</f>
        <v>1</v>
      </c>
      <c r="AM69" s="896">
        <f t="shared" ref="AM69:AM99" si="105">IF(AA69=TRUE,"",1)</f>
        <v>1</v>
      </c>
      <c r="AN69" s="896">
        <f t="shared" ref="AN69:AN99" si="106">IF(AB69=TRUE,"",1)</f>
        <v>1</v>
      </c>
      <c r="AO69" s="896">
        <f t="shared" ref="AO69:AO99" si="107">IF(AC69=TRUE,"",1)</f>
        <v>1</v>
      </c>
      <c r="AP69" s="896">
        <f t="shared" ref="AP69:AP99" si="108">IF(AD69=TRUE,"",1)</f>
        <v>1</v>
      </c>
      <c r="AQ69" s="896">
        <f t="shared" ref="AQ69:AQ99" si="109">IF(AE69=TRUE,"",1)</f>
        <v>1</v>
      </c>
      <c r="AR69" s="896">
        <f t="shared" ref="AR69:AR99" si="110">IF(AF69=TRUE,"",1)</f>
        <v>1</v>
      </c>
      <c r="AS69" s="896">
        <f t="shared" ref="AS69:AS99" si="111">IF(AG69=TRUE,"",1)</f>
        <v>1</v>
      </c>
      <c r="AT69" s="896">
        <f t="shared" ref="AT69:AT99" si="112">IF(AH69=TRUE,"",1)</f>
        <v>1</v>
      </c>
      <c r="AU69" s="896">
        <f t="shared" ref="AU69:AU99" si="113">IF(AI69=TRUE,"",1)</f>
        <v>1</v>
      </c>
      <c r="AV69" s="896">
        <f t="shared" ref="AV69:AW99" si="114">IF(AJ69=TRUE,"",1)</f>
        <v>1</v>
      </c>
      <c r="AW69" s="900">
        <f t="shared" si="114"/>
        <v>1</v>
      </c>
    </row>
    <row r="70" spans="1:49">
      <c r="A70" s="880" t="str">
        <f t="shared" si="91"/>
        <v>2023/03/21</v>
      </c>
      <c r="B70" s="355" t="s">
        <v>500</v>
      </c>
      <c r="C70" s="355" t="str">
        <f t="shared" si="69"/>
        <v/>
      </c>
      <c r="D70" s="355" t="str">
        <f t="shared" si="70"/>
        <v/>
      </c>
      <c r="E70" s="355" t="str">
        <f t="shared" si="71"/>
        <v/>
      </c>
      <c r="F70" s="355" t="str">
        <f t="shared" si="72"/>
        <v/>
      </c>
      <c r="G70" s="868" t="str">
        <f t="shared" si="73"/>
        <v/>
      </c>
      <c r="H70" s="868" t="str">
        <f t="shared" si="74"/>
        <v/>
      </c>
      <c r="I70" s="873" t="str">
        <f t="shared" si="75"/>
        <v/>
      </c>
      <c r="J70" s="868" t="str">
        <f t="shared" si="76"/>
        <v/>
      </c>
      <c r="K70" s="868" t="str">
        <f t="shared" si="77"/>
        <v/>
      </c>
      <c r="L70" s="873" t="str">
        <f t="shared" si="78"/>
        <v/>
      </c>
      <c r="M70" s="868" t="str">
        <f t="shared" si="79"/>
        <v/>
      </c>
      <c r="N70" s="868" t="str">
        <f t="shared" si="80"/>
        <v/>
      </c>
      <c r="O70" s="873" t="str">
        <f t="shared" si="81"/>
        <v/>
      </c>
      <c r="P70" s="868" t="str">
        <f t="shared" si="82"/>
        <v/>
      </c>
      <c r="Q70" s="868" t="str">
        <f t="shared" si="83"/>
        <v/>
      </c>
      <c r="R70" s="873" t="str">
        <f t="shared" si="84"/>
        <v/>
      </c>
      <c r="S70" s="868" t="str">
        <f t="shared" si="85"/>
        <v/>
      </c>
      <c r="T70" s="861" t="str">
        <f t="shared" si="86"/>
        <v/>
      </c>
      <c r="U70" s="862" t="str">
        <f t="shared" si="87"/>
        <v/>
      </c>
      <c r="V70" s="868" t="str">
        <f t="shared" si="88"/>
        <v/>
      </c>
      <c r="W70" s="861" t="str">
        <f t="shared" si="89"/>
        <v/>
      </c>
      <c r="X70" s="862" t="str">
        <f t="shared" si="90"/>
        <v/>
      </c>
      <c r="Z70" s="356" t="b">
        <f t="shared" si="92"/>
        <v>0</v>
      </c>
      <c r="AA70" s="356" t="b">
        <f t="shared" si="93"/>
        <v>0</v>
      </c>
      <c r="AB70" s="356" t="b">
        <f t="shared" si="94"/>
        <v>0</v>
      </c>
      <c r="AC70" s="356" t="b">
        <f t="shared" si="95"/>
        <v>0</v>
      </c>
      <c r="AD70" s="356" t="b">
        <f t="shared" si="96"/>
        <v>0</v>
      </c>
      <c r="AE70" s="356" t="b">
        <f t="shared" si="97"/>
        <v>0</v>
      </c>
      <c r="AF70" s="356" t="b">
        <f t="shared" si="98"/>
        <v>0</v>
      </c>
      <c r="AG70" s="356" t="b">
        <f t="shared" si="99"/>
        <v>0</v>
      </c>
      <c r="AH70" s="356" t="b">
        <f t="shared" si="100"/>
        <v>0</v>
      </c>
      <c r="AI70" s="356" t="b">
        <f t="shared" si="101"/>
        <v>0</v>
      </c>
      <c r="AJ70" s="356" t="b">
        <f t="shared" si="102"/>
        <v>0</v>
      </c>
      <c r="AK70" s="356" t="b">
        <f t="shared" si="103"/>
        <v>0</v>
      </c>
      <c r="AL70" s="895">
        <f t="shared" si="104"/>
        <v>1</v>
      </c>
      <c r="AM70" s="896">
        <f t="shared" si="105"/>
        <v>1</v>
      </c>
      <c r="AN70" s="896">
        <f t="shared" si="106"/>
        <v>1</v>
      </c>
      <c r="AO70" s="896">
        <f t="shared" si="107"/>
        <v>1</v>
      </c>
      <c r="AP70" s="896">
        <f t="shared" si="108"/>
        <v>1</v>
      </c>
      <c r="AQ70" s="896">
        <f t="shared" si="109"/>
        <v>1</v>
      </c>
      <c r="AR70" s="896">
        <f t="shared" si="110"/>
        <v>1</v>
      </c>
      <c r="AS70" s="896">
        <f t="shared" si="111"/>
        <v>1</v>
      </c>
      <c r="AT70" s="896">
        <f t="shared" si="112"/>
        <v>1</v>
      </c>
      <c r="AU70" s="896">
        <f t="shared" si="113"/>
        <v>1</v>
      </c>
      <c r="AV70" s="896">
        <f t="shared" si="114"/>
        <v>1</v>
      </c>
      <c r="AW70" s="900">
        <f t="shared" si="114"/>
        <v>1</v>
      </c>
    </row>
    <row r="71" spans="1:49">
      <c r="A71" s="880" t="str">
        <f t="shared" si="91"/>
        <v>2023/03/21</v>
      </c>
      <c r="B71" s="355" t="s">
        <v>501</v>
      </c>
      <c r="C71" s="355" t="str">
        <f t="shared" si="69"/>
        <v/>
      </c>
      <c r="D71" s="355" t="str">
        <f t="shared" si="70"/>
        <v/>
      </c>
      <c r="E71" s="355" t="str">
        <f t="shared" si="71"/>
        <v/>
      </c>
      <c r="F71" s="355" t="str">
        <f t="shared" si="72"/>
        <v/>
      </c>
      <c r="G71" s="868" t="str">
        <f t="shared" si="73"/>
        <v/>
      </c>
      <c r="H71" s="868" t="str">
        <f t="shared" si="74"/>
        <v/>
      </c>
      <c r="I71" s="873" t="str">
        <f t="shared" si="75"/>
        <v/>
      </c>
      <c r="J71" s="868" t="str">
        <f t="shared" si="76"/>
        <v/>
      </c>
      <c r="K71" s="868" t="str">
        <f t="shared" si="77"/>
        <v/>
      </c>
      <c r="L71" s="873" t="str">
        <f t="shared" si="78"/>
        <v/>
      </c>
      <c r="M71" s="868" t="str">
        <f t="shared" si="79"/>
        <v/>
      </c>
      <c r="N71" s="868" t="str">
        <f t="shared" si="80"/>
        <v/>
      </c>
      <c r="O71" s="873" t="str">
        <f t="shared" si="81"/>
        <v/>
      </c>
      <c r="P71" s="868" t="str">
        <f t="shared" si="82"/>
        <v/>
      </c>
      <c r="Q71" s="868" t="str">
        <f t="shared" si="83"/>
        <v/>
      </c>
      <c r="R71" s="873" t="str">
        <f t="shared" si="84"/>
        <v/>
      </c>
      <c r="S71" s="868" t="str">
        <f t="shared" si="85"/>
        <v/>
      </c>
      <c r="T71" s="861" t="str">
        <f t="shared" si="86"/>
        <v/>
      </c>
      <c r="U71" s="862" t="str">
        <f t="shared" si="87"/>
        <v/>
      </c>
      <c r="V71" s="868" t="str">
        <f t="shared" si="88"/>
        <v/>
      </c>
      <c r="W71" s="861" t="str">
        <f t="shared" si="89"/>
        <v/>
      </c>
      <c r="X71" s="862" t="str">
        <f t="shared" si="90"/>
        <v/>
      </c>
      <c r="Z71" s="356" t="b">
        <f t="shared" si="92"/>
        <v>0</v>
      </c>
      <c r="AA71" s="356" t="b">
        <f t="shared" si="93"/>
        <v>0</v>
      </c>
      <c r="AB71" s="356" t="b">
        <f t="shared" si="94"/>
        <v>0</v>
      </c>
      <c r="AC71" s="356" t="b">
        <f t="shared" si="95"/>
        <v>0</v>
      </c>
      <c r="AD71" s="356" t="b">
        <f t="shared" si="96"/>
        <v>0</v>
      </c>
      <c r="AE71" s="356" t="b">
        <f t="shared" si="97"/>
        <v>0</v>
      </c>
      <c r="AF71" s="356" t="b">
        <f t="shared" si="98"/>
        <v>0</v>
      </c>
      <c r="AG71" s="356" t="b">
        <f t="shared" si="99"/>
        <v>0</v>
      </c>
      <c r="AH71" s="356" t="b">
        <f t="shared" si="100"/>
        <v>0</v>
      </c>
      <c r="AI71" s="356" t="b">
        <f t="shared" si="101"/>
        <v>0</v>
      </c>
      <c r="AJ71" s="356" t="b">
        <f t="shared" si="102"/>
        <v>0</v>
      </c>
      <c r="AK71" s="356" t="b">
        <f t="shared" si="103"/>
        <v>0</v>
      </c>
      <c r="AL71" s="895">
        <f t="shared" si="104"/>
        <v>1</v>
      </c>
      <c r="AM71" s="896">
        <f t="shared" si="105"/>
        <v>1</v>
      </c>
      <c r="AN71" s="896">
        <f t="shared" si="106"/>
        <v>1</v>
      </c>
      <c r="AO71" s="896">
        <f t="shared" si="107"/>
        <v>1</v>
      </c>
      <c r="AP71" s="896">
        <f t="shared" si="108"/>
        <v>1</v>
      </c>
      <c r="AQ71" s="896">
        <f t="shared" si="109"/>
        <v>1</v>
      </c>
      <c r="AR71" s="896">
        <f t="shared" si="110"/>
        <v>1</v>
      </c>
      <c r="AS71" s="896">
        <f t="shared" si="111"/>
        <v>1</v>
      </c>
      <c r="AT71" s="896">
        <f t="shared" si="112"/>
        <v>1</v>
      </c>
      <c r="AU71" s="896">
        <f t="shared" si="113"/>
        <v>1</v>
      </c>
      <c r="AV71" s="896">
        <f t="shared" si="114"/>
        <v>1</v>
      </c>
      <c r="AW71" s="900">
        <f t="shared" si="114"/>
        <v>1</v>
      </c>
    </row>
    <row r="72" spans="1:49">
      <c r="A72" s="880" t="str">
        <f t="shared" si="91"/>
        <v>2023/03/21</v>
      </c>
      <c r="B72" s="355" t="s">
        <v>502</v>
      </c>
      <c r="C72" s="355" t="str">
        <f t="shared" si="69"/>
        <v/>
      </c>
      <c r="D72" s="355" t="str">
        <f t="shared" si="70"/>
        <v/>
      </c>
      <c r="E72" s="355" t="str">
        <f t="shared" si="71"/>
        <v/>
      </c>
      <c r="F72" s="355" t="str">
        <f t="shared" si="72"/>
        <v/>
      </c>
      <c r="G72" s="868" t="str">
        <f t="shared" si="73"/>
        <v/>
      </c>
      <c r="H72" s="868" t="str">
        <f t="shared" si="74"/>
        <v/>
      </c>
      <c r="I72" s="873" t="str">
        <f t="shared" si="75"/>
        <v/>
      </c>
      <c r="J72" s="868" t="str">
        <f t="shared" si="76"/>
        <v/>
      </c>
      <c r="K72" s="868" t="str">
        <f t="shared" si="77"/>
        <v/>
      </c>
      <c r="L72" s="873" t="str">
        <f t="shared" si="78"/>
        <v/>
      </c>
      <c r="M72" s="868" t="str">
        <f t="shared" si="79"/>
        <v/>
      </c>
      <c r="N72" s="868" t="str">
        <f t="shared" si="80"/>
        <v/>
      </c>
      <c r="O72" s="873" t="str">
        <f t="shared" si="81"/>
        <v/>
      </c>
      <c r="P72" s="868" t="str">
        <f t="shared" si="82"/>
        <v/>
      </c>
      <c r="Q72" s="868" t="str">
        <f t="shared" si="83"/>
        <v/>
      </c>
      <c r="R72" s="873" t="str">
        <f t="shared" si="84"/>
        <v/>
      </c>
      <c r="S72" s="868" t="str">
        <f t="shared" si="85"/>
        <v/>
      </c>
      <c r="T72" s="861" t="str">
        <f t="shared" si="86"/>
        <v/>
      </c>
      <c r="U72" s="862" t="str">
        <f t="shared" si="87"/>
        <v/>
      </c>
      <c r="V72" s="868" t="str">
        <f t="shared" si="88"/>
        <v/>
      </c>
      <c r="W72" s="861" t="str">
        <f t="shared" si="89"/>
        <v/>
      </c>
      <c r="X72" s="862" t="str">
        <f t="shared" si="90"/>
        <v/>
      </c>
      <c r="Z72" s="356" t="b">
        <f t="shared" si="92"/>
        <v>0</v>
      </c>
      <c r="AA72" s="356" t="b">
        <f t="shared" si="93"/>
        <v>0</v>
      </c>
      <c r="AB72" s="356" t="b">
        <f t="shared" si="94"/>
        <v>0</v>
      </c>
      <c r="AC72" s="356" t="b">
        <f t="shared" si="95"/>
        <v>0</v>
      </c>
      <c r="AD72" s="356" t="b">
        <f t="shared" si="96"/>
        <v>0</v>
      </c>
      <c r="AE72" s="356" t="b">
        <f t="shared" si="97"/>
        <v>0</v>
      </c>
      <c r="AF72" s="356" t="b">
        <f t="shared" si="98"/>
        <v>0</v>
      </c>
      <c r="AG72" s="356" t="b">
        <f t="shared" si="99"/>
        <v>0</v>
      </c>
      <c r="AH72" s="356" t="b">
        <f t="shared" si="100"/>
        <v>0</v>
      </c>
      <c r="AI72" s="356" t="b">
        <f t="shared" si="101"/>
        <v>0</v>
      </c>
      <c r="AJ72" s="356" t="b">
        <f t="shared" si="102"/>
        <v>0</v>
      </c>
      <c r="AK72" s="356" t="b">
        <f t="shared" si="103"/>
        <v>0</v>
      </c>
      <c r="AL72" s="895">
        <f t="shared" si="104"/>
        <v>1</v>
      </c>
      <c r="AM72" s="896">
        <f t="shared" si="105"/>
        <v>1</v>
      </c>
      <c r="AN72" s="896">
        <f t="shared" si="106"/>
        <v>1</v>
      </c>
      <c r="AO72" s="896">
        <f t="shared" si="107"/>
        <v>1</v>
      </c>
      <c r="AP72" s="896">
        <f t="shared" si="108"/>
        <v>1</v>
      </c>
      <c r="AQ72" s="896">
        <f t="shared" si="109"/>
        <v>1</v>
      </c>
      <c r="AR72" s="896">
        <f t="shared" si="110"/>
        <v>1</v>
      </c>
      <c r="AS72" s="896">
        <f t="shared" si="111"/>
        <v>1</v>
      </c>
      <c r="AT72" s="896">
        <f t="shared" si="112"/>
        <v>1</v>
      </c>
      <c r="AU72" s="896">
        <f t="shared" si="113"/>
        <v>1</v>
      </c>
      <c r="AV72" s="896">
        <f t="shared" si="114"/>
        <v>1</v>
      </c>
      <c r="AW72" s="900">
        <f t="shared" si="114"/>
        <v>1</v>
      </c>
    </row>
    <row r="73" spans="1:49">
      <c r="A73" s="880" t="str">
        <f t="shared" si="91"/>
        <v>2023/03/21</v>
      </c>
      <c r="B73" s="355" t="s">
        <v>508</v>
      </c>
      <c r="C73" s="355" t="str">
        <f t="shared" si="69"/>
        <v>Xà bông 1
預脫脂</v>
      </c>
      <c r="D73" s="355" t="str">
        <f t="shared" si="70"/>
        <v>XD-000A</v>
      </c>
      <c r="E73" s="355" t="str">
        <f t="shared" si="71"/>
        <v>g/L</v>
      </c>
      <c r="F73" s="355" t="str">
        <f t="shared" si="72"/>
        <v>10~20
 (15)</v>
      </c>
      <c r="G73" s="868">
        <f t="shared" si="73"/>
        <v>0</v>
      </c>
      <c r="H73" s="868">
        <f t="shared" si="74"/>
        <v>0</v>
      </c>
      <c r="I73" s="873" t="str">
        <f t="shared" si="75"/>
        <v>kg</v>
      </c>
      <c r="J73" s="868">
        <f t="shared" si="76"/>
        <v>0</v>
      </c>
      <c r="K73" s="868">
        <f t="shared" si="77"/>
        <v>0</v>
      </c>
      <c r="L73" s="873" t="str">
        <f t="shared" si="78"/>
        <v>kg</v>
      </c>
      <c r="M73" s="868">
        <f t="shared" si="79"/>
        <v>0</v>
      </c>
      <c r="N73" s="868">
        <f t="shared" si="80"/>
        <v>0</v>
      </c>
      <c r="O73" s="873">
        <f t="shared" si="81"/>
        <v>0</v>
      </c>
      <c r="P73" s="868">
        <f t="shared" si="82"/>
        <v>0</v>
      </c>
      <c r="Q73" s="868">
        <f t="shared" si="83"/>
        <v>0</v>
      </c>
      <c r="R73" s="873">
        <f t="shared" si="84"/>
        <v>0</v>
      </c>
      <c r="S73" s="868">
        <f t="shared" si="85"/>
        <v>0</v>
      </c>
      <c r="T73" s="861">
        <f t="shared" si="86"/>
        <v>0</v>
      </c>
      <c r="U73" s="862">
        <f t="shared" si="87"/>
        <v>0</v>
      </c>
      <c r="V73" s="868">
        <f t="shared" si="88"/>
        <v>0</v>
      </c>
      <c r="W73" s="861">
        <f t="shared" si="89"/>
        <v>0</v>
      </c>
      <c r="X73" s="862">
        <f t="shared" si="90"/>
        <v>0</v>
      </c>
      <c r="Z73" s="356" t="b">
        <f t="shared" si="92"/>
        <v>1</v>
      </c>
      <c r="AA73" s="356" t="b">
        <f t="shared" si="93"/>
        <v>1</v>
      </c>
      <c r="AB73" s="356" t="b">
        <f t="shared" si="94"/>
        <v>1</v>
      </c>
      <c r="AC73" s="356" t="b">
        <f t="shared" si="95"/>
        <v>1</v>
      </c>
      <c r="AD73" s="356" t="b">
        <f t="shared" si="96"/>
        <v>1</v>
      </c>
      <c r="AE73" s="356" t="b">
        <f t="shared" si="97"/>
        <v>1</v>
      </c>
      <c r="AF73" s="356" t="b">
        <f t="shared" si="98"/>
        <v>1</v>
      </c>
      <c r="AG73" s="356" t="b">
        <f t="shared" si="99"/>
        <v>1</v>
      </c>
      <c r="AH73" s="356" t="b">
        <f t="shared" si="100"/>
        <v>1</v>
      </c>
      <c r="AI73" s="356" t="b">
        <f t="shared" si="101"/>
        <v>1</v>
      </c>
      <c r="AJ73" s="356" t="b">
        <f t="shared" si="102"/>
        <v>1</v>
      </c>
      <c r="AK73" s="356" t="b">
        <f t="shared" si="103"/>
        <v>1</v>
      </c>
      <c r="AL73" s="895" t="str">
        <f t="shared" si="104"/>
        <v/>
      </c>
      <c r="AM73" s="896" t="str">
        <f t="shared" si="105"/>
        <v/>
      </c>
      <c r="AN73" s="896" t="str">
        <f t="shared" si="106"/>
        <v/>
      </c>
      <c r="AO73" s="896" t="str">
        <f t="shared" si="107"/>
        <v/>
      </c>
      <c r="AP73" s="896" t="str">
        <f t="shared" si="108"/>
        <v/>
      </c>
      <c r="AQ73" s="896" t="str">
        <f t="shared" si="109"/>
        <v/>
      </c>
      <c r="AR73" s="896" t="str">
        <f t="shared" si="110"/>
        <v/>
      </c>
      <c r="AS73" s="896" t="str">
        <f t="shared" si="111"/>
        <v/>
      </c>
      <c r="AT73" s="896" t="str">
        <f t="shared" si="112"/>
        <v/>
      </c>
      <c r="AU73" s="896" t="str">
        <f t="shared" si="113"/>
        <v/>
      </c>
      <c r="AV73" s="896" t="str">
        <f t="shared" si="114"/>
        <v/>
      </c>
      <c r="AW73" s="900" t="str">
        <f t="shared" si="114"/>
        <v/>
      </c>
    </row>
    <row r="74" spans="1:49">
      <c r="A74" s="880" t="str">
        <f t="shared" si="91"/>
        <v>2023/03/21</v>
      </c>
      <c r="B74" s="355" t="s">
        <v>512</v>
      </c>
      <c r="C74" s="355" t="str">
        <f t="shared" si="69"/>
        <v>Xà bông 2
主脫脂</v>
      </c>
      <c r="D74" s="355" t="str">
        <f t="shared" si="70"/>
        <v>XD-000A</v>
      </c>
      <c r="E74" s="355" t="str">
        <f t="shared" si="71"/>
        <v>g/L</v>
      </c>
      <c r="F74" s="355" t="str">
        <f t="shared" si="72"/>
        <v>40~60g/L
(50±5g/L)</v>
      </c>
      <c r="G74" s="868">
        <f t="shared" si="73"/>
        <v>0</v>
      </c>
      <c r="H74" s="868">
        <f t="shared" si="74"/>
        <v>0</v>
      </c>
      <c r="I74" s="873" t="str">
        <f t="shared" si="75"/>
        <v>kg</v>
      </c>
      <c r="J74" s="868">
        <f t="shared" si="76"/>
        <v>0</v>
      </c>
      <c r="K74" s="868">
        <f t="shared" si="77"/>
        <v>0</v>
      </c>
      <c r="L74" s="873" t="str">
        <f t="shared" si="78"/>
        <v>kg</v>
      </c>
      <c r="M74" s="868" t="str">
        <f t="shared" si="79"/>
        <v>HALO</v>
      </c>
      <c r="N74" s="868" t="str">
        <f t="shared" si="80"/>
        <v>D:\2. Data hoa nghiem\1. PP HÓA NGHIỆM CÁC BỒN-XLBM\HALO-PPPT_CT-21A-XB-XT,XM-1F.pdf</v>
      </c>
      <c r="O74" s="873">
        <f t="shared" si="81"/>
        <v>0</v>
      </c>
      <c r="P74" s="868">
        <f t="shared" si="82"/>
        <v>0</v>
      </c>
      <c r="Q74" s="868">
        <f t="shared" si="83"/>
        <v>0</v>
      </c>
      <c r="R74" s="873">
        <f t="shared" si="84"/>
        <v>0</v>
      </c>
      <c r="S74" s="868">
        <f t="shared" si="85"/>
        <v>0</v>
      </c>
      <c r="T74" s="861">
        <f t="shared" si="86"/>
        <v>0</v>
      </c>
      <c r="U74" s="862">
        <f t="shared" si="87"/>
        <v>0</v>
      </c>
      <c r="V74" s="868">
        <f t="shared" si="88"/>
        <v>0</v>
      </c>
      <c r="W74" s="861">
        <f t="shared" si="89"/>
        <v>0</v>
      </c>
      <c r="X74" s="862">
        <f t="shared" si="90"/>
        <v>0</v>
      </c>
      <c r="Z74" s="356" t="b">
        <f t="shared" si="92"/>
        <v>1</v>
      </c>
      <c r="AA74" s="356" t="b">
        <f t="shared" si="93"/>
        <v>1</v>
      </c>
      <c r="AB74" s="356" t="b">
        <f t="shared" si="94"/>
        <v>1</v>
      </c>
      <c r="AC74" s="356" t="b">
        <f t="shared" si="95"/>
        <v>1</v>
      </c>
      <c r="AD74" s="356" t="b">
        <f t="shared" si="96"/>
        <v>0</v>
      </c>
      <c r="AE74" s="356" t="b">
        <f t="shared" si="97"/>
        <v>0</v>
      </c>
      <c r="AF74" s="356" t="b">
        <f t="shared" si="98"/>
        <v>1</v>
      </c>
      <c r="AG74" s="356" t="b">
        <f t="shared" si="99"/>
        <v>1</v>
      </c>
      <c r="AH74" s="356" t="b">
        <f t="shared" si="100"/>
        <v>1</v>
      </c>
      <c r="AI74" s="356" t="b">
        <f t="shared" si="101"/>
        <v>1</v>
      </c>
      <c r="AJ74" s="356" t="b">
        <f t="shared" si="102"/>
        <v>1</v>
      </c>
      <c r="AK74" s="356" t="b">
        <f t="shared" si="103"/>
        <v>1</v>
      </c>
      <c r="AL74" s="895" t="str">
        <f t="shared" si="104"/>
        <v/>
      </c>
      <c r="AM74" s="896" t="str">
        <f t="shared" si="105"/>
        <v/>
      </c>
      <c r="AN74" s="896" t="str">
        <f t="shared" si="106"/>
        <v/>
      </c>
      <c r="AO74" s="896" t="str">
        <f t="shared" si="107"/>
        <v/>
      </c>
      <c r="AP74" s="896">
        <f t="shared" si="108"/>
        <v>1</v>
      </c>
      <c r="AQ74" s="896">
        <f t="shared" si="109"/>
        <v>1</v>
      </c>
      <c r="AR74" s="896" t="str">
        <f t="shared" si="110"/>
        <v/>
      </c>
      <c r="AS74" s="896" t="str">
        <f t="shared" si="111"/>
        <v/>
      </c>
      <c r="AT74" s="896" t="str">
        <f t="shared" si="112"/>
        <v/>
      </c>
      <c r="AU74" s="896" t="str">
        <f t="shared" si="113"/>
        <v/>
      </c>
      <c r="AV74" s="896" t="str">
        <f t="shared" si="114"/>
        <v/>
      </c>
      <c r="AW74" s="900" t="str">
        <f t="shared" si="114"/>
        <v/>
      </c>
    </row>
    <row r="75" spans="1:49">
      <c r="A75" s="880" t="str">
        <f t="shared" si="91"/>
        <v>2023/03/21</v>
      </c>
      <c r="B75" s="355" t="s">
        <v>514</v>
      </c>
      <c r="C75" s="355" t="str">
        <f t="shared" ref="C75:C99" si="115">IFERROR(VLOOKUP($B75,RLMLXD,2,0),"")</f>
        <v xml:space="preserve">Xà bông 3 (siêu âm)
超音波脫脂
</v>
      </c>
      <c r="D75" s="355" t="str">
        <f t="shared" ref="D75:D99" si="116">IFERROR(VLOOKUP($B75,RLMLXD,43,0),"")</f>
        <v>XD-000A</v>
      </c>
      <c r="E75" s="355" t="str">
        <f t="shared" ref="E75:E99" si="117">IFERROR(VLOOKUP($B75,RLMLXD,4,0),"")</f>
        <v>g/L</v>
      </c>
      <c r="F75" s="355" t="str">
        <f t="shared" ref="F75:F99" si="118">IFERROR(VLOOKUP($B75,RLMLXD,5,0),"")</f>
        <v>40~60g/L
(50±5g/L)</v>
      </c>
      <c r="G75" s="868">
        <f t="shared" si="73"/>
        <v>0</v>
      </c>
      <c r="H75" s="868">
        <f t="shared" si="74"/>
        <v>0</v>
      </c>
      <c r="I75" s="873" t="str">
        <f t="shared" si="75"/>
        <v>kg</v>
      </c>
      <c r="J75" s="868">
        <f t="shared" si="76"/>
        <v>0</v>
      </c>
      <c r="K75" s="868">
        <f t="shared" si="77"/>
        <v>0</v>
      </c>
      <c r="L75" s="873" t="str">
        <f t="shared" si="78"/>
        <v>kg</v>
      </c>
      <c r="M75" s="868" t="str">
        <f t="shared" si="79"/>
        <v>HALO</v>
      </c>
      <c r="N75" s="868">
        <f t="shared" si="80"/>
        <v>0</v>
      </c>
      <c r="O75" s="873">
        <f t="shared" si="81"/>
        <v>0</v>
      </c>
      <c r="P75" s="868">
        <f t="shared" si="82"/>
        <v>0</v>
      </c>
      <c r="Q75" s="868">
        <f t="shared" si="83"/>
        <v>0</v>
      </c>
      <c r="R75" s="873">
        <f t="shared" si="84"/>
        <v>0</v>
      </c>
      <c r="S75" s="868">
        <f t="shared" si="85"/>
        <v>0</v>
      </c>
      <c r="T75" s="861">
        <f t="shared" si="86"/>
        <v>0</v>
      </c>
      <c r="U75" s="862">
        <f t="shared" si="87"/>
        <v>0</v>
      </c>
      <c r="V75" s="868">
        <f t="shared" si="88"/>
        <v>0</v>
      </c>
      <c r="W75" s="861">
        <f t="shared" si="89"/>
        <v>0</v>
      </c>
      <c r="X75" s="862">
        <f t="shared" si="90"/>
        <v>0</v>
      </c>
      <c r="Z75" s="356" t="b">
        <f t="shared" si="92"/>
        <v>1</v>
      </c>
      <c r="AA75" s="356" t="b">
        <f t="shared" si="93"/>
        <v>1</v>
      </c>
      <c r="AB75" s="356" t="b">
        <f t="shared" si="94"/>
        <v>1</v>
      </c>
      <c r="AC75" s="356" t="b">
        <f t="shared" si="95"/>
        <v>1</v>
      </c>
      <c r="AD75" s="356" t="b">
        <f t="shared" si="96"/>
        <v>0</v>
      </c>
      <c r="AE75" s="356" t="b">
        <f t="shared" si="97"/>
        <v>1</v>
      </c>
      <c r="AF75" s="356" t="b">
        <f t="shared" si="98"/>
        <v>1</v>
      </c>
      <c r="AG75" s="356" t="b">
        <f t="shared" si="99"/>
        <v>1</v>
      </c>
      <c r="AH75" s="356" t="b">
        <f t="shared" si="100"/>
        <v>1</v>
      </c>
      <c r="AI75" s="356" t="b">
        <f t="shared" si="101"/>
        <v>1</v>
      </c>
      <c r="AJ75" s="356" t="b">
        <f t="shared" si="102"/>
        <v>1</v>
      </c>
      <c r="AK75" s="356" t="b">
        <f t="shared" si="103"/>
        <v>1</v>
      </c>
      <c r="AL75" s="895" t="str">
        <f t="shared" si="104"/>
        <v/>
      </c>
      <c r="AM75" s="896" t="str">
        <f t="shared" si="105"/>
        <v/>
      </c>
      <c r="AN75" s="896" t="str">
        <f t="shared" si="106"/>
        <v/>
      </c>
      <c r="AO75" s="896" t="str">
        <f t="shared" si="107"/>
        <v/>
      </c>
      <c r="AP75" s="896">
        <f t="shared" si="108"/>
        <v>1</v>
      </c>
      <c r="AQ75" s="896" t="str">
        <f t="shared" si="109"/>
        <v/>
      </c>
      <c r="AR75" s="896" t="str">
        <f t="shared" si="110"/>
        <v/>
      </c>
      <c r="AS75" s="896" t="str">
        <f t="shared" si="111"/>
        <v/>
      </c>
      <c r="AT75" s="896" t="str">
        <f t="shared" si="112"/>
        <v/>
      </c>
      <c r="AU75" s="896" t="str">
        <f t="shared" si="113"/>
        <v/>
      </c>
      <c r="AV75" s="896" t="str">
        <f t="shared" si="114"/>
        <v/>
      </c>
      <c r="AW75" s="900" t="str">
        <f t="shared" si="114"/>
        <v/>
      </c>
    </row>
    <row r="76" spans="1:49">
      <c r="A76" s="880" t="str">
        <f t="shared" si="91"/>
        <v>2023/03/21</v>
      </c>
      <c r="B76" s="355" t="s">
        <v>516</v>
      </c>
      <c r="C76" s="355" t="str">
        <f t="shared" si="115"/>
        <v>Rửa acid
酸洗</v>
      </c>
      <c r="D76" s="355" t="str">
        <f t="shared" si="116"/>
        <v>XD-000A</v>
      </c>
      <c r="E76" s="355" t="str">
        <f t="shared" si="117"/>
        <v>Point</v>
      </c>
      <c r="F76" s="355" t="str">
        <f t="shared" si="118"/>
        <v>5~15
(10)</v>
      </c>
      <c r="G76" s="868">
        <f t="shared" si="73"/>
        <v>0</v>
      </c>
      <c r="H76" s="868">
        <f t="shared" si="74"/>
        <v>124.63199999999999</v>
      </c>
      <c r="I76" s="873" t="str">
        <f t="shared" si="75"/>
        <v>L</v>
      </c>
      <c r="J76" s="868">
        <f t="shared" si="76"/>
        <v>0</v>
      </c>
      <c r="K76" s="868">
        <f t="shared" si="77"/>
        <v>124.63199999999999</v>
      </c>
      <c r="L76" s="873" t="str">
        <f t="shared" si="78"/>
        <v>L</v>
      </c>
      <c r="M76" s="868">
        <f t="shared" si="79"/>
        <v>0</v>
      </c>
      <c r="N76" s="868">
        <f t="shared" si="80"/>
        <v>0</v>
      </c>
      <c r="O76" s="873">
        <f t="shared" si="81"/>
        <v>0</v>
      </c>
      <c r="P76" s="868">
        <f t="shared" si="82"/>
        <v>0</v>
      </c>
      <c r="Q76" s="868">
        <f t="shared" si="83"/>
        <v>0</v>
      </c>
      <c r="R76" s="873">
        <f t="shared" si="84"/>
        <v>0</v>
      </c>
      <c r="S76" s="868">
        <f t="shared" si="85"/>
        <v>0</v>
      </c>
      <c r="T76" s="861">
        <f t="shared" si="86"/>
        <v>0</v>
      </c>
      <c r="U76" s="862">
        <f t="shared" si="87"/>
        <v>0</v>
      </c>
      <c r="V76" s="868">
        <f t="shared" si="88"/>
        <v>0</v>
      </c>
      <c r="W76" s="861">
        <f t="shared" si="89"/>
        <v>0</v>
      </c>
      <c r="X76" s="862">
        <f t="shared" si="90"/>
        <v>0</v>
      </c>
      <c r="Z76" s="356" t="b">
        <f t="shared" si="92"/>
        <v>1</v>
      </c>
      <c r="AA76" s="356" t="b">
        <f t="shared" si="93"/>
        <v>1</v>
      </c>
      <c r="AB76" s="356" t="b">
        <f t="shared" si="94"/>
        <v>1</v>
      </c>
      <c r="AC76" s="356" t="b">
        <f t="shared" si="95"/>
        <v>1</v>
      </c>
      <c r="AD76" s="356" t="b">
        <f t="shared" si="96"/>
        <v>1</v>
      </c>
      <c r="AE76" s="356" t="b">
        <f t="shared" si="97"/>
        <v>1</v>
      </c>
      <c r="AF76" s="356" t="b">
        <f t="shared" si="98"/>
        <v>1</v>
      </c>
      <c r="AG76" s="356" t="b">
        <f t="shared" si="99"/>
        <v>1</v>
      </c>
      <c r="AH76" s="356" t="b">
        <f t="shared" si="100"/>
        <v>1</v>
      </c>
      <c r="AI76" s="356" t="b">
        <f t="shared" si="101"/>
        <v>1</v>
      </c>
      <c r="AJ76" s="356" t="b">
        <f t="shared" si="102"/>
        <v>1</v>
      </c>
      <c r="AK76" s="356" t="b">
        <f t="shared" si="103"/>
        <v>1</v>
      </c>
      <c r="AL76" s="895" t="str">
        <f t="shared" si="104"/>
        <v/>
      </c>
      <c r="AM76" s="896" t="str">
        <f t="shared" si="105"/>
        <v/>
      </c>
      <c r="AN76" s="896" t="str">
        <f t="shared" si="106"/>
        <v/>
      </c>
      <c r="AO76" s="896" t="str">
        <f t="shared" si="107"/>
        <v/>
      </c>
      <c r="AP76" s="896" t="str">
        <f t="shared" si="108"/>
        <v/>
      </c>
      <c r="AQ76" s="896" t="str">
        <f t="shared" si="109"/>
        <v/>
      </c>
      <c r="AR76" s="896" t="str">
        <f t="shared" si="110"/>
        <v/>
      </c>
      <c r="AS76" s="896" t="str">
        <f t="shared" si="111"/>
        <v/>
      </c>
      <c r="AT76" s="896" t="str">
        <f t="shared" si="112"/>
        <v/>
      </c>
      <c r="AU76" s="896" t="str">
        <f t="shared" si="113"/>
        <v/>
      </c>
      <c r="AV76" s="896" t="str">
        <f t="shared" si="114"/>
        <v/>
      </c>
      <c r="AW76" s="900" t="str">
        <f t="shared" si="114"/>
        <v/>
      </c>
    </row>
    <row r="77" spans="1:49">
      <c r="A77" s="880" t="str">
        <f t="shared" si="91"/>
        <v>2023/03/21</v>
      </c>
      <c r="B77" s="355" t="s">
        <v>518</v>
      </c>
      <c r="C77" s="355" t="str">
        <f t="shared" si="115"/>
        <v>phosphat                      acid phân ly
磷化處理                     游離酸度</v>
      </c>
      <c r="D77" s="355" t="str">
        <f t="shared" si="116"/>
        <v>XD-000A</v>
      </c>
      <c r="E77" s="355" t="str">
        <f t="shared" si="117"/>
        <v>Point</v>
      </c>
      <c r="F77" s="355" t="str">
        <f t="shared" si="118"/>
        <v>&lt;1.5</v>
      </c>
      <c r="G77" s="868">
        <f t="shared" si="73"/>
        <v>0</v>
      </c>
      <c r="H77" s="868">
        <f t="shared" si="74"/>
        <v>0</v>
      </c>
      <c r="I77" s="873" t="str">
        <f t="shared" si="75"/>
        <v>kg</v>
      </c>
      <c r="J77" s="868">
        <f t="shared" si="76"/>
        <v>0</v>
      </c>
      <c r="K77" s="868">
        <f t="shared" si="77"/>
        <v>0</v>
      </c>
      <c r="L77" s="873" t="str">
        <f t="shared" si="78"/>
        <v>kg</v>
      </c>
      <c r="M77" s="868">
        <f t="shared" si="79"/>
        <v>0</v>
      </c>
      <c r="N77" s="868">
        <f t="shared" si="80"/>
        <v>0</v>
      </c>
      <c r="O77" s="873">
        <f t="shared" si="81"/>
        <v>0</v>
      </c>
      <c r="P77" s="868">
        <f t="shared" si="82"/>
        <v>0</v>
      </c>
      <c r="Q77" s="868">
        <f t="shared" si="83"/>
        <v>0</v>
      </c>
      <c r="R77" s="873">
        <f t="shared" si="84"/>
        <v>0</v>
      </c>
      <c r="S77" s="868">
        <f t="shared" si="85"/>
        <v>0</v>
      </c>
      <c r="T77" s="861">
        <f t="shared" si="86"/>
        <v>0</v>
      </c>
      <c r="U77" s="862">
        <f t="shared" si="87"/>
        <v>0</v>
      </c>
      <c r="V77" s="868">
        <f t="shared" si="88"/>
        <v>0</v>
      </c>
      <c r="W77" s="861">
        <f t="shared" si="89"/>
        <v>0</v>
      </c>
      <c r="X77" s="862">
        <f t="shared" si="90"/>
        <v>0</v>
      </c>
      <c r="Z77" s="356" t="b">
        <f t="shared" si="92"/>
        <v>1</v>
      </c>
      <c r="AA77" s="356" t="b">
        <f t="shared" si="93"/>
        <v>1</v>
      </c>
      <c r="AB77" s="356" t="b">
        <f t="shared" si="94"/>
        <v>1</v>
      </c>
      <c r="AC77" s="356" t="b">
        <f t="shared" si="95"/>
        <v>1</v>
      </c>
      <c r="AD77" s="356" t="b">
        <f t="shared" si="96"/>
        <v>1</v>
      </c>
      <c r="AE77" s="356" t="b">
        <f t="shared" si="97"/>
        <v>1</v>
      </c>
      <c r="AF77" s="356" t="b">
        <f t="shared" si="98"/>
        <v>1</v>
      </c>
      <c r="AG77" s="356" t="b">
        <f t="shared" si="99"/>
        <v>1</v>
      </c>
      <c r="AH77" s="356" t="b">
        <f t="shared" si="100"/>
        <v>1</v>
      </c>
      <c r="AI77" s="356" t="b">
        <f t="shared" si="101"/>
        <v>1</v>
      </c>
      <c r="AJ77" s="356" t="b">
        <f t="shared" si="102"/>
        <v>1</v>
      </c>
      <c r="AK77" s="356" t="b">
        <f t="shared" si="103"/>
        <v>1</v>
      </c>
      <c r="AL77" s="895" t="str">
        <f t="shared" si="104"/>
        <v/>
      </c>
      <c r="AM77" s="896" t="str">
        <f t="shared" si="105"/>
        <v/>
      </c>
      <c r="AN77" s="896" t="str">
        <f t="shared" si="106"/>
        <v/>
      </c>
      <c r="AO77" s="896" t="str">
        <f t="shared" si="107"/>
        <v/>
      </c>
      <c r="AP77" s="896" t="str">
        <f t="shared" si="108"/>
        <v/>
      </c>
      <c r="AQ77" s="896" t="str">
        <f t="shared" si="109"/>
        <v/>
      </c>
      <c r="AR77" s="896" t="str">
        <f t="shared" si="110"/>
        <v/>
      </c>
      <c r="AS77" s="896" t="str">
        <f t="shared" si="111"/>
        <v/>
      </c>
      <c r="AT77" s="896" t="str">
        <f t="shared" si="112"/>
        <v/>
      </c>
      <c r="AU77" s="896" t="str">
        <f t="shared" si="113"/>
        <v/>
      </c>
      <c r="AV77" s="896" t="str">
        <f t="shared" si="114"/>
        <v/>
      </c>
      <c r="AW77" s="900" t="str">
        <f t="shared" si="114"/>
        <v/>
      </c>
    </row>
    <row r="78" spans="1:49">
      <c r="A78" s="880" t="str">
        <f t="shared" si="91"/>
        <v>2023/03/21</v>
      </c>
      <c r="B78" s="355" t="s">
        <v>521</v>
      </c>
      <c r="C78" s="355" t="str">
        <f t="shared" si="115"/>
        <v>phosphat                      tổng độ chua
磷化處理                      總酸度</v>
      </c>
      <c r="D78" s="355" t="str">
        <f t="shared" si="116"/>
        <v>XD-000A</v>
      </c>
      <c r="E78" s="355" t="str">
        <f t="shared" si="117"/>
        <v>Point</v>
      </c>
      <c r="F78" s="355" t="str">
        <f t="shared" si="118"/>
        <v>20~25
(22.5)</v>
      </c>
      <c r="G78" s="868">
        <f t="shared" si="73"/>
        <v>0</v>
      </c>
      <c r="H78" s="868">
        <f t="shared" si="74"/>
        <v>0</v>
      </c>
      <c r="I78" s="873" t="str">
        <f t="shared" si="75"/>
        <v>kg</v>
      </c>
      <c r="J78" s="868">
        <f t="shared" si="76"/>
        <v>0</v>
      </c>
      <c r="K78" s="868">
        <f t="shared" si="77"/>
        <v>0</v>
      </c>
      <c r="L78" s="873" t="str">
        <f t="shared" si="78"/>
        <v>kg</v>
      </c>
      <c r="M78" s="868">
        <f t="shared" si="79"/>
        <v>0</v>
      </c>
      <c r="N78" s="868">
        <f t="shared" si="80"/>
        <v>0</v>
      </c>
      <c r="O78" s="873">
        <f t="shared" si="81"/>
        <v>0</v>
      </c>
      <c r="P78" s="868">
        <f t="shared" si="82"/>
        <v>0</v>
      </c>
      <c r="Q78" s="868">
        <f t="shared" si="83"/>
        <v>0</v>
      </c>
      <c r="R78" s="873">
        <f t="shared" si="84"/>
        <v>0</v>
      </c>
      <c r="S78" s="868">
        <f t="shared" si="85"/>
        <v>0</v>
      </c>
      <c r="T78" s="861">
        <f t="shared" si="86"/>
        <v>0</v>
      </c>
      <c r="U78" s="862">
        <f t="shared" si="87"/>
        <v>0</v>
      </c>
      <c r="V78" s="868">
        <f t="shared" si="88"/>
        <v>0</v>
      </c>
      <c r="W78" s="861">
        <f t="shared" si="89"/>
        <v>0</v>
      </c>
      <c r="X78" s="862">
        <f t="shared" si="90"/>
        <v>0</v>
      </c>
      <c r="Z78" s="356" t="b">
        <f t="shared" si="92"/>
        <v>1</v>
      </c>
      <c r="AA78" s="356" t="b">
        <f t="shared" si="93"/>
        <v>1</v>
      </c>
      <c r="AB78" s="356" t="b">
        <f t="shared" si="94"/>
        <v>1</v>
      </c>
      <c r="AC78" s="356" t="b">
        <f t="shared" si="95"/>
        <v>1</v>
      </c>
      <c r="AD78" s="356" t="b">
        <f t="shared" si="96"/>
        <v>1</v>
      </c>
      <c r="AE78" s="356" t="b">
        <f t="shared" si="97"/>
        <v>1</v>
      </c>
      <c r="AF78" s="356" t="b">
        <f t="shared" si="98"/>
        <v>1</v>
      </c>
      <c r="AG78" s="356" t="b">
        <f t="shared" si="99"/>
        <v>1</v>
      </c>
      <c r="AH78" s="356" t="b">
        <f t="shared" si="100"/>
        <v>1</v>
      </c>
      <c r="AI78" s="356" t="b">
        <f t="shared" si="101"/>
        <v>1</v>
      </c>
      <c r="AJ78" s="356" t="b">
        <f t="shared" si="102"/>
        <v>1</v>
      </c>
      <c r="AK78" s="356" t="b">
        <f t="shared" si="103"/>
        <v>1</v>
      </c>
      <c r="AL78" s="895" t="str">
        <f t="shared" si="104"/>
        <v/>
      </c>
      <c r="AM78" s="896" t="str">
        <f t="shared" si="105"/>
        <v/>
      </c>
      <c r="AN78" s="896" t="str">
        <f t="shared" si="106"/>
        <v/>
      </c>
      <c r="AO78" s="896" t="str">
        <f t="shared" si="107"/>
        <v/>
      </c>
      <c r="AP78" s="896" t="str">
        <f t="shared" si="108"/>
        <v/>
      </c>
      <c r="AQ78" s="896" t="str">
        <f t="shared" si="109"/>
        <v/>
      </c>
      <c r="AR78" s="896" t="str">
        <f t="shared" si="110"/>
        <v/>
      </c>
      <c r="AS78" s="896" t="str">
        <f t="shared" si="111"/>
        <v/>
      </c>
      <c r="AT78" s="896" t="str">
        <f t="shared" si="112"/>
        <v/>
      </c>
      <c r="AU78" s="896" t="str">
        <f t="shared" si="113"/>
        <v/>
      </c>
      <c r="AV78" s="896" t="str">
        <f t="shared" si="114"/>
        <v/>
      </c>
      <c r="AW78" s="900" t="str">
        <f t="shared" si="114"/>
        <v/>
      </c>
    </row>
    <row r="79" spans="1:49">
      <c r="A79" s="880" t="str">
        <f t="shared" si="91"/>
        <v>2023/03/21</v>
      </c>
      <c r="B79" s="355" t="s">
        <v>524</v>
      </c>
      <c r="C79" s="355" t="str">
        <f t="shared" si="115"/>
        <v>phosphat                     Xúc tiến  AC
磷化處理                      促進劑</v>
      </c>
      <c r="D79" s="355" t="str">
        <f t="shared" si="116"/>
        <v>XD-000A</v>
      </c>
      <c r="E79" s="355" t="str">
        <f t="shared" si="117"/>
        <v>Point</v>
      </c>
      <c r="F79" s="355" t="str">
        <f t="shared" si="118"/>
        <v>6~9
(7.5)</v>
      </c>
      <c r="G79" s="868">
        <f t="shared" si="73"/>
        <v>0</v>
      </c>
      <c r="H79" s="868">
        <f t="shared" si="74"/>
        <v>0</v>
      </c>
      <c r="I79" s="873" t="str">
        <f t="shared" si="75"/>
        <v>kg</v>
      </c>
      <c r="J79" s="868">
        <f t="shared" si="76"/>
        <v>0</v>
      </c>
      <c r="K79" s="868">
        <f t="shared" si="77"/>
        <v>0</v>
      </c>
      <c r="L79" s="873" t="str">
        <f t="shared" si="78"/>
        <v>kg</v>
      </c>
      <c r="M79" s="868">
        <f t="shared" si="79"/>
        <v>0</v>
      </c>
      <c r="N79" s="868">
        <f t="shared" si="80"/>
        <v>0</v>
      </c>
      <c r="O79" s="873">
        <f t="shared" si="81"/>
        <v>0</v>
      </c>
      <c r="P79" s="868">
        <f t="shared" si="82"/>
        <v>0</v>
      </c>
      <c r="Q79" s="868">
        <f t="shared" si="83"/>
        <v>0</v>
      </c>
      <c r="R79" s="873">
        <f t="shared" si="84"/>
        <v>0</v>
      </c>
      <c r="S79" s="868">
        <f t="shared" si="85"/>
        <v>0</v>
      </c>
      <c r="T79" s="861">
        <f t="shared" si="86"/>
        <v>0</v>
      </c>
      <c r="U79" s="862">
        <f t="shared" si="87"/>
        <v>0</v>
      </c>
      <c r="V79" s="868">
        <f t="shared" si="88"/>
        <v>0</v>
      </c>
      <c r="W79" s="861">
        <f t="shared" si="89"/>
        <v>0</v>
      </c>
      <c r="X79" s="862">
        <f t="shared" si="90"/>
        <v>0</v>
      </c>
      <c r="Z79" s="356" t="b">
        <f t="shared" si="92"/>
        <v>1</v>
      </c>
      <c r="AA79" s="356" t="b">
        <f t="shared" si="93"/>
        <v>1</v>
      </c>
      <c r="AB79" s="356" t="b">
        <f t="shared" si="94"/>
        <v>1</v>
      </c>
      <c r="AC79" s="356" t="b">
        <f t="shared" si="95"/>
        <v>1</v>
      </c>
      <c r="AD79" s="356" t="b">
        <f t="shared" si="96"/>
        <v>1</v>
      </c>
      <c r="AE79" s="356" t="b">
        <f t="shared" si="97"/>
        <v>1</v>
      </c>
      <c r="AF79" s="356" t="b">
        <f t="shared" si="98"/>
        <v>1</v>
      </c>
      <c r="AG79" s="356" t="b">
        <f t="shared" si="99"/>
        <v>1</v>
      </c>
      <c r="AH79" s="356" t="b">
        <f t="shared" si="100"/>
        <v>1</v>
      </c>
      <c r="AI79" s="356" t="b">
        <f t="shared" si="101"/>
        <v>1</v>
      </c>
      <c r="AJ79" s="356" t="b">
        <f t="shared" si="102"/>
        <v>1</v>
      </c>
      <c r="AK79" s="356" t="b">
        <f t="shared" si="103"/>
        <v>1</v>
      </c>
      <c r="AL79" s="895" t="str">
        <f t="shared" si="104"/>
        <v/>
      </c>
      <c r="AM79" s="896" t="str">
        <f t="shared" si="105"/>
        <v/>
      </c>
      <c r="AN79" s="896" t="str">
        <f t="shared" si="106"/>
        <v/>
      </c>
      <c r="AO79" s="896" t="str">
        <f t="shared" si="107"/>
        <v/>
      </c>
      <c r="AP79" s="896" t="str">
        <f t="shared" si="108"/>
        <v/>
      </c>
      <c r="AQ79" s="896" t="str">
        <f t="shared" si="109"/>
        <v/>
      </c>
      <c r="AR79" s="896" t="str">
        <f t="shared" si="110"/>
        <v/>
      </c>
      <c r="AS79" s="896" t="str">
        <f t="shared" si="111"/>
        <v/>
      </c>
      <c r="AT79" s="896" t="str">
        <f t="shared" si="112"/>
        <v/>
      </c>
      <c r="AU79" s="896" t="str">
        <f t="shared" si="113"/>
        <v/>
      </c>
      <c r="AV79" s="896" t="str">
        <f t="shared" si="114"/>
        <v/>
      </c>
      <c r="AW79" s="900" t="str">
        <f t="shared" si="114"/>
        <v/>
      </c>
    </row>
    <row r="80" spans="1:49">
      <c r="A80" s="880" t="str">
        <f t="shared" si="91"/>
        <v>2023/03/21</v>
      </c>
      <c r="B80" s="355" t="s">
        <v>527</v>
      </c>
      <c r="C80" s="355" t="str">
        <f t="shared" si="115"/>
        <v>chất điều chỉnh (pH&gt;7)
表調</v>
      </c>
      <c r="D80" s="355" t="str">
        <f t="shared" si="116"/>
        <v>XD-000A</v>
      </c>
      <c r="E80" s="355" t="str">
        <f t="shared" si="117"/>
        <v>pH</v>
      </c>
      <c r="F80" s="355" t="str">
        <f t="shared" si="118"/>
        <v>7~10 
(&gt;7)</v>
      </c>
      <c r="G80" s="868">
        <f t="shared" si="73"/>
        <v>0</v>
      </c>
      <c r="H80" s="868">
        <f t="shared" si="74"/>
        <v>0</v>
      </c>
      <c r="I80" s="873">
        <f t="shared" si="75"/>
        <v>0</v>
      </c>
      <c r="J80" s="868">
        <f t="shared" si="76"/>
        <v>0</v>
      </c>
      <c r="K80" s="868">
        <f t="shared" si="77"/>
        <v>0</v>
      </c>
      <c r="L80" s="873">
        <f t="shared" si="78"/>
        <v>0</v>
      </c>
      <c r="M80" s="868">
        <f t="shared" si="79"/>
        <v>0</v>
      </c>
      <c r="N80" s="868">
        <f t="shared" si="80"/>
        <v>0</v>
      </c>
      <c r="O80" s="873">
        <f t="shared" si="81"/>
        <v>0</v>
      </c>
      <c r="P80" s="868">
        <f t="shared" si="82"/>
        <v>0</v>
      </c>
      <c r="Q80" s="868">
        <f t="shared" si="83"/>
        <v>0</v>
      </c>
      <c r="R80" s="873">
        <f t="shared" si="84"/>
        <v>0</v>
      </c>
      <c r="S80" s="868">
        <f t="shared" si="85"/>
        <v>0</v>
      </c>
      <c r="T80" s="861">
        <f t="shared" si="86"/>
        <v>0</v>
      </c>
      <c r="U80" s="862">
        <f t="shared" si="87"/>
        <v>0</v>
      </c>
      <c r="V80" s="868">
        <f t="shared" si="88"/>
        <v>0</v>
      </c>
      <c r="W80" s="861">
        <f t="shared" si="89"/>
        <v>0</v>
      </c>
      <c r="X80" s="862">
        <f t="shared" si="90"/>
        <v>0</v>
      </c>
      <c r="Z80" s="356" t="b">
        <f t="shared" si="92"/>
        <v>1</v>
      </c>
      <c r="AA80" s="356" t="b">
        <f t="shared" si="93"/>
        <v>1</v>
      </c>
      <c r="AB80" s="356" t="b">
        <f t="shared" si="94"/>
        <v>1</v>
      </c>
      <c r="AC80" s="356" t="b">
        <f t="shared" si="95"/>
        <v>1</v>
      </c>
      <c r="AD80" s="356" t="b">
        <f t="shared" si="96"/>
        <v>1</v>
      </c>
      <c r="AE80" s="356" t="b">
        <f t="shared" si="97"/>
        <v>1</v>
      </c>
      <c r="AF80" s="356" t="b">
        <f t="shared" si="98"/>
        <v>1</v>
      </c>
      <c r="AG80" s="356" t="b">
        <f t="shared" si="99"/>
        <v>1</v>
      </c>
      <c r="AH80" s="356" t="b">
        <f t="shared" si="100"/>
        <v>1</v>
      </c>
      <c r="AI80" s="356" t="b">
        <f t="shared" si="101"/>
        <v>1</v>
      </c>
      <c r="AJ80" s="356" t="b">
        <f t="shared" si="102"/>
        <v>1</v>
      </c>
      <c r="AK80" s="356" t="b">
        <f t="shared" si="103"/>
        <v>1</v>
      </c>
      <c r="AL80" s="895" t="str">
        <f t="shared" si="104"/>
        <v/>
      </c>
      <c r="AM80" s="896" t="str">
        <f t="shared" si="105"/>
        <v/>
      </c>
      <c r="AN80" s="896" t="str">
        <f t="shared" si="106"/>
        <v/>
      </c>
      <c r="AO80" s="896" t="str">
        <f t="shared" si="107"/>
        <v/>
      </c>
      <c r="AP80" s="896" t="str">
        <f t="shared" si="108"/>
        <v/>
      </c>
      <c r="AQ80" s="896" t="str">
        <f t="shared" si="109"/>
        <v/>
      </c>
      <c r="AR80" s="896" t="str">
        <f t="shared" si="110"/>
        <v/>
      </c>
      <c r="AS80" s="896" t="str">
        <f t="shared" si="111"/>
        <v/>
      </c>
      <c r="AT80" s="896" t="str">
        <f t="shared" si="112"/>
        <v/>
      </c>
      <c r="AU80" s="896" t="str">
        <f t="shared" si="113"/>
        <v/>
      </c>
      <c r="AV80" s="896" t="str">
        <f t="shared" si="114"/>
        <v/>
      </c>
      <c r="AW80" s="900" t="str">
        <f t="shared" si="114"/>
        <v/>
      </c>
    </row>
    <row r="81" spans="1:49">
      <c r="A81" s="880" t="str">
        <f t="shared" si="91"/>
        <v>2023/03/21</v>
      </c>
      <c r="B81" s="355" t="s">
        <v>530</v>
      </c>
      <c r="C81" s="355" t="str">
        <f t="shared" si="115"/>
        <v>ED電泳 pH 
ED Bồn sơn tĩnh điện pH   1</v>
      </c>
      <c r="D81" s="355" t="str">
        <f t="shared" si="116"/>
        <v>XD-000A</v>
      </c>
      <c r="E81" s="355" t="str">
        <f t="shared" si="117"/>
        <v>pH</v>
      </c>
      <c r="F81" s="355" t="str">
        <f t="shared" si="118"/>
        <v>5.3~6.0
(5.5)</v>
      </c>
      <c r="G81" s="868">
        <f t="shared" si="73"/>
        <v>0</v>
      </c>
      <c r="H81" s="868">
        <f t="shared" si="74"/>
        <v>0</v>
      </c>
      <c r="I81" s="873">
        <f t="shared" si="75"/>
        <v>0</v>
      </c>
      <c r="J81" s="868">
        <f t="shared" si="76"/>
        <v>0</v>
      </c>
      <c r="K81" s="868">
        <f t="shared" si="77"/>
        <v>0</v>
      </c>
      <c r="L81" s="873">
        <f t="shared" si="78"/>
        <v>0</v>
      </c>
      <c r="M81" s="868">
        <f t="shared" si="79"/>
        <v>0</v>
      </c>
      <c r="N81" s="868">
        <f t="shared" si="80"/>
        <v>0</v>
      </c>
      <c r="O81" s="873">
        <f t="shared" si="81"/>
        <v>0</v>
      </c>
      <c r="P81" s="868">
        <f t="shared" si="82"/>
        <v>0</v>
      </c>
      <c r="Q81" s="868">
        <f t="shared" si="83"/>
        <v>0</v>
      </c>
      <c r="R81" s="873">
        <f t="shared" si="84"/>
        <v>0</v>
      </c>
      <c r="S81" s="868">
        <f t="shared" si="85"/>
        <v>0</v>
      </c>
      <c r="T81" s="861">
        <f t="shared" si="86"/>
        <v>0</v>
      </c>
      <c r="U81" s="862">
        <f t="shared" si="87"/>
        <v>0</v>
      </c>
      <c r="V81" s="868">
        <f t="shared" si="88"/>
        <v>0</v>
      </c>
      <c r="W81" s="861">
        <f t="shared" si="89"/>
        <v>0</v>
      </c>
      <c r="X81" s="862">
        <f t="shared" si="90"/>
        <v>0</v>
      </c>
      <c r="Z81" s="356" t="b">
        <f t="shared" si="92"/>
        <v>1</v>
      </c>
      <c r="AA81" s="356" t="b">
        <f t="shared" si="93"/>
        <v>1</v>
      </c>
      <c r="AB81" s="356" t="b">
        <f t="shared" si="94"/>
        <v>1</v>
      </c>
      <c r="AC81" s="356" t="b">
        <f t="shared" si="95"/>
        <v>1</v>
      </c>
      <c r="AD81" s="356" t="b">
        <f t="shared" si="96"/>
        <v>1</v>
      </c>
      <c r="AE81" s="356" t="b">
        <f t="shared" si="97"/>
        <v>1</v>
      </c>
      <c r="AF81" s="356" t="b">
        <f t="shared" si="98"/>
        <v>1</v>
      </c>
      <c r="AG81" s="356" t="b">
        <f t="shared" si="99"/>
        <v>1</v>
      </c>
      <c r="AH81" s="356" t="b">
        <f t="shared" si="100"/>
        <v>1</v>
      </c>
      <c r="AI81" s="356" t="b">
        <f t="shared" si="101"/>
        <v>1</v>
      </c>
      <c r="AJ81" s="356" t="b">
        <f t="shared" si="102"/>
        <v>1</v>
      </c>
      <c r="AK81" s="356" t="b">
        <f t="shared" si="103"/>
        <v>1</v>
      </c>
      <c r="AL81" s="895" t="str">
        <f t="shared" si="104"/>
        <v/>
      </c>
      <c r="AM81" s="896" t="str">
        <f t="shared" si="105"/>
        <v/>
      </c>
      <c r="AN81" s="896" t="str">
        <f t="shared" si="106"/>
        <v/>
      </c>
      <c r="AO81" s="896" t="str">
        <f t="shared" si="107"/>
        <v/>
      </c>
      <c r="AP81" s="896" t="str">
        <f t="shared" si="108"/>
        <v/>
      </c>
      <c r="AQ81" s="896" t="str">
        <f t="shared" si="109"/>
        <v/>
      </c>
      <c r="AR81" s="896" t="str">
        <f t="shared" si="110"/>
        <v/>
      </c>
      <c r="AS81" s="896" t="str">
        <f t="shared" si="111"/>
        <v/>
      </c>
      <c r="AT81" s="896" t="str">
        <f t="shared" si="112"/>
        <v/>
      </c>
      <c r="AU81" s="896" t="str">
        <f t="shared" si="113"/>
        <v/>
      </c>
      <c r="AV81" s="896" t="str">
        <f t="shared" si="114"/>
        <v/>
      </c>
      <c r="AW81" s="900" t="str">
        <f t="shared" si="114"/>
        <v/>
      </c>
    </row>
    <row r="82" spans="1:49">
      <c r="A82" s="880" t="str">
        <f t="shared" si="91"/>
        <v>2023/03/21</v>
      </c>
      <c r="B82" s="355" t="s">
        <v>535</v>
      </c>
      <c r="C82" s="355" t="str">
        <f t="shared" si="115"/>
        <v>ED 固成份 (NV)
ED Thành phần rắn 1</v>
      </c>
      <c r="D82" s="355" t="str">
        <f t="shared" si="116"/>
        <v>XD-000A</v>
      </c>
      <c r="E82" s="355" t="str">
        <f t="shared" si="117"/>
        <v>%</v>
      </c>
      <c r="F82" s="355" t="str">
        <f t="shared" si="118"/>
        <v xml:space="preserve"> 12~18%
(15%)</v>
      </c>
      <c r="G82" s="868" t="str">
        <f t="shared" si="73"/>
        <v/>
      </c>
      <c r="H82" s="868" t="str">
        <f t="shared" si="74"/>
        <v/>
      </c>
      <c r="I82" s="873" t="str">
        <f t="shared" si="75"/>
        <v>L</v>
      </c>
      <c r="J82" s="868" t="str">
        <f t="shared" si="76"/>
        <v>\</v>
      </c>
      <c r="K82" s="868">
        <f t="shared" si="77"/>
        <v>0</v>
      </c>
      <c r="L82" s="873">
        <f t="shared" si="78"/>
        <v>0</v>
      </c>
      <c r="M82" s="868" t="str">
        <f t="shared" si="79"/>
        <v/>
      </c>
      <c r="N82" s="868">
        <f t="shared" si="80"/>
        <v>0</v>
      </c>
      <c r="O82" s="873">
        <f t="shared" si="81"/>
        <v>0</v>
      </c>
      <c r="P82" s="868">
        <f t="shared" si="82"/>
        <v>0</v>
      </c>
      <c r="Q82" s="868">
        <f t="shared" si="83"/>
        <v>0</v>
      </c>
      <c r="R82" s="873">
        <f t="shared" si="84"/>
        <v>0</v>
      </c>
      <c r="S82" s="868">
        <f t="shared" si="85"/>
        <v>0</v>
      </c>
      <c r="T82" s="861">
        <f t="shared" si="86"/>
        <v>0</v>
      </c>
      <c r="U82" s="862">
        <f t="shared" si="87"/>
        <v>0</v>
      </c>
      <c r="V82" s="868">
        <f t="shared" si="88"/>
        <v>0</v>
      </c>
      <c r="W82" s="861">
        <f t="shared" si="89"/>
        <v>0</v>
      </c>
      <c r="X82" s="862">
        <f t="shared" si="90"/>
        <v>0</v>
      </c>
      <c r="Z82" s="866" t="b">
        <f>ISNUMBER(G82)</f>
        <v>0</v>
      </c>
      <c r="AA82" s="866" t="b">
        <f t="shared" si="93"/>
        <v>0</v>
      </c>
      <c r="AB82" s="866" t="b">
        <f t="shared" si="94"/>
        <v>0</v>
      </c>
      <c r="AC82" s="866" t="b">
        <f t="shared" si="95"/>
        <v>1</v>
      </c>
      <c r="AD82" s="356" t="b">
        <f t="shared" si="96"/>
        <v>0</v>
      </c>
      <c r="AE82" s="356" t="b">
        <f t="shared" si="97"/>
        <v>1</v>
      </c>
      <c r="AF82" s="356" t="b">
        <f t="shared" si="98"/>
        <v>1</v>
      </c>
      <c r="AG82" s="356" t="b">
        <f t="shared" si="99"/>
        <v>1</v>
      </c>
      <c r="AH82" s="356" t="b">
        <f t="shared" si="100"/>
        <v>1</v>
      </c>
      <c r="AI82" s="356" t="b">
        <f t="shared" si="101"/>
        <v>1</v>
      </c>
      <c r="AJ82" s="356" t="b">
        <f t="shared" si="102"/>
        <v>1</v>
      </c>
      <c r="AK82" s="356" t="b">
        <f t="shared" si="103"/>
        <v>1</v>
      </c>
      <c r="AL82" s="895">
        <f t="shared" si="104"/>
        <v>1</v>
      </c>
      <c r="AM82" s="896">
        <f t="shared" si="105"/>
        <v>1</v>
      </c>
      <c r="AN82" s="896">
        <f t="shared" si="106"/>
        <v>1</v>
      </c>
      <c r="AO82" s="896" t="str">
        <f t="shared" si="107"/>
        <v/>
      </c>
      <c r="AP82" s="896">
        <f t="shared" si="108"/>
        <v>1</v>
      </c>
      <c r="AQ82" s="896" t="str">
        <f t="shared" si="109"/>
        <v/>
      </c>
      <c r="AR82" s="896" t="str">
        <f t="shared" si="110"/>
        <v/>
      </c>
      <c r="AS82" s="896" t="str">
        <f t="shared" si="111"/>
        <v/>
      </c>
      <c r="AT82" s="896" t="str">
        <f t="shared" si="112"/>
        <v/>
      </c>
      <c r="AU82" s="896" t="str">
        <f t="shared" si="113"/>
        <v/>
      </c>
      <c r="AV82" s="896" t="str">
        <f t="shared" si="114"/>
        <v/>
      </c>
      <c r="AW82" s="900" t="str">
        <f t="shared" si="114"/>
        <v/>
      </c>
    </row>
    <row r="83" spans="1:49">
      <c r="A83" s="880" t="str">
        <f t="shared" si="91"/>
        <v>2023/03/21</v>
      </c>
      <c r="B83" s="355" t="s">
        <v>536</v>
      </c>
      <c r="C83" s="355" t="str">
        <f t="shared" si="115"/>
        <v>ED 色料比
EDTỷ lệ màu 1</v>
      </c>
      <c r="D83" s="355" t="str">
        <f t="shared" si="116"/>
        <v>XD-000A</v>
      </c>
      <c r="E83" s="355" t="str">
        <f t="shared" si="117"/>
        <v>%</v>
      </c>
      <c r="F83" s="355" t="str">
        <f t="shared" si="118"/>
        <v>8~16%
(12%)</v>
      </c>
      <c r="G83" s="868" t="str">
        <f t="shared" si="73"/>
        <v/>
      </c>
      <c r="H83" s="868" t="str">
        <f t="shared" si="74"/>
        <v/>
      </c>
      <c r="I83" s="873" t="str">
        <f t="shared" si="75"/>
        <v>L</v>
      </c>
      <c r="J83" s="868" t="str">
        <f t="shared" si="76"/>
        <v>\</v>
      </c>
      <c r="K83" s="868">
        <f t="shared" si="77"/>
        <v>0</v>
      </c>
      <c r="L83" s="873">
        <f t="shared" si="78"/>
        <v>0</v>
      </c>
      <c r="M83" s="868" t="str">
        <f t="shared" si="79"/>
        <v/>
      </c>
      <c r="N83" s="868">
        <f t="shared" si="80"/>
        <v>0</v>
      </c>
      <c r="O83" s="873">
        <f t="shared" si="81"/>
        <v>0</v>
      </c>
      <c r="P83" s="868">
        <f t="shared" si="82"/>
        <v>0</v>
      </c>
      <c r="Q83" s="868">
        <f t="shared" si="83"/>
        <v>0</v>
      </c>
      <c r="R83" s="873">
        <f t="shared" si="84"/>
        <v>0</v>
      </c>
      <c r="S83" s="868">
        <f t="shared" si="85"/>
        <v>0</v>
      </c>
      <c r="T83" s="861">
        <f t="shared" si="86"/>
        <v>0</v>
      </c>
      <c r="U83" s="862">
        <f t="shared" si="87"/>
        <v>0</v>
      </c>
      <c r="V83" s="868">
        <f t="shared" si="88"/>
        <v>0</v>
      </c>
      <c r="W83" s="861">
        <f t="shared" si="89"/>
        <v>0</v>
      </c>
      <c r="X83" s="862">
        <f t="shared" si="90"/>
        <v>0</v>
      </c>
      <c r="Z83" s="866" t="b">
        <f t="shared" si="92"/>
        <v>0</v>
      </c>
      <c r="AA83" s="866" t="b">
        <f t="shared" si="93"/>
        <v>0</v>
      </c>
      <c r="AB83" s="866" t="b">
        <f t="shared" si="94"/>
        <v>0</v>
      </c>
      <c r="AC83" s="866" t="b">
        <f t="shared" si="95"/>
        <v>1</v>
      </c>
      <c r="AD83" s="356" t="b">
        <f t="shared" si="96"/>
        <v>0</v>
      </c>
      <c r="AE83" s="356" t="b">
        <f t="shared" si="97"/>
        <v>1</v>
      </c>
      <c r="AF83" s="356" t="b">
        <f t="shared" si="98"/>
        <v>1</v>
      </c>
      <c r="AG83" s="356" t="b">
        <f t="shared" si="99"/>
        <v>1</v>
      </c>
      <c r="AH83" s="356" t="b">
        <f t="shared" si="100"/>
        <v>1</v>
      </c>
      <c r="AI83" s="356" t="b">
        <f t="shared" si="101"/>
        <v>1</v>
      </c>
      <c r="AJ83" s="356" t="b">
        <f t="shared" si="102"/>
        <v>1</v>
      </c>
      <c r="AK83" s="356" t="b">
        <f t="shared" si="103"/>
        <v>1</v>
      </c>
      <c r="AL83" s="895">
        <f t="shared" si="104"/>
        <v>1</v>
      </c>
      <c r="AM83" s="896">
        <f t="shared" si="105"/>
        <v>1</v>
      </c>
      <c r="AN83" s="896">
        <f t="shared" si="106"/>
        <v>1</v>
      </c>
      <c r="AO83" s="896" t="str">
        <f t="shared" si="107"/>
        <v/>
      </c>
      <c r="AP83" s="896">
        <f t="shared" si="108"/>
        <v>1</v>
      </c>
      <c r="AQ83" s="896" t="str">
        <f t="shared" si="109"/>
        <v/>
      </c>
      <c r="AR83" s="896" t="str">
        <f t="shared" si="110"/>
        <v/>
      </c>
      <c r="AS83" s="896" t="str">
        <f t="shared" si="111"/>
        <v/>
      </c>
      <c r="AT83" s="896" t="str">
        <f t="shared" si="112"/>
        <v/>
      </c>
      <c r="AU83" s="896" t="str">
        <f t="shared" si="113"/>
        <v/>
      </c>
      <c r="AV83" s="896" t="str">
        <f t="shared" si="114"/>
        <v/>
      </c>
      <c r="AW83" s="900" t="str">
        <f t="shared" si="114"/>
        <v/>
      </c>
    </row>
    <row r="84" spans="1:49">
      <c r="A84" s="880" t="str">
        <f t="shared" si="91"/>
        <v>2023/03/21</v>
      </c>
      <c r="B84" s="355" t="s">
        <v>539</v>
      </c>
      <c r="C84" s="355" t="str">
        <f t="shared" si="115"/>
        <v>UF水洗1
Bồn thu hồi 1 (Thành phần rắn)</v>
      </c>
      <c r="D84" s="355" t="str">
        <f t="shared" si="116"/>
        <v>XD-000A</v>
      </c>
      <c r="E84" s="355" t="str">
        <f t="shared" si="117"/>
        <v>%</v>
      </c>
      <c r="F84" s="355" t="str">
        <f t="shared" si="118"/>
        <v>&lt;5%</v>
      </c>
      <c r="G84" s="868" t="str">
        <f t="shared" si="73"/>
        <v/>
      </c>
      <c r="H84" s="868">
        <f t="shared" si="74"/>
        <v>0</v>
      </c>
      <c r="I84" s="873">
        <f t="shared" si="75"/>
        <v>0</v>
      </c>
      <c r="J84" s="868" t="str">
        <f t="shared" si="76"/>
        <v>\</v>
      </c>
      <c r="K84" s="868">
        <f t="shared" si="77"/>
        <v>0</v>
      </c>
      <c r="L84" s="873">
        <f t="shared" si="78"/>
        <v>0</v>
      </c>
      <c r="M84" s="868" t="str">
        <f t="shared" si="79"/>
        <v/>
      </c>
      <c r="N84" s="868">
        <f t="shared" si="80"/>
        <v>0</v>
      </c>
      <c r="O84" s="873">
        <f t="shared" si="81"/>
        <v>0</v>
      </c>
      <c r="P84" s="868">
        <f t="shared" si="82"/>
        <v>0</v>
      </c>
      <c r="Q84" s="868">
        <f t="shared" si="83"/>
        <v>0</v>
      </c>
      <c r="R84" s="873">
        <f t="shared" si="84"/>
        <v>0</v>
      </c>
      <c r="S84" s="868">
        <f t="shared" si="85"/>
        <v>0</v>
      </c>
      <c r="T84" s="861">
        <f t="shared" si="86"/>
        <v>0</v>
      </c>
      <c r="U84" s="862">
        <f t="shared" si="87"/>
        <v>0</v>
      </c>
      <c r="V84" s="868">
        <f t="shared" si="88"/>
        <v>0</v>
      </c>
      <c r="W84" s="861">
        <f t="shared" si="89"/>
        <v>0</v>
      </c>
      <c r="X84" s="862">
        <f t="shared" si="90"/>
        <v>0</v>
      </c>
      <c r="Z84" s="866" t="b">
        <f t="shared" si="92"/>
        <v>0</v>
      </c>
      <c r="AA84" s="867" t="b">
        <f t="shared" si="93"/>
        <v>1</v>
      </c>
      <c r="AB84" s="866" t="b">
        <f t="shared" si="94"/>
        <v>0</v>
      </c>
      <c r="AC84" s="356" t="b">
        <f t="shared" si="95"/>
        <v>1</v>
      </c>
      <c r="AD84" s="356" t="b">
        <f t="shared" si="96"/>
        <v>0</v>
      </c>
      <c r="AE84" s="356" t="b">
        <f t="shared" si="97"/>
        <v>1</v>
      </c>
      <c r="AF84" s="356" t="b">
        <f t="shared" si="98"/>
        <v>1</v>
      </c>
      <c r="AG84" s="356" t="b">
        <f t="shared" si="99"/>
        <v>1</v>
      </c>
      <c r="AH84" s="356" t="b">
        <f t="shared" si="100"/>
        <v>1</v>
      </c>
      <c r="AI84" s="356" t="b">
        <f t="shared" si="101"/>
        <v>1</v>
      </c>
      <c r="AJ84" s="356" t="b">
        <f t="shared" si="102"/>
        <v>1</v>
      </c>
      <c r="AK84" s="356" t="b">
        <f t="shared" si="103"/>
        <v>1</v>
      </c>
      <c r="AL84" s="895">
        <f t="shared" si="104"/>
        <v>1</v>
      </c>
      <c r="AM84" s="896" t="str">
        <f t="shared" si="105"/>
        <v/>
      </c>
      <c r="AN84" s="896">
        <f t="shared" si="106"/>
        <v>1</v>
      </c>
      <c r="AO84" s="896" t="str">
        <f t="shared" si="107"/>
        <v/>
      </c>
      <c r="AP84" s="896">
        <f t="shared" si="108"/>
        <v>1</v>
      </c>
      <c r="AQ84" s="896" t="str">
        <f t="shared" si="109"/>
        <v/>
      </c>
      <c r="AR84" s="896" t="str">
        <f t="shared" si="110"/>
        <v/>
      </c>
      <c r="AS84" s="896" t="str">
        <f t="shared" si="111"/>
        <v/>
      </c>
      <c r="AT84" s="896" t="str">
        <f t="shared" si="112"/>
        <v/>
      </c>
      <c r="AU84" s="896" t="str">
        <f t="shared" si="113"/>
        <v/>
      </c>
      <c r="AV84" s="896" t="str">
        <f t="shared" si="114"/>
        <v/>
      </c>
      <c r="AW84" s="900" t="str">
        <f t="shared" si="114"/>
        <v/>
      </c>
    </row>
    <row r="85" spans="1:49">
      <c r="A85" s="880" t="str">
        <f t="shared" si="91"/>
        <v>2023/03/21</v>
      </c>
      <c r="B85" s="355" t="s">
        <v>540</v>
      </c>
      <c r="C85" s="355" t="str">
        <f t="shared" si="115"/>
        <v>UF水洗2
 Bồn thu hồi 2  (Thành phần rắn)</v>
      </c>
      <c r="D85" s="355" t="str">
        <f t="shared" si="116"/>
        <v>XD-000A</v>
      </c>
      <c r="E85" s="355" t="str">
        <f t="shared" si="117"/>
        <v>%</v>
      </c>
      <c r="F85" s="355" t="str">
        <f t="shared" si="118"/>
        <v>&lt;3%</v>
      </c>
      <c r="G85" s="868" t="str">
        <f t="shared" si="73"/>
        <v/>
      </c>
      <c r="H85" s="868">
        <f t="shared" si="74"/>
        <v>0</v>
      </c>
      <c r="I85" s="873">
        <f t="shared" si="75"/>
        <v>0</v>
      </c>
      <c r="J85" s="868" t="str">
        <f t="shared" si="76"/>
        <v>\</v>
      </c>
      <c r="K85" s="868">
        <f t="shared" si="77"/>
        <v>0</v>
      </c>
      <c r="L85" s="873">
        <f t="shared" si="78"/>
        <v>0</v>
      </c>
      <c r="M85" s="868" t="str">
        <f t="shared" si="79"/>
        <v/>
      </c>
      <c r="N85" s="868">
        <f t="shared" si="80"/>
        <v>0</v>
      </c>
      <c r="O85" s="873">
        <f t="shared" si="81"/>
        <v>0</v>
      </c>
      <c r="P85" s="868">
        <f t="shared" si="82"/>
        <v>0</v>
      </c>
      <c r="Q85" s="868">
        <f t="shared" si="83"/>
        <v>0</v>
      </c>
      <c r="R85" s="873">
        <f t="shared" si="84"/>
        <v>0</v>
      </c>
      <c r="S85" s="868">
        <f t="shared" si="85"/>
        <v>0</v>
      </c>
      <c r="T85" s="861">
        <f t="shared" si="86"/>
        <v>0</v>
      </c>
      <c r="U85" s="862">
        <f t="shared" si="87"/>
        <v>0</v>
      </c>
      <c r="V85" s="868">
        <f t="shared" si="88"/>
        <v>0</v>
      </c>
      <c r="W85" s="861">
        <f t="shared" si="89"/>
        <v>0</v>
      </c>
      <c r="X85" s="862">
        <f t="shared" si="90"/>
        <v>0</v>
      </c>
      <c r="Z85" s="866" t="b">
        <f t="shared" si="92"/>
        <v>0</v>
      </c>
      <c r="AA85" s="867" t="b">
        <f t="shared" si="93"/>
        <v>1</v>
      </c>
      <c r="AB85" s="866" t="b">
        <f t="shared" si="94"/>
        <v>0</v>
      </c>
      <c r="AC85" s="356" t="b">
        <f t="shared" si="95"/>
        <v>1</v>
      </c>
      <c r="AD85" s="356" t="b">
        <f t="shared" si="96"/>
        <v>0</v>
      </c>
      <c r="AE85" s="356" t="b">
        <f t="shared" si="97"/>
        <v>1</v>
      </c>
      <c r="AF85" s="356" t="b">
        <f t="shared" si="98"/>
        <v>1</v>
      </c>
      <c r="AG85" s="356" t="b">
        <f t="shared" si="99"/>
        <v>1</v>
      </c>
      <c r="AH85" s="356" t="b">
        <f t="shared" si="100"/>
        <v>1</v>
      </c>
      <c r="AI85" s="356" t="b">
        <f t="shared" si="101"/>
        <v>1</v>
      </c>
      <c r="AJ85" s="356" t="b">
        <f t="shared" si="102"/>
        <v>1</v>
      </c>
      <c r="AK85" s="356" t="b">
        <f t="shared" si="103"/>
        <v>1</v>
      </c>
      <c r="AL85" s="895">
        <f t="shared" si="104"/>
        <v>1</v>
      </c>
      <c r="AM85" s="896" t="str">
        <f t="shared" si="105"/>
        <v/>
      </c>
      <c r="AN85" s="896">
        <f t="shared" si="106"/>
        <v>1</v>
      </c>
      <c r="AO85" s="896" t="str">
        <f t="shared" si="107"/>
        <v/>
      </c>
      <c r="AP85" s="896">
        <f t="shared" si="108"/>
        <v>1</v>
      </c>
      <c r="AQ85" s="896" t="str">
        <f t="shared" si="109"/>
        <v/>
      </c>
      <c r="AR85" s="896" t="str">
        <f t="shared" si="110"/>
        <v/>
      </c>
      <c r="AS85" s="896" t="str">
        <f t="shared" si="111"/>
        <v/>
      </c>
      <c r="AT85" s="896" t="str">
        <f t="shared" si="112"/>
        <v/>
      </c>
      <c r="AU85" s="896" t="str">
        <f t="shared" si="113"/>
        <v/>
      </c>
      <c r="AV85" s="896" t="str">
        <f t="shared" si="114"/>
        <v/>
      </c>
      <c r="AW85" s="900" t="str">
        <f t="shared" si="114"/>
        <v/>
      </c>
    </row>
    <row r="86" spans="1:49">
      <c r="A86" s="880" t="str">
        <f t="shared" si="91"/>
        <v>2023/03/21</v>
      </c>
      <c r="B86" s="355" t="s">
        <v>562</v>
      </c>
      <c r="C86" s="355" t="str">
        <f t="shared" si="115"/>
        <v>熱脫脂 Xà bông 1</v>
      </c>
      <c r="D86" s="355" t="str">
        <f t="shared" si="116"/>
        <v>DC-000A</v>
      </c>
      <c r="E86" s="355" t="str">
        <f t="shared" si="117"/>
        <v>g/L</v>
      </c>
      <c r="F86" s="355" t="str">
        <f t="shared" si="118"/>
        <v>20~30
(25±3)</v>
      </c>
      <c r="G86" s="868">
        <f t="shared" si="73"/>
        <v>0</v>
      </c>
      <c r="H86" s="868">
        <f t="shared" si="74"/>
        <v>0</v>
      </c>
      <c r="I86" s="873" t="str">
        <f t="shared" si="75"/>
        <v>kg</v>
      </c>
      <c r="J86" s="868">
        <f t="shared" si="76"/>
        <v>0</v>
      </c>
      <c r="K86" s="868">
        <f t="shared" si="77"/>
        <v>0</v>
      </c>
      <c r="L86" s="873" t="str">
        <f t="shared" si="78"/>
        <v>kg</v>
      </c>
      <c r="M86" s="868">
        <f t="shared" si="79"/>
        <v>0</v>
      </c>
      <c r="N86" s="868" t="str">
        <f t="shared" si="80"/>
        <v>D:\2. Data hoa nghiem\1. PP HÓA NGHIỆM CÁC BỒN-XLBM\XB-ML.pdf</v>
      </c>
      <c r="O86" s="873">
        <f t="shared" si="81"/>
        <v>0</v>
      </c>
      <c r="P86" s="868">
        <f t="shared" si="82"/>
        <v>0</v>
      </c>
      <c r="Q86" s="868">
        <f t="shared" si="83"/>
        <v>0</v>
      </c>
      <c r="R86" s="873">
        <f t="shared" si="84"/>
        <v>0</v>
      </c>
      <c r="S86" s="868">
        <f t="shared" si="85"/>
        <v>0</v>
      </c>
      <c r="T86" s="861">
        <f t="shared" si="86"/>
        <v>0</v>
      </c>
      <c r="U86" s="862">
        <f t="shared" si="87"/>
        <v>0</v>
      </c>
      <c r="V86" s="868">
        <f t="shared" si="88"/>
        <v>0</v>
      </c>
      <c r="W86" s="861">
        <f t="shared" si="89"/>
        <v>0</v>
      </c>
      <c r="X86" s="862">
        <f t="shared" si="90"/>
        <v>0</v>
      </c>
      <c r="Z86" s="356" t="b">
        <f t="shared" si="92"/>
        <v>1</v>
      </c>
      <c r="AA86" s="356" t="b">
        <f t="shared" si="93"/>
        <v>1</v>
      </c>
      <c r="AB86" s="356" t="b">
        <f t="shared" si="94"/>
        <v>1</v>
      </c>
      <c r="AC86" s="356" t="b">
        <f t="shared" si="95"/>
        <v>1</v>
      </c>
      <c r="AD86" s="356" t="b">
        <f t="shared" si="96"/>
        <v>1</v>
      </c>
      <c r="AE86" s="356" t="b">
        <f t="shared" si="97"/>
        <v>0</v>
      </c>
      <c r="AF86" s="356" t="b">
        <f t="shared" si="98"/>
        <v>1</v>
      </c>
      <c r="AG86" s="356" t="b">
        <f t="shared" si="99"/>
        <v>1</v>
      </c>
      <c r="AH86" s="356" t="b">
        <f t="shared" si="100"/>
        <v>1</v>
      </c>
      <c r="AI86" s="356" t="b">
        <f t="shared" si="101"/>
        <v>1</v>
      </c>
      <c r="AJ86" s="356" t="b">
        <f t="shared" si="102"/>
        <v>1</v>
      </c>
      <c r="AK86" s="356" t="b">
        <f t="shared" si="103"/>
        <v>1</v>
      </c>
      <c r="AL86" s="895" t="str">
        <f t="shared" si="104"/>
        <v/>
      </c>
      <c r="AM86" s="896" t="str">
        <f t="shared" si="105"/>
        <v/>
      </c>
      <c r="AN86" s="896" t="str">
        <f t="shared" si="106"/>
        <v/>
      </c>
      <c r="AO86" s="896" t="str">
        <f t="shared" si="107"/>
        <v/>
      </c>
      <c r="AP86" s="896" t="str">
        <f t="shared" si="108"/>
        <v/>
      </c>
      <c r="AQ86" s="896">
        <f t="shared" si="109"/>
        <v>1</v>
      </c>
      <c r="AR86" s="896" t="str">
        <f t="shared" si="110"/>
        <v/>
      </c>
      <c r="AS86" s="896" t="str">
        <f t="shared" si="111"/>
        <v/>
      </c>
      <c r="AT86" s="896" t="str">
        <f t="shared" si="112"/>
        <v/>
      </c>
      <c r="AU86" s="896" t="str">
        <f t="shared" si="113"/>
        <v/>
      </c>
      <c r="AV86" s="896" t="str">
        <f t="shared" si="114"/>
        <v/>
      </c>
      <c r="AW86" s="900" t="str">
        <f t="shared" si="114"/>
        <v/>
      </c>
    </row>
    <row r="87" spans="1:49">
      <c r="A87" s="880" t="str">
        <f t="shared" si="91"/>
        <v>2023/03/21</v>
      </c>
      <c r="B87" s="355" t="s">
        <v>566</v>
      </c>
      <c r="C87" s="355" t="str">
        <f t="shared" si="115"/>
        <v>熱脫脂Xà bôngg 2</v>
      </c>
      <c r="D87" s="355" t="str">
        <f t="shared" si="116"/>
        <v>DC-000A</v>
      </c>
      <c r="E87" s="355" t="str">
        <f t="shared" si="117"/>
        <v>g/L</v>
      </c>
      <c r="F87" s="355" t="str">
        <f t="shared" si="118"/>
        <v>20~30
(25±3)</v>
      </c>
      <c r="G87" s="868">
        <f t="shared" si="73"/>
        <v>0</v>
      </c>
      <c r="H87" s="868">
        <f t="shared" si="74"/>
        <v>0</v>
      </c>
      <c r="I87" s="873" t="str">
        <f t="shared" si="75"/>
        <v>kg</v>
      </c>
      <c r="J87" s="868">
        <f t="shared" si="76"/>
        <v>0</v>
      </c>
      <c r="K87" s="868">
        <f t="shared" si="77"/>
        <v>0</v>
      </c>
      <c r="L87" s="873" t="str">
        <f t="shared" si="78"/>
        <v>kg</v>
      </c>
      <c r="M87" s="868">
        <f t="shared" si="79"/>
        <v>0</v>
      </c>
      <c r="N87" s="868">
        <f t="shared" si="80"/>
        <v>0</v>
      </c>
      <c r="O87" s="873">
        <f t="shared" si="81"/>
        <v>0</v>
      </c>
      <c r="P87" s="868">
        <f t="shared" si="82"/>
        <v>0</v>
      </c>
      <c r="Q87" s="868">
        <f t="shared" si="83"/>
        <v>0</v>
      </c>
      <c r="R87" s="873">
        <f t="shared" si="84"/>
        <v>0</v>
      </c>
      <c r="S87" s="868">
        <f t="shared" si="85"/>
        <v>0</v>
      </c>
      <c r="T87" s="861">
        <f t="shared" si="86"/>
        <v>0</v>
      </c>
      <c r="U87" s="862">
        <f t="shared" si="87"/>
        <v>0</v>
      </c>
      <c r="V87" s="868">
        <f t="shared" si="88"/>
        <v>0</v>
      </c>
      <c r="W87" s="861">
        <f t="shared" si="89"/>
        <v>0</v>
      </c>
      <c r="X87" s="862">
        <f t="shared" si="90"/>
        <v>0</v>
      </c>
      <c r="Z87" s="356" t="b">
        <f t="shared" si="92"/>
        <v>1</v>
      </c>
      <c r="AA87" s="356" t="b">
        <f t="shared" si="93"/>
        <v>1</v>
      </c>
      <c r="AB87" s="356" t="b">
        <f t="shared" si="94"/>
        <v>1</v>
      </c>
      <c r="AC87" s="356" t="b">
        <f t="shared" si="95"/>
        <v>1</v>
      </c>
      <c r="AD87" s="356" t="b">
        <f t="shared" si="96"/>
        <v>1</v>
      </c>
      <c r="AE87" s="356" t="b">
        <f t="shared" si="97"/>
        <v>1</v>
      </c>
      <c r="AF87" s="356" t="b">
        <f t="shared" si="98"/>
        <v>1</v>
      </c>
      <c r="AG87" s="356" t="b">
        <f t="shared" si="99"/>
        <v>1</v>
      </c>
      <c r="AH87" s="356" t="b">
        <f t="shared" si="100"/>
        <v>1</v>
      </c>
      <c r="AI87" s="356" t="b">
        <f t="shared" si="101"/>
        <v>1</v>
      </c>
      <c r="AJ87" s="356" t="b">
        <f t="shared" si="102"/>
        <v>1</v>
      </c>
      <c r="AK87" s="356" t="b">
        <f t="shared" si="103"/>
        <v>1</v>
      </c>
      <c r="AL87" s="895" t="str">
        <f t="shared" si="104"/>
        <v/>
      </c>
      <c r="AM87" s="896" t="str">
        <f t="shared" si="105"/>
        <v/>
      </c>
      <c r="AN87" s="896" t="str">
        <f t="shared" si="106"/>
        <v/>
      </c>
      <c r="AO87" s="896" t="str">
        <f t="shared" si="107"/>
        <v/>
      </c>
      <c r="AP87" s="896" t="str">
        <f t="shared" si="108"/>
        <v/>
      </c>
      <c r="AQ87" s="896" t="str">
        <f t="shared" si="109"/>
        <v/>
      </c>
      <c r="AR87" s="896" t="str">
        <f t="shared" si="110"/>
        <v/>
      </c>
      <c r="AS87" s="896" t="str">
        <f t="shared" si="111"/>
        <v/>
      </c>
      <c r="AT87" s="896" t="str">
        <f t="shared" si="112"/>
        <v/>
      </c>
      <c r="AU87" s="896" t="str">
        <f t="shared" si="113"/>
        <v/>
      </c>
      <c r="AV87" s="896" t="str">
        <f t="shared" si="114"/>
        <v/>
      </c>
      <c r="AW87" s="900" t="str">
        <f t="shared" si="114"/>
        <v/>
      </c>
    </row>
    <row r="88" spans="1:49">
      <c r="A88" s="880" t="str">
        <f t="shared" si="91"/>
        <v>2023/03/21</v>
      </c>
      <c r="B88" s="355" t="s">
        <v>568</v>
      </c>
      <c r="C88" s="355" t="str">
        <f t="shared" si="115"/>
        <v>HNO3   中和</v>
      </c>
      <c r="D88" s="355" t="str">
        <f t="shared" si="116"/>
        <v>DC-000A</v>
      </c>
      <c r="E88" s="355" t="str">
        <f t="shared" si="117"/>
        <v>ml/L</v>
      </c>
      <c r="F88" s="355" t="str">
        <f t="shared" si="118"/>
        <v>210~290
(250±25)</v>
      </c>
      <c r="G88" s="868">
        <f t="shared" si="73"/>
        <v>0</v>
      </c>
      <c r="H88" s="868">
        <f t="shared" si="74"/>
        <v>0</v>
      </c>
      <c r="I88" s="873" t="str">
        <f t="shared" si="75"/>
        <v>L</v>
      </c>
      <c r="J88" s="868">
        <f t="shared" si="76"/>
        <v>0</v>
      </c>
      <c r="K88" s="868">
        <f t="shared" si="77"/>
        <v>0</v>
      </c>
      <c r="L88" s="873" t="str">
        <f t="shared" si="78"/>
        <v>L</v>
      </c>
      <c r="M88" s="868">
        <f t="shared" si="79"/>
        <v>0</v>
      </c>
      <c r="N88" s="868" t="str">
        <f t="shared" si="80"/>
        <v>D:\2. Data hoa nghiem\1. PP HÓA NGHIỆM CÁC BỒN-XLBM\HNO3-ML.pdf</v>
      </c>
      <c r="O88" s="873">
        <f t="shared" si="81"/>
        <v>0</v>
      </c>
      <c r="P88" s="868">
        <f t="shared" si="82"/>
        <v>0</v>
      </c>
      <c r="Q88" s="868">
        <f t="shared" si="83"/>
        <v>0</v>
      </c>
      <c r="R88" s="873">
        <f t="shared" si="84"/>
        <v>0</v>
      </c>
      <c r="S88" s="868">
        <f t="shared" si="85"/>
        <v>0</v>
      </c>
      <c r="T88" s="861">
        <f t="shared" si="86"/>
        <v>0</v>
      </c>
      <c r="U88" s="862">
        <f t="shared" si="87"/>
        <v>0</v>
      </c>
      <c r="V88" s="868">
        <f t="shared" si="88"/>
        <v>0</v>
      </c>
      <c r="W88" s="861">
        <f t="shared" si="89"/>
        <v>0</v>
      </c>
      <c r="X88" s="862">
        <f t="shared" si="90"/>
        <v>0</v>
      </c>
      <c r="Z88" s="356" t="b">
        <f t="shared" si="92"/>
        <v>1</v>
      </c>
      <c r="AA88" s="356" t="b">
        <f t="shared" si="93"/>
        <v>1</v>
      </c>
      <c r="AB88" s="356" t="b">
        <f t="shared" si="94"/>
        <v>1</v>
      </c>
      <c r="AC88" s="356" t="b">
        <f t="shared" si="95"/>
        <v>1</v>
      </c>
      <c r="AD88" s="356" t="b">
        <f t="shared" si="96"/>
        <v>1</v>
      </c>
      <c r="AE88" s="356" t="b">
        <f t="shared" si="97"/>
        <v>0</v>
      </c>
      <c r="AF88" s="356" t="b">
        <f t="shared" si="98"/>
        <v>1</v>
      </c>
      <c r="AG88" s="356" t="b">
        <f t="shared" si="99"/>
        <v>1</v>
      </c>
      <c r="AH88" s="356" t="b">
        <f t="shared" si="100"/>
        <v>1</v>
      </c>
      <c r="AI88" s="356" t="b">
        <f t="shared" si="101"/>
        <v>1</v>
      </c>
      <c r="AJ88" s="356" t="b">
        <f t="shared" si="102"/>
        <v>1</v>
      </c>
      <c r="AK88" s="356" t="b">
        <f t="shared" si="103"/>
        <v>1</v>
      </c>
      <c r="AL88" s="895" t="str">
        <f t="shared" si="104"/>
        <v/>
      </c>
      <c r="AM88" s="896" t="str">
        <f t="shared" si="105"/>
        <v/>
      </c>
      <c r="AN88" s="896" t="str">
        <f t="shared" si="106"/>
        <v/>
      </c>
      <c r="AO88" s="896" t="str">
        <f t="shared" si="107"/>
        <v/>
      </c>
      <c r="AP88" s="896" t="str">
        <f t="shared" si="108"/>
        <v/>
      </c>
      <c r="AQ88" s="896">
        <f t="shared" si="109"/>
        <v>1</v>
      </c>
      <c r="AR88" s="896" t="str">
        <f t="shared" si="110"/>
        <v/>
      </c>
      <c r="AS88" s="896" t="str">
        <f t="shared" si="111"/>
        <v/>
      </c>
      <c r="AT88" s="896" t="str">
        <f t="shared" si="112"/>
        <v/>
      </c>
      <c r="AU88" s="896" t="str">
        <f t="shared" si="113"/>
        <v/>
      </c>
      <c r="AV88" s="896" t="str">
        <f t="shared" si="114"/>
        <v/>
      </c>
      <c r="AW88" s="900" t="str">
        <f t="shared" si="114"/>
        <v/>
      </c>
    </row>
    <row r="89" spans="1:49">
      <c r="A89" s="880" t="str">
        <f t="shared" si="91"/>
        <v>2023/03/21</v>
      </c>
      <c r="B89" s="355" t="s">
        <v>571</v>
      </c>
      <c r="C89" s="355" t="str">
        <f t="shared" si="115"/>
        <v>陽極處理槽  dương cực  H2SO4 (18)</v>
      </c>
      <c r="D89" s="355" t="str">
        <f t="shared" si="116"/>
        <v>DC-000A</v>
      </c>
      <c r="E89" s="355" t="str">
        <f t="shared" si="117"/>
        <v>g/L</v>
      </c>
      <c r="F89" s="355" t="str">
        <f t="shared" si="118"/>
        <v>120~150
(130±10)</v>
      </c>
      <c r="G89" s="868">
        <f t="shared" si="73"/>
        <v>0</v>
      </c>
      <c r="H89" s="868">
        <f t="shared" si="74"/>
        <v>0</v>
      </c>
      <c r="I89" s="873" t="str">
        <f t="shared" si="75"/>
        <v>kg</v>
      </c>
      <c r="J89" s="868">
        <f t="shared" si="76"/>
        <v>0</v>
      </c>
      <c r="K89" s="868">
        <f t="shared" si="77"/>
        <v>0</v>
      </c>
      <c r="L89" s="873" t="str">
        <f t="shared" si="78"/>
        <v>kg</v>
      </c>
      <c r="M89" s="868">
        <f t="shared" si="79"/>
        <v>0</v>
      </c>
      <c r="N89" s="868" t="str">
        <f t="shared" si="80"/>
        <v>D:\2. Data hoa nghiem\1. PP HÓA NGHIỆM CÁC BỒN-XLBM\H2SO4-ML.pdf</v>
      </c>
      <c r="O89" s="873">
        <f t="shared" si="81"/>
        <v>0</v>
      </c>
      <c r="P89" s="868">
        <f t="shared" si="82"/>
        <v>0</v>
      </c>
      <c r="Q89" s="868">
        <f t="shared" si="83"/>
        <v>0</v>
      </c>
      <c r="R89" s="873">
        <f t="shared" si="84"/>
        <v>0</v>
      </c>
      <c r="S89" s="868">
        <f t="shared" si="85"/>
        <v>0</v>
      </c>
      <c r="T89" s="861">
        <f t="shared" si="86"/>
        <v>0</v>
      </c>
      <c r="U89" s="862">
        <f t="shared" si="87"/>
        <v>0</v>
      </c>
      <c r="V89" s="868">
        <f t="shared" si="88"/>
        <v>0</v>
      </c>
      <c r="W89" s="861">
        <f t="shared" si="89"/>
        <v>0</v>
      </c>
      <c r="X89" s="862">
        <f t="shared" si="90"/>
        <v>0</v>
      </c>
      <c r="Z89" s="356" t="b">
        <f t="shared" si="92"/>
        <v>1</v>
      </c>
      <c r="AA89" s="356" t="b">
        <f t="shared" si="93"/>
        <v>1</v>
      </c>
      <c r="AB89" s="356" t="b">
        <f t="shared" si="94"/>
        <v>1</v>
      </c>
      <c r="AC89" s="356" t="b">
        <f t="shared" si="95"/>
        <v>1</v>
      </c>
      <c r="AD89" s="356" t="b">
        <f t="shared" si="96"/>
        <v>1</v>
      </c>
      <c r="AE89" s="356" t="b">
        <f t="shared" si="97"/>
        <v>0</v>
      </c>
      <c r="AF89" s="356" t="b">
        <f t="shared" si="98"/>
        <v>1</v>
      </c>
      <c r="AG89" s="356" t="b">
        <f t="shared" si="99"/>
        <v>1</v>
      </c>
      <c r="AH89" s="356" t="b">
        <f t="shared" si="100"/>
        <v>1</v>
      </c>
      <c r="AI89" s="356" t="b">
        <f t="shared" si="101"/>
        <v>1</v>
      </c>
      <c r="AJ89" s="356" t="b">
        <f t="shared" si="102"/>
        <v>1</v>
      </c>
      <c r="AK89" s="356" t="b">
        <f t="shared" si="103"/>
        <v>1</v>
      </c>
      <c r="AL89" s="895" t="str">
        <f t="shared" si="104"/>
        <v/>
      </c>
      <c r="AM89" s="896" t="str">
        <f t="shared" si="105"/>
        <v/>
      </c>
      <c r="AN89" s="896" t="str">
        <f t="shared" si="106"/>
        <v/>
      </c>
      <c r="AO89" s="896" t="str">
        <f t="shared" si="107"/>
        <v/>
      </c>
      <c r="AP89" s="896" t="str">
        <f t="shared" si="108"/>
        <v/>
      </c>
      <c r="AQ89" s="896">
        <f t="shared" si="109"/>
        <v>1</v>
      </c>
      <c r="AR89" s="896" t="str">
        <f t="shared" si="110"/>
        <v/>
      </c>
      <c r="AS89" s="896" t="str">
        <f t="shared" si="111"/>
        <v/>
      </c>
      <c r="AT89" s="896" t="str">
        <f t="shared" si="112"/>
        <v/>
      </c>
      <c r="AU89" s="896" t="str">
        <f t="shared" si="113"/>
        <v/>
      </c>
      <c r="AV89" s="896" t="str">
        <f t="shared" si="114"/>
        <v/>
      </c>
      <c r="AW89" s="900" t="str">
        <f t="shared" si="114"/>
        <v/>
      </c>
    </row>
    <row r="90" spans="1:49">
      <c r="A90" s="880" t="str">
        <f t="shared" si="91"/>
        <v>2023/03/21</v>
      </c>
      <c r="B90" s="355" t="s">
        <v>573</v>
      </c>
      <c r="C90" s="355" t="str">
        <f t="shared" si="115"/>
        <v>陽極處理槽 dương cực Al3+ (18)</v>
      </c>
      <c r="D90" s="355" t="str">
        <f t="shared" si="116"/>
        <v>DC-000A</v>
      </c>
      <c r="E90" s="355" t="str">
        <f t="shared" si="117"/>
        <v>g/L</v>
      </c>
      <c r="F90" s="355" t="str">
        <f t="shared" si="118"/>
        <v>1~5
(3±1.5)</v>
      </c>
      <c r="G90" s="868">
        <f t="shared" si="73"/>
        <v>0</v>
      </c>
      <c r="H90" s="868">
        <f t="shared" si="74"/>
        <v>0</v>
      </c>
      <c r="I90" s="873" t="str">
        <f t="shared" si="75"/>
        <v>kg</v>
      </c>
      <c r="J90" s="868">
        <f t="shared" si="76"/>
        <v>0</v>
      </c>
      <c r="K90" s="868">
        <f t="shared" si="77"/>
        <v>0</v>
      </c>
      <c r="L90" s="873" t="str">
        <f t="shared" si="78"/>
        <v>kg</v>
      </c>
      <c r="M90" s="868">
        <f t="shared" si="79"/>
        <v>0</v>
      </c>
      <c r="N90" s="868" t="str">
        <f t="shared" si="80"/>
        <v>D:\2. Data hoa nghiem\1. PP HÓA NGHIỆM CÁC BỒN-XLBM\AL3+ML.pdf</v>
      </c>
      <c r="O90" s="873">
        <f t="shared" si="81"/>
        <v>0</v>
      </c>
      <c r="P90" s="868">
        <f t="shared" si="82"/>
        <v>0</v>
      </c>
      <c r="Q90" s="868">
        <f t="shared" si="83"/>
        <v>0</v>
      </c>
      <c r="R90" s="873">
        <f t="shared" si="84"/>
        <v>0</v>
      </c>
      <c r="S90" s="868">
        <f t="shared" si="85"/>
        <v>0</v>
      </c>
      <c r="T90" s="861">
        <f t="shared" si="86"/>
        <v>0</v>
      </c>
      <c r="U90" s="862">
        <f t="shared" si="87"/>
        <v>0</v>
      </c>
      <c r="V90" s="868">
        <f t="shared" si="88"/>
        <v>0</v>
      </c>
      <c r="W90" s="861">
        <f t="shared" si="89"/>
        <v>0</v>
      </c>
      <c r="X90" s="862">
        <f t="shared" si="90"/>
        <v>0</v>
      </c>
      <c r="Z90" s="356" t="b">
        <f t="shared" si="92"/>
        <v>1</v>
      </c>
      <c r="AA90" s="356" t="b">
        <f t="shared" si="93"/>
        <v>1</v>
      </c>
      <c r="AB90" s="356" t="b">
        <f t="shared" si="94"/>
        <v>1</v>
      </c>
      <c r="AC90" s="356" t="b">
        <f t="shared" si="95"/>
        <v>1</v>
      </c>
      <c r="AD90" s="356" t="b">
        <f t="shared" si="96"/>
        <v>1</v>
      </c>
      <c r="AE90" s="356" t="b">
        <f t="shared" si="97"/>
        <v>0</v>
      </c>
      <c r="AF90" s="356" t="b">
        <f t="shared" si="98"/>
        <v>1</v>
      </c>
      <c r="AG90" s="356" t="b">
        <f t="shared" si="99"/>
        <v>1</v>
      </c>
      <c r="AH90" s="356" t="b">
        <f t="shared" si="100"/>
        <v>1</v>
      </c>
      <c r="AI90" s="356" t="b">
        <f t="shared" si="101"/>
        <v>1</v>
      </c>
      <c r="AJ90" s="356" t="b">
        <f t="shared" si="102"/>
        <v>1</v>
      </c>
      <c r="AK90" s="356" t="b">
        <f t="shared" si="103"/>
        <v>1</v>
      </c>
      <c r="AL90" s="895" t="str">
        <f t="shared" si="104"/>
        <v/>
      </c>
      <c r="AM90" s="896" t="str">
        <f t="shared" si="105"/>
        <v/>
      </c>
      <c r="AN90" s="896" t="str">
        <f t="shared" si="106"/>
        <v/>
      </c>
      <c r="AO90" s="896" t="str">
        <f t="shared" si="107"/>
        <v/>
      </c>
      <c r="AP90" s="896" t="str">
        <f t="shared" si="108"/>
        <v/>
      </c>
      <c r="AQ90" s="896">
        <f t="shared" si="109"/>
        <v>1</v>
      </c>
      <c r="AR90" s="896" t="str">
        <f t="shared" si="110"/>
        <v/>
      </c>
      <c r="AS90" s="896" t="str">
        <f t="shared" si="111"/>
        <v/>
      </c>
      <c r="AT90" s="896" t="str">
        <f t="shared" si="112"/>
        <v/>
      </c>
      <c r="AU90" s="896" t="str">
        <f t="shared" si="113"/>
        <v/>
      </c>
      <c r="AV90" s="896" t="str">
        <f t="shared" si="114"/>
        <v/>
      </c>
      <c r="AW90" s="900" t="str">
        <f t="shared" si="114"/>
        <v/>
      </c>
    </row>
    <row r="91" spans="1:49">
      <c r="A91" s="880" t="str">
        <f t="shared" si="91"/>
        <v>2023/03/21</v>
      </c>
      <c r="B91" s="355" t="s">
        <v>575</v>
      </c>
      <c r="C91" s="355" t="str">
        <f t="shared" si="115"/>
        <v>陽極處理槽  dương cực  H2SO4 (19)</v>
      </c>
      <c r="D91" s="355" t="str">
        <f t="shared" si="116"/>
        <v>DC-000A</v>
      </c>
      <c r="E91" s="355" t="str">
        <f t="shared" si="117"/>
        <v>g/L</v>
      </c>
      <c r="F91" s="355" t="str">
        <f t="shared" si="118"/>
        <v>120~150
(130±10)</v>
      </c>
      <c r="G91" s="868">
        <f t="shared" si="73"/>
        <v>0</v>
      </c>
      <c r="H91" s="868">
        <f t="shared" si="74"/>
        <v>0</v>
      </c>
      <c r="I91" s="873" t="str">
        <f t="shared" si="75"/>
        <v>kg</v>
      </c>
      <c r="J91" s="868">
        <f t="shared" si="76"/>
        <v>0</v>
      </c>
      <c r="K91" s="868">
        <f t="shared" si="77"/>
        <v>0</v>
      </c>
      <c r="L91" s="873" t="str">
        <f t="shared" si="78"/>
        <v>kg</v>
      </c>
      <c r="M91" s="868">
        <f t="shared" si="79"/>
        <v>0</v>
      </c>
      <c r="N91" s="868">
        <f t="shared" si="80"/>
        <v>0</v>
      </c>
      <c r="O91" s="873">
        <f t="shared" si="81"/>
        <v>0</v>
      </c>
      <c r="P91" s="868">
        <f t="shared" si="82"/>
        <v>0</v>
      </c>
      <c r="Q91" s="868">
        <f t="shared" si="83"/>
        <v>0</v>
      </c>
      <c r="R91" s="873">
        <f t="shared" si="84"/>
        <v>0</v>
      </c>
      <c r="S91" s="868">
        <f t="shared" si="85"/>
        <v>0</v>
      </c>
      <c r="T91" s="861">
        <f t="shared" si="86"/>
        <v>0</v>
      </c>
      <c r="U91" s="862">
        <f t="shared" si="87"/>
        <v>0</v>
      </c>
      <c r="V91" s="868">
        <f t="shared" si="88"/>
        <v>0</v>
      </c>
      <c r="W91" s="861">
        <f t="shared" si="89"/>
        <v>0</v>
      </c>
      <c r="X91" s="862">
        <f t="shared" si="90"/>
        <v>0</v>
      </c>
      <c r="Z91" s="356" t="b">
        <f t="shared" si="92"/>
        <v>1</v>
      </c>
      <c r="AA91" s="356" t="b">
        <f t="shared" si="93"/>
        <v>1</v>
      </c>
      <c r="AB91" s="356" t="b">
        <f t="shared" si="94"/>
        <v>1</v>
      </c>
      <c r="AC91" s="356" t="b">
        <f t="shared" si="95"/>
        <v>1</v>
      </c>
      <c r="AD91" s="356" t="b">
        <f t="shared" si="96"/>
        <v>1</v>
      </c>
      <c r="AE91" s="356" t="b">
        <f t="shared" si="97"/>
        <v>1</v>
      </c>
      <c r="AF91" s="356" t="b">
        <f t="shared" si="98"/>
        <v>1</v>
      </c>
      <c r="AG91" s="356" t="b">
        <f t="shared" si="99"/>
        <v>1</v>
      </c>
      <c r="AH91" s="356" t="b">
        <f t="shared" si="100"/>
        <v>1</v>
      </c>
      <c r="AI91" s="356" t="b">
        <f t="shared" si="101"/>
        <v>1</v>
      </c>
      <c r="AJ91" s="356" t="b">
        <f t="shared" si="102"/>
        <v>1</v>
      </c>
      <c r="AK91" s="356" t="b">
        <f t="shared" si="103"/>
        <v>1</v>
      </c>
      <c r="AL91" s="895" t="str">
        <f t="shared" si="104"/>
        <v/>
      </c>
      <c r="AM91" s="896" t="str">
        <f t="shared" si="105"/>
        <v/>
      </c>
      <c r="AN91" s="896" t="str">
        <f t="shared" si="106"/>
        <v/>
      </c>
      <c r="AO91" s="896" t="str">
        <f t="shared" si="107"/>
        <v/>
      </c>
      <c r="AP91" s="896" t="str">
        <f t="shared" si="108"/>
        <v/>
      </c>
      <c r="AQ91" s="896" t="str">
        <f t="shared" si="109"/>
        <v/>
      </c>
      <c r="AR91" s="896" t="str">
        <f t="shared" si="110"/>
        <v/>
      </c>
      <c r="AS91" s="896" t="str">
        <f t="shared" si="111"/>
        <v/>
      </c>
      <c r="AT91" s="896" t="str">
        <f t="shared" si="112"/>
        <v/>
      </c>
      <c r="AU91" s="896" t="str">
        <f t="shared" si="113"/>
        <v/>
      </c>
      <c r="AV91" s="896" t="str">
        <f t="shared" si="114"/>
        <v/>
      </c>
      <c r="AW91" s="900" t="str">
        <f t="shared" si="114"/>
        <v/>
      </c>
    </row>
    <row r="92" spans="1:49">
      <c r="A92" s="880" t="str">
        <f t="shared" si="91"/>
        <v>2023/03/21</v>
      </c>
      <c r="B92" s="355" t="s">
        <v>576</v>
      </c>
      <c r="C92" s="355" t="str">
        <f t="shared" si="115"/>
        <v>陽極處理槽 dương cực Al3+ (19)</v>
      </c>
      <c r="D92" s="355" t="str">
        <f t="shared" si="116"/>
        <v>DC-000A</v>
      </c>
      <c r="E92" s="355" t="str">
        <f t="shared" si="117"/>
        <v>g/L</v>
      </c>
      <c r="F92" s="355" t="str">
        <f t="shared" si="118"/>
        <v>1~5
(3±1.5)</v>
      </c>
      <c r="G92" s="868">
        <f t="shared" si="73"/>
        <v>0</v>
      </c>
      <c r="H92" s="868">
        <f t="shared" si="74"/>
        <v>0</v>
      </c>
      <c r="I92" s="873" t="str">
        <f t="shared" si="75"/>
        <v>kg</v>
      </c>
      <c r="J92" s="868">
        <f t="shared" si="76"/>
        <v>0</v>
      </c>
      <c r="K92" s="868">
        <f t="shared" si="77"/>
        <v>0</v>
      </c>
      <c r="L92" s="873" t="str">
        <f t="shared" si="78"/>
        <v>kg</v>
      </c>
      <c r="M92" s="868">
        <f t="shared" si="79"/>
        <v>0</v>
      </c>
      <c r="N92" s="868">
        <f t="shared" si="80"/>
        <v>0</v>
      </c>
      <c r="O92" s="873">
        <f t="shared" si="81"/>
        <v>0</v>
      </c>
      <c r="P92" s="868">
        <f t="shared" si="82"/>
        <v>0</v>
      </c>
      <c r="Q92" s="868">
        <f t="shared" si="83"/>
        <v>0</v>
      </c>
      <c r="R92" s="873">
        <f t="shared" si="84"/>
        <v>0</v>
      </c>
      <c r="S92" s="868">
        <f t="shared" si="85"/>
        <v>0</v>
      </c>
      <c r="T92" s="861">
        <f t="shared" si="86"/>
        <v>0</v>
      </c>
      <c r="U92" s="862">
        <f t="shared" si="87"/>
        <v>0</v>
      </c>
      <c r="V92" s="868">
        <f t="shared" si="88"/>
        <v>0</v>
      </c>
      <c r="W92" s="861">
        <f t="shared" si="89"/>
        <v>0</v>
      </c>
      <c r="X92" s="862">
        <f t="shared" si="90"/>
        <v>0</v>
      </c>
      <c r="Z92" s="356" t="b">
        <f t="shared" si="92"/>
        <v>1</v>
      </c>
      <c r="AA92" s="356" t="b">
        <f t="shared" si="93"/>
        <v>1</v>
      </c>
      <c r="AB92" s="356" t="b">
        <f t="shared" si="94"/>
        <v>1</v>
      </c>
      <c r="AC92" s="356" t="b">
        <f t="shared" si="95"/>
        <v>1</v>
      </c>
      <c r="AD92" s="356" t="b">
        <f t="shared" si="96"/>
        <v>1</v>
      </c>
      <c r="AE92" s="356" t="b">
        <f t="shared" si="97"/>
        <v>1</v>
      </c>
      <c r="AF92" s="356" t="b">
        <f t="shared" si="98"/>
        <v>1</v>
      </c>
      <c r="AG92" s="356" t="b">
        <f t="shared" si="99"/>
        <v>1</v>
      </c>
      <c r="AH92" s="356" t="b">
        <f t="shared" si="100"/>
        <v>1</v>
      </c>
      <c r="AI92" s="356" t="b">
        <f t="shared" si="101"/>
        <v>1</v>
      </c>
      <c r="AJ92" s="356" t="b">
        <f t="shared" si="102"/>
        <v>1</v>
      </c>
      <c r="AK92" s="356" t="b">
        <f t="shared" si="103"/>
        <v>1</v>
      </c>
      <c r="AL92" s="895" t="str">
        <f t="shared" si="104"/>
        <v/>
      </c>
      <c r="AM92" s="896" t="str">
        <f t="shared" si="105"/>
        <v/>
      </c>
      <c r="AN92" s="896" t="str">
        <f t="shared" si="106"/>
        <v/>
      </c>
      <c r="AO92" s="896" t="str">
        <f t="shared" si="107"/>
        <v/>
      </c>
      <c r="AP92" s="896" t="str">
        <f t="shared" si="108"/>
        <v/>
      </c>
      <c r="AQ92" s="896" t="str">
        <f t="shared" si="109"/>
        <v/>
      </c>
      <c r="AR92" s="896" t="str">
        <f t="shared" si="110"/>
        <v/>
      </c>
      <c r="AS92" s="896" t="str">
        <f t="shared" si="111"/>
        <v/>
      </c>
      <c r="AT92" s="896" t="str">
        <f t="shared" si="112"/>
        <v/>
      </c>
      <c r="AU92" s="896" t="str">
        <f t="shared" si="113"/>
        <v/>
      </c>
      <c r="AV92" s="896" t="str">
        <f t="shared" si="114"/>
        <v/>
      </c>
      <c r="AW92" s="900" t="str">
        <f t="shared" si="114"/>
        <v/>
      </c>
    </row>
    <row r="93" spans="1:49">
      <c r="A93" s="880" t="str">
        <f t="shared" si="91"/>
        <v>2023/03/21</v>
      </c>
      <c r="B93" s="355" t="s">
        <v>577</v>
      </c>
      <c r="C93" s="355" t="str">
        <f t="shared" si="115"/>
        <v>陽極處理槽  dương cực  H2SO4 (20)</v>
      </c>
      <c r="D93" s="355" t="str">
        <f t="shared" si="116"/>
        <v>DC-000A</v>
      </c>
      <c r="E93" s="355" t="str">
        <f t="shared" si="117"/>
        <v>g/L</v>
      </c>
      <c r="F93" s="355" t="str">
        <f t="shared" si="118"/>
        <v>120~150
(130±10)</v>
      </c>
      <c r="G93" s="868">
        <f t="shared" si="73"/>
        <v>0</v>
      </c>
      <c r="H93" s="868">
        <f t="shared" si="74"/>
        <v>0</v>
      </c>
      <c r="I93" s="873" t="str">
        <f t="shared" si="75"/>
        <v>kg</v>
      </c>
      <c r="J93" s="868">
        <f t="shared" si="76"/>
        <v>0</v>
      </c>
      <c r="K93" s="868">
        <f t="shared" si="77"/>
        <v>0</v>
      </c>
      <c r="L93" s="873" t="str">
        <f t="shared" si="78"/>
        <v>kg</v>
      </c>
      <c r="M93" s="868">
        <f t="shared" si="79"/>
        <v>0</v>
      </c>
      <c r="N93" s="868">
        <f t="shared" si="80"/>
        <v>0</v>
      </c>
      <c r="O93" s="873">
        <f t="shared" si="81"/>
        <v>0</v>
      </c>
      <c r="P93" s="868">
        <f t="shared" si="82"/>
        <v>0</v>
      </c>
      <c r="Q93" s="868">
        <f t="shared" si="83"/>
        <v>0</v>
      </c>
      <c r="R93" s="873">
        <f t="shared" si="84"/>
        <v>0</v>
      </c>
      <c r="S93" s="868">
        <f t="shared" si="85"/>
        <v>0</v>
      </c>
      <c r="T93" s="861">
        <f t="shared" si="86"/>
        <v>0</v>
      </c>
      <c r="U93" s="862">
        <f t="shared" si="87"/>
        <v>0</v>
      </c>
      <c r="V93" s="868">
        <f t="shared" si="88"/>
        <v>0</v>
      </c>
      <c r="W93" s="861">
        <f t="shared" si="89"/>
        <v>0</v>
      </c>
      <c r="X93" s="862">
        <f t="shared" si="90"/>
        <v>0</v>
      </c>
      <c r="Z93" s="356" t="b">
        <f t="shared" si="92"/>
        <v>1</v>
      </c>
      <c r="AA93" s="356" t="b">
        <f t="shared" si="93"/>
        <v>1</v>
      </c>
      <c r="AB93" s="356" t="b">
        <f t="shared" si="94"/>
        <v>1</v>
      </c>
      <c r="AC93" s="356" t="b">
        <f t="shared" si="95"/>
        <v>1</v>
      </c>
      <c r="AD93" s="356" t="b">
        <f t="shared" si="96"/>
        <v>1</v>
      </c>
      <c r="AE93" s="356" t="b">
        <f t="shared" si="97"/>
        <v>1</v>
      </c>
      <c r="AF93" s="356" t="b">
        <f t="shared" si="98"/>
        <v>1</v>
      </c>
      <c r="AG93" s="356" t="b">
        <f t="shared" si="99"/>
        <v>1</v>
      </c>
      <c r="AH93" s="356" t="b">
        <f t="shared" si="100"/>
        <v>1</v>
      </c>
      <c r="AI93" s="356" t="b">
        <f t="shared" si="101"/>
        <v>1</v>
      </c>
      <c r="AJ93" s="356" t="b">
        <f t="shared" si="102"/>
        <v>1</v>
      </c>
      <c r="AK93" s="356" t="b">
        <f t="shared" si="103"/>
        <v>1</v>
      </c>
      <c r="AL93" s="895" t="str">
        <f t="shared" si="104"/>
        <v/>
      </c>
      <c r="AM93" s="896" t="str">
        <f t="shared" si="105"/>
        <v/>
      </c>
      <c r="AN93" s="896" t="str">
        <f t="shared" si="106"/>
        <v/>
      </c>
      <c r="AO93" s="896" t="str">
        <f t="shared" si="107"/>
        <v/>
      </c>
      <c r="AP93" s="896" t="str">
        <f t="shared" si="108"/>
        <v/>
      </c>
      <c r="AQ93" s="896" t="str">
        <f t="shared" si="109"/>
        <v/>
      </c>
      <c r="AR93" s="896" t="str">
        <f t="shared" si="110"/>
        <v/>
      </c>
      <c r="AS93" s="896" t="str">
        <f t="shared" si="111"/>
        <v/>
      </c>
      <c r="AT93" s="896" t="str">
        <f t="shared" si="112"/>
        <v/>
      </c>
      <c r="AU93" s="896" t="str">
        <f t="shared" si="113"/>
        <v/>
      </c>
      <c r="AV93" s="896" t="str">
        <f t="shared" si="114"/>
        <v/>
      </c>
      <c r="AW93" s="900" t="str">
        <f t="shared" si="114"/>
        <v/>
      </c>
    </row>
    <row r="94" spans="1:49">
      <c r="A94" s="880" t="str">
        <f t="shared" si="91"/>
        <v>2023/03/21</v>
      </c>
      <c r="B94" s="355" t="s">
        <v>578</v>
      </c>
      <c r="C94" s="355" t="str">
        <f t="shared" si="115"/>
        <v>陽極處理槽 dương cực Al3+ (20)</v>
      </c>
      <c r="D94" s="355" t="str">
        <f t="shared" si="116"/>
        <v>DC-000A</v>
      </c>
      <c r="E94" s="355" t="str">
        <f t="shared" si="117"/>
        <v>g/L</v>
      </c>
      <c r="F94" s="355" t="str">
        <f t="shared" si="118"/>
        <v>1~5
(3±1.5)</v>
      </c>
      <c r="G94" s="868">
        <f t="shared" si="73"/>
        <v>0</v>
      </c>
      <c r="H94" s="868">
        <f t="shared" si="74"/>
        <v>0</v>
      </c>
      <c r="I94" s="873" t="str">
        <f t="shared" si="75"/>
        <v>kg</v>
      </c>
      <c r="J94" s="868">
        <f t="shared" si="76"/>
        <v>0</v>
      </c>
      <c r="K94" s="868">
        <f t="shared" si="77"/>
        <v>0</v>
      </c>
      <c r="L94" s="873" t="str">
        <f t="shared" si="78"/>
        <v>kg</v>
      </c>
      <c r="M94" s="868">
        <f t="shared" si="79"/>
        <v>0</v>
      </c>
      <c r="N94" s="868">
        <f t="shared" si="80"/>
        <v>0</v>
      </c>
      <c r="O94" s="873">
        <f t="shared" si="81"/>
        <v>0</v>
      </c>
      <c r="P94" s="868">
        <f t="shared" si="82"/>
        <v>0</v>
      </c>
      <c r="Q94" s="868">
        <f t="shared" si="83"/>
        <v>0</v>
      </c>
      <c r="R94" s="873">
        <f t="shared" si="84"/>
        <v>0</v>
      </c>
      <c r="S94" s="868">
        <f t="shared" si="85"/>
        <v>0</v>
      </c>
      <c r="T94" s="861">
        <f t="shared" si="86"/>
        <v>0</v>
      </c>
      <c r="U94" s="862">
        <f t="shared" si="87"/>
        <v>0</v>
      </c>
      <c r="V94" s="868">
        <f t="shared" si="88"/>
        <v>0</v>
      </c>
      <c r="W94" s="861">
        <f t="shared" si="89"/>
        <v>0</v>
      </c>
      <c r="X94" s="862">
        <f t="shared" si="90"/>
        <v>0</v>
      </c>
      <c r="Z94" s="356" t="b">
        <f t="shared" si="92"/>
        <v>1</v>
      </c>
      <c r="AA94" s="356" t="b">
        <f t="shared" si="93"/>
        <v>1</v>
      </c>
      <c r="AB94" s="356" t="b">
        <f t="shared" si="94"/>
        <v>1</v>
      </c>
      <c r="AC94" s="356" t="b">
        <f t="shared" si="95"/>
        <v>1</v>
      </c>
      <c r="AD94" s="356" t="b">
        <f t="shared" si="96"/>
        <v>1</v>
      </c>
      <c r="AE94" s="356" t="b">
        <f t="shared" si="97"/>
        <v>1</v>
      </c>
      <c r="AF94" s="356" t="b">
        <f t="shared" si="98"/>
        <v>1</v>
      </c>
      <c r="AG94" s="356" t="b">
        <f t="shared" si="99"/>
        <v>1</v>
      </c>
      <c r="AH94" s="356" t="b">
        <f t="shared" si="100"/>
        <v>1</v>
      </c>
      <c r="AI94" s="356" t="b">
        <f t="shared" si="101"/>
        <v>1</v>
      </c>
      <c r="AJ94" s="356" t="b">
        <f t="shared" si="102"/>
        <v>1</v>
      </c>
      <c r="AK94" s="356" t="b">
        <f t="shared" si="103"/>
        <v>1</v>
      </c>
      <c r="AL94" s="895" t="str">
        <f t="shared" si="104"/>
        <v/>
      </c>
      <c r="AM94" s="896" t="str">
        <f t="shared" si="105"/>
        <v/>
      </c>
      <c r="AN94" s="896" t="str">
        <f t="shared" si="106"/>
        <v/>
      </c>
      <c r="AO94" s="896" t="str">
        <f t="shared" si="107"/>
        <v/>
      </c>
      <c r="AP94" s="896" t="str">
        <f t="shared" si="108"/>
        <v/>
      </c>
      <c r="AQ94" s="896" t="str">
        <f t="shared" si="109"/>
        <v/>
      </c>
      <c r="AR94" s="896" t="str">
        <f t="shared" si="110"/>
        <v/>
      </c>
      <c r="AS94" s="896" t="str">
        <f t="shared" si="111"/>
        <v/>
      </c>
      <c r="AT94" s="896" t="str">
        <f t="shared" si="112"/>
        <v/>
      </c>
      <c r="AU94" s="896" t="str">
        <f t="shared" si="113"/>
        <v/>
      </c>
      <c r="AV94" s="896" t="str">
        <f t="shared" si="114"/>
        <v/>
      </c>
      <c r="AW94" s="900" t="str">
        <f t="shared" si="114"/>
        <v/>
      </c>
    </row>
    <row r="95" spans="1:49">
      <c r="A95" s="880" t="str">
        <f t="shared" si="91"/>
        <v>2023/03/21</v>
      </c>
      <c r="B95" s="355" t="s">
        <v>579</v>
      </c>
      <c r="C95" s="355" t="str">
        <f t="shared" si="115"/>
        <v>封孔 Đóng lỗ  (HK-101A1)</v>
      </c>
      <c r="D95" s="355" t="str">
        <f t="shared" si="116"/>
        <v>DC-000A</v>
      </c>
      <c r="E95" s="355" t="str">
        <f t="shared" si="117"/>
        <v>g/L</v>
      </c>
      <c r="F95" s="355" t="str">
        <f t="shared" si="118"/>
        <v>8~12
(10±1)</v>
      </c>
      <c r="G95" s="868">
        <f t="shared" si="73"/>
        <v>0</v>
      </c>
      <c r="H95" s="868">
        <f t="shared" si="74"/>
        <v>0</v>
      </c>
      <c r="I95" s="873" t="str">
        <f t="shared" si="75"/>
        <v>kg</v>
      </c>
      <c r="J95" s="868">
        <f t="shared" si="76"/>
        <v>0</v>
      </c>
      <c r="K95" s="868">
        <f t="shared" si="77"/>
        <v>0</v>
      </c>
      <c r="L95" s="873" t="str">
        <f t="shared" si="78"/>
        <v>kg</v>
      </c>
      <c r="M95" s="868">
        <f t="shared" si="79"/>
        <v>0</v>
      </c>
      <c r="N95" s="868" t="str">
        <f t="shared" si="80"/>
        <v>D:\2. Data hoa nghiem\1. PP HÓA NGHIỆM CÁC BỒN-XLBM\đóng lỗ-ML.pdf</v>
      </c>
      <c r="O95" s="873">
        <f t="shared" si="81"/>
        <v>0</v>
      </c>
      <c r="P95" s="868">
        <f t="shared" si="82"/>
        <v>0</v>
      </c>
      <c r="Q95" s="868">
        <f t="shared" si="83"/>
        <v>0</v>
      </c>
      <c r="R95" s="873">
        <f t="shared" si="84"/>
        <v>0</v>
      </c>
      <c r="S95" s="868">
        <f t="shared" si="85"/>
        <v>0</v>
      </c>
      <c r="T95" s="861">
        <f t="shared" si="86"/>
        <v>0</v>
      </c>
      <c r="U95" s="862">
        <f t="shared" si="87"/>
        <v>0</v>
      </c>
      <c r="V95" s="868">
        <f t="shared" si="88"/>
        <v>0</v>
      </c>
      <c r="W95" s="861">
        <f t="shared" si="89"/>
        <v>0</v>
      </c>
      <c r="X95" s="862">
        <f t="shared" si="90"/>
        <v>0</v>
      </c>
      <c r="Z95" s="356" t="b">
        <f t="shared" si="92"/>
        <v>1</v>
      </c>
      <c r="AA95" s="356" t="b">
        <f t="shared" si="93"/>
        <v>1</v>
      </c>
      <c r="AB95" s="356" t="b">
        <f t="shared" si="94"/>
        <v>1</v>
      </c>
      <c r="AC95" s="356" t="b">
        <f t="shared" si="95"/>
        <v>1</v>
      </c>
      <c r="AD95" s="356" t="b">
        <f t="shared" si="96"/>
        <v>1</v>
      </c>
      <c r="AE95" s="356" t="b">
        <f t="shared" si="97"/>
        <v>0</v>
      </c>
      <c r="AF95" s="356" t="b">
        <f t="shared" si="98"/>
        <v>1</v>
      </c>
      <c r="AG95" s="356" t="b">
        <f t="shared" si="99"/>
        <v>1</v>
      </c>
      <c r="AH95" s="356" t="b">
        <f t="shared" si="100"/>
        <v>1</v>
      </c>
      <c r="AI95" s="356" t="b">
        <f t="shared" si="101"/>
        <v>1</v>
      </c>
      <c r="AJ95" s="356" t="b">
        <f t="shared" si="102"/>
        <v>1</v>
      </c>
      <c r="AK95" s="356" t="b">
        <f t="shared" si="103"/>
        <v>1</v>
      </c>
      <c r="AL95" s="895" t="str">
        <f t="shared" si="104"/>
        <v/>
      </c>
      <c r="AM95" s="896" t="str">
        <f t="shared" si="105"/>
        <v/>
      </c>
      <c r="AN95" s="896" t="str">
        <f t="shared" si="106"/>
        <v/>
      </c>
      <c r="AO95" s="896" t="str">
        <f t="shared" si="107"/>
        <v/>
      </c>
      <c r="AP95" s="896" t="str">
        <f t="shared" si="108"/>
        <v/>
      </c>
      <c r="AQ95" s="896">
        <f t="shared" si="109"/>
        <v>1</v>
      </c>
      <c r="AR95" s="896" t="str">
        <f t="shared" si="110"/>
        <v/>
      </c>
      <c r="AS95" s="896" t="str">
        <f t="shared" si="111"/>
        <v/>
      </c>
      <c r="AT95" s="896" t="str">
        <f t="shared" si="112"/>
        <v/>
      </c>
      <c r="AU95" s="896" t="str">
        <f t="shared" si="113"/>
        <v/>
      </c>
      <c r="AV95" s="896" t="str">
        <f t="shared" si="114"/>
        <v/>
      </c>
      <c r="AW95" s="900" t="str">
        <f t="shared" si="114"/>
        <v/>
      </c>
    </row>
    <row r="96" spans="1:49">
      <c r="A96" s="880" t="str">
        <f t="shared" si="91"/>
        <v>2023/03/21</v>
      </c>
      <c r="B96" s="355" t="s">
        <v>582</v>
      </c>
      <c r="C96" s="355" t="str">
        <f t="shared" si="115"/>
        <v>pH</v>
      </c>
      <c r="D96" s="355" t="str">
        <f t="shared" si="116"/>
        <v>DC-000A</v>
      </c>
      <c r="E96" s="355" t="str">
        <f t="shared" si="117"/>
        <v>pH</v>
      </c>
      <c r="F96" s="355" t="str">
        <f t="shared" si="118"/>
        <v>6~8
(7±0.5)</v>
      </c>
      <c r="G96" s="868">
        <f t="shared" si="73"/>
        <v>0</v>
      </c>
      <c r="H96" s="868">
        <f t="shared" si="74"/>
        <v>0</v>
      </c>
      <c r="I96" s="873">
        <f t="shared" si="75"/>
        <v>0</v>
      </c>
      <c r="J96" s="868">
        <f t="shared" si="76"/>
        <v>0</v>
      </c>
      <c r="K96" s="868">
        <f t="shared" si="77"/>
        <v>0</v>
      </c>
      <c r="L96" s="873">
        <f t="shared" si="78"/>
        <v>0</v>
      </c>
      <c r="M96" s="868">
        <f t="shared" si="79"/>
        <v>0</v>
      </c>
      <c r="N96" s="868">
        <f t="shared" si="80"/>
        <v>0</v>
      </c>
      <c r="O96" s="873">
        <f t="shared" si="81"/>
        <v>0</v>
      </c>
      <c r="P96" s="868">
        <f t="shared" si="82"/>
        <v>0</v>
      </c>
      <c r="Q96" s="868">
        <f t="shared" si="83"/>
        <v>0</v>
      </c>
      <c r="R96" s="873">
        <f t="shared" si="84"/>
        <v>0</v>
      </c>
      <c r="S96" s="868">
        <f t="shared" si="85"/>
        <v>0</v>
      </c>
      <c r="T96" s="861">
        <f t="shared" si="86"/>
        <v>0</v>
      </c>
      <c r="U96" s="862">
        <f t="shared" si="87"/>
        <v>0</v>
      </c>
      <c r="V96" s="868">
        <f t="shared" si="88"/>
        <v>0</v>
      </c>
      <c r="W96" s="861">
        <f t="shared" si="89"/>
        <v>0</v>
      </c>
      <c r="X96" s="862">
        <f t="shared" si="90"/>
        <v>0</v>
      </c>
      <c r="Z96" s="356" t="b">
        <f t="shared" si="92"/>
        <v>1</v>
      </c>
      <c r="AA96" s="356" t="b">
        <f t="shared" si="93"/>
        <v>1</v>
      </c>
      <c r="AB96" s="356" t="b">
        <f t="shared" si="94"/>
        <v>1</v>
      </c>
      <c r="AC96" s="356" t="b">
        <f t="shared" si="95"/>
        <v>1</v>
      </c>
      <c r="AD96" s="356" t="b">
        <f t="shared" si="96"/>
        <v>1</v>
      </c>
      <c r="AE96" s="356" t="b">
        <f t="shared" si="97"/>
        <v>1</v>
      </c>
      <c r="AF96" s="356" t="b">
        <f t="shared" si="98"/>
        <v>1</v>
      </c>
      <c r="AG96" s="356" t="b">
        <f t="shared" si="99"/>
        <v>1</v>
      </c>
      <c r="AH96" s="356" t="b">
        <f t="shared" si="100"/>
        <v>1</v>
      </c>
      <c r="AI96" s="356" t="b">
        <f t="shared" si="101"/>
        <v>1</v>
      </c>
      <c r="AJ96" s="356" t="b">
        <f t="shared" si="102"/>
        <v>1</v>
      </c>
      <c r="AK96" s="356" t="b">
        <f t="shared" si="103"/>
        <v>1</v>
      </c>
      <c r="AL96" s="895" t="str">
        <f t="shared" si="104"/>
        <v/>
      </c>
      <c r="AM96" s="896" t="str">
        <f t="shared" si="105"/>
        <v/>
      </c>
      <c r="AN96" s="896" t="str">
        <f t="shared" si="106"/>
        <v/>
      </c>
      <c r="AO96" s="896" t="str">
        <f t="shared" si="107"/>
        <v/>
      </c>
      <c r="AP96" s="896" t="str">
        <f t="shared" si="108"/>
        <v/>
      </c>
      <c r="AQ96" s="896" t="str">
        <f t="shared" si="109"/>
        <v/>
      </c>
      <c r="AR96" s="896" t="str">
        <f t="shared" si="110"/>
        <v/>
      </c>
      <c r="AS96" s="896" t="str">
        <f t="shared" si="111"/>
        <v/>
      </c>
      <c r="AT96" s="896" t="str">
        <f t="shared" si="112"/>
        <v/>
      </c>
      <c r="AU96" s="896" t="str">
        <f t="shared" si="113"/>
        <v/>
      </c>
      <c r="AV96" s="896" t="str">
        <f t="shared" si="114"/>
        <v/>
      </c>
      <c r="AW96" s="900" t="str">
        <f t="shared" si="114"/>
        <v/>
      </c>
    </row>
    <row r="97" spans="1:49">
      <c r="A97" s="880" t="str">
        <f t="shared" si="91"/>
        <v>2023/03/21</v>
      </c>
      <c r="B97" s="355" t="s">
        <v>584</v>
      </c>
      <c r="C97" s="355" t="str">
        <f t="shared" si="115"/>
        <v xml:space="preserve"> 染色Màu - Black-05</v>
      </c>
      <c r="D97" s="355" t="str">
        <f t="shared" si="116"/>
        <v>DC-000A</v>
      </c>
      <c r="E97" s="355" t="str">
        <f t="shared" si="117"/>
        <v>pH</v>
      </c>
      <c r="F97" s="355" t="str">
        <f t="shared" si="118"/>
        <v>5.4~5.8
(5.6±0.1)</v>
      </c>
      <c r="G97" s="868">
        <f t="shared" si="73"/>
        <v>0</v>
      </c>
      <c r="H97" s="868">
        <f t="shared" si="74"/>
        <v>0</v>
      </c>
      <c r="I97" s="873">
        <f t="shared" si="75"/>
        <v>0</v>
      </c>
      <c r="J97" s="868">
        <f t="shared" si="76"/>
        <v>0</v>
      </c>
      <c r="K97" s="868">
        <f t="shared" si="77"/>
        <v>0</v>
      </c>
      <c r="L97" s="873">
        <f t="shared" si="78"/>
        <v>0</v>
      </c>
      <c r="M97" s="868">
        <f t="shared" si="79"/>
        <v>0</v>
      </c>
      <c r="N97" s="868">
        <f t="shared" si="80"/>
        <v>0</v>
      </c>
      <c r="O97" s="873">
        <f t="shared" si="81"/>
        <v>0</v>
      </c>
      <c r="P97" s="868">
        <f t="shared" si="82"/>
        <v>0</v>
      </c>
      <c r="Q97" s="868">
        <f t="shared" si="83"/>
        <v>0</v>
      </c>
      <c r="R97" s="873">
        <f t="shared" si="84"/>
        <v>0</v>
      </c>
      <c r="S97" s="868">
        <f t="shared" si="85"/>
        <v>0</v>
      </c>
      <c r="T97" s="861">
        <f t="shared" si="86"/>
        <v>0</v>
      </c>
      <c r="U97" s="862">
        <f t="shared" si="87"/>
        <v>0</v>
      </c>
      <c r="V97" s="868">
        <f t="shared" si="88"/>
        <v>0</v>
      </c>
      <c r="W97" s="861">
        <f t="shared" si="89"/>
        <v>0</v>
      </c>
      <c r="X97" s="862">
        <f t="shared" si="90"/>
        <v>0</v>
      </c>
      <c r="Z97" s="356" t="b">
        <f t="shared" si="92"/>
        <v>1</v>
      </c>
      <c r="AA97" s="356" t="b">
        <f t="shared" si="93"/>
        <v>1</v>
      </c>
      <c r="AB97" s="356" t="b">
        <f t="shared" si="94"/>
        <v>1</v>
      </c>
      <c r="AC97" s="356" t="b">
        <f t="shared" si="95"/>
        <v>1</v>
      </c>
      <c r="AD97" s="356" t="b">
        <f t="shared" si="96"/>
        <v>1</v>
      </c>
      <c r="AE97" s="356" t="b">
        <f t="shared" si="97"/>
        <v>1</v>
      </c>
      <c r="AF97" s="356" t="b">
        <f t="shared" si="98"/>
        <v>1</v>
      </c>
      <c r="AG97" s="356" t="b">
        <f t="shared" si="99"/>
        <v>1</v>
      </c>
      <c r="AH97" s="356" t="b">
        <f t="shared" si="100"/>
        <v>1</v>
      </c>
      <c r="AI97" s="356" t="b">
        <f t="shared" si="101"/>
        <v>1</v>
      </c>
      <c r="AJ97" s="356" t="b">
        <f t="shared" si="102"/>
        <v>1</v>
      </c>
      <c r="AK97" s="356" t="b">
        <f t="shared" si="103"/>
        <v>1</v>
      </c>
      <c r="AL97" s="895" t="str">
        <f t="shared" si="104"/>
        <v/>
      </c>
      <c r="AM97" s="896" t="str">
        <f t="shared" si="105"/>
        <v/>
      </c>
      <c r="AN97" s="896" t="str">
        <f t="shared" si="106"/>
        <v/>
      </c>
      <c r="AO97" s="896" t="str">
        <f t="shared" si="107"/>
        <v/>
      </c>
      <c r="AP97" s="896" t="str">
        <f t="shared" si="108"/>
        <v/>
      </c>
      <c r="AQ97" s="896" t="str">
        <f t="shared" si="109"/>
        <v/>
      </c>
      <c r="AR97" s="896" t="str">
        <f t="shared" si="110"/>
        <v/>
      </c>
      <c r="AS97" s="896" t="str">
        <f t="shared" si="111"/>
        <v/>
      </c>
      <c r="AT97" s="896" t="str">
        <f t="shared" si="112"/>
        <v/>
      </c>
      <c r="AU97" s="896" t="str">
        <f t="shared" si="113"/>
        <v/>
      </c>
      <c r="AV97" s="896" t="str">
        <f t="shared" si="114"/>
        <v/>
      </c>
      <c r="AW97" s="900" t="str">
        <f t="shared" si="114"/>
        <v/>
      </c>
    </row>
    <row r="98" spans="1:49">
      <c r="A98" s="880" t="str">
        <f t="shared" si="91"/>
        <v>2023/03/21</v>
      </c>
      <c r="B98" s="355" t="s">
        <v>587</v>
      </c>
      <c r="C98" s="355" t="str">
        <f t="shared" si="115"/>
        <v xml:space="preserve"> 染色Màu- Gey-07</v>
      </c>
      <c r="D98" s="355" t="str">
        <f t="shared" si="116"/>
        <v>DC-000A</v>
      </c>
      <c r="E98" s="355" t="str">
        <f t="shared" si="117"/>
        <v>pH</v>
      </c>
      <c r="F98" s="355" t="str">
        <f t="shared" si="118"/>
        <v>5.4~5.8</v>
      </c>
      <c r="G98" s="868">
        <f t="shared" si="73"/>
        <v>0</v>
      </c>
      <c r="H98" s="868">
        <f t="shared" si="74"/>
        <v>0</v>
      </c>
      <c r="I98" s="873">
        <f t="shared" si="75"/>
        <v>0</v>
      </c>
      <c r="J98" s="868">
        <f t="shared" si="76"/>
        <v>0</v>
      </c>
      <c r="K98" s="868">
        <f t="shared" si="77"/>
        <v>0</v>
      </c>
      <c r="L98" s="873">
        <f t="shared" si="78"/>
        <v>0</v>
      </c>
      <c r="M98" s="868">
        <f t="shared" si="79"/>
        <v>0</v>
      </c>
      <c r="N98" s="868">
        <f t="shared" si="80"/>
        <v>0</v>
      </c>
      <c r="O98" s="873">
        <f t="shared" si="81"/>
        <v>0</v>
      </c>
      <c r="P98" s="868">
        <f t="shared" si="82"/>
        <v>0</v>
      </c>
      <c r="Q98" s="868">
        <f t="shared" si="83"/>
        <v>0</v>
      </c>
      <c r="R98" s="873">
        <f t="shared" si="84"/>
        <v>0</v>
      </c>
      <c r="S98" s="868">
        <f t="shared" si="85"/>
        <v>0</v>
      </c>
      <c r="T98" s="861">
        <f t="shared" si="86"/>
        <v>0</v>
      </c>
      <c r="U98" s="862">
        <f t="shared" si="87"/>
        <v>0</v>
      </c>
      <c r="V98" s="868">
        <f t="shared" si="88"/>
        <v>0</v>
      </c>
      <c r="W98" s="861">
        <f t="shared" si="89"/>
        <v>0</v>
      </c>
      <c r="X98" s="862">
        <f t="shared" si="90"/>
        <v>0</v>
      </c>
      <c r="Z98" s="356" t="b">
        <f t="shared" si="92"/>
        <v>1</v>
      </c>
      <c r="AA98" s="356" t="b">
        <f t="shared" si="93"/>
        <v>1</v>
      </c>
      <c r="AB98" s="356" t="b">
        <f t="shared" si="94"/>
        <v>1</v>
      </c>
      <c r="AC98" s="356" t="b">
        <f t="shared" si="95"/>
        <v>1</v>
      </c>
      <c r="AD98" s="356" t="b">
        <f t="shared" si="96"/>
        <v>1</v>
      </c>
      <c r="AE98" s="356" t="b">
        <f t="shared" si="97"/>
        <v>1</v>
      </c>
      <c r="AF98" s="356" t="b">
        <f t="shared" si="98"/>
        <v>1</v>
      </c>
      <c r="AG98" s="356" t="b">
        <f t="shared" si="99"/>
        <v>1</v>
      </c>
      <c r="AH98" s="356" t="b">
        <f t="shared" si="100"/>
        <v>1</v>
      </c>
      <c r="AI98" s="356" t="b">
        <f t="shared" si="101"/>
        <v>1</v>
      </c>
      <c r="AJ98" s="356" t="b">
        <f t="shared" si="102"/>
        <v>1</v>
      </c>
      <c r="AK98" s="356" t="b">
        <f t="shared" si="103"/>
        <v>1</v>
      </c>
      <c r="AL98" s="895" t="str">
        <f t="shared" si="104"/>
        <v/>
      </c>
      <c r="AM98" s="896" t="str">
        <f t="shared" si="105"/>
        <v/>
      </c>
      <c r="AN98" s="896" t="str">
        <f t="shared" si="106"/>
        <v/>
      </c>
      <c r="AO98" s="896" t="str">
        <f t="shared" si="107"/>
        <v/>
      </c>
      <c r="AP98" s="896" t="str">
        <f t="shared" si="108"/>
        <v/>
      </c>
      <c r="AQ98" s="896" t="str">
        <f t="shared" si="109"/>
        <v/>
      </c>
      <c r="AR98" s="896" t="str">
        <f t="shared" si="110"/>
        <v/>
      </c>
      <c r="AS98" s="896" t="str">
        <f t="shared" si="111"/>
        <v/>
      </c>
      <c r="AT98" s="896" t="str">
        <f t="shared" si="112"/>
        <v/>
      </c>
      <c r="AU98" s="896" t="str">
        <f t="shared" si="113"/>
        <v/>
      </c>
      <c r="AV98" s="896" t="str">
        <f t="shared" si="114"/>
        <v/>
      </c>
      <c r="AW98" s="900" t="str">
        <f t="shared" si="114"/>
        <v/>
      </c>
    </row>
    <row r="99" spans="1:49">
      <c r="A99" s="880" t="str">
        <f t="shared" si="91"/>
        <v>2023/03/21</v>
      </c>
      <c r="B99" s="355" t="s">
        <v>590</v>
      </c>
      <c r="C99" s="355" t="str">
        <f t="shared" si="115"/>
        <v xml:space="preserve"> 染色Màu- Black-08</v>
      </c>
      <c r="D99" s="355" t="str">
        <f t="shared" si="116"/>
        <v>DC-000A</v>
      </c>
      <c r="E99" s="355" t="str">
        <f t="shared" si="117"/>
        <v>pH</v>
      </c>
      <c r="F99" s="355" t="str">
        <f t="shared" si="118"/>
        <v>5.4~5.8
(5.6±0.1)</v>
      </c>
      <c r="G99" s="868">
        <f t="shared" si="73"/>
        <v>0</v>
      </c>
      <c r="H99" s="868">
        <f t="shared" si="74"/>
        <v>0</v>
      </c>
      <c r="I99" s="873">
        <f t="shared" si="75"/>
        <v>0</v>
      </c>
      <c r="J99" s="868">
        <f t="shared" si="76"/>
        <v>0</v>
      </c>
      <c r="K99" s="868">
        <f t="shared" si="77"/>
        <v>0</v>
      </c>
      <c r="L99" s="873">
        <f t="shared" si="78"/>
        <v>0</v>
      </c>
      <c r="M99" s="868">
        <f t="shared" si="79"/>
        <v>0</v>
      </c>
      <c r="N99" s="868">
        <f t="shared" si="80"/>
        <v>0</v>
      </c>
      <c r="O99" s="873">
        <f t="shared" si="81"/>
        <v>0</v>
      </c>
      <c r="P99" s="868">
        <f t="shared" si="82"/>
        <v>0</v>
      </c>
      <c r="Q99" s="868">
        <f t="shared" si="83"/>
        <v>0</v>
      </c>
      <c r="R99" s="873">
        <f t="shared" si="84"/>
        <v>0</v>
      </c>
      <c r="S99" s="868">
        <f t="shared" si="85"/>
        <v>0</v>
      </c>
      <c r="T99" s="861">
        <f t="shared" si="86"/>
        <v>0</v>
      </c>
      <c r="U99" s="862">
        <f t="shared" si="87"/>
        <v>0</v>
      </c>
      <c r="V99" s="868">
        <f t="shared" si="88"/>
        <v>0</v>
      </c>
      <c r="W99" s="861">
        <f t="shared" si="89"/>
        <v>0</v>
      </c>
      <c r="X99" s="862">
        <f t="shared" si="90"/>
        <v>0</v>
      </c>
      <c r="Z99" s="356" t="b">
        <f t="shared" si="92"/>
        <v>1</v>
      </c>
      <c r="AA99" s="356" t="b">
        <f t="shared" si="93"/>
        <v>1</v>
      </c>
      <c r="AB99" s="356" t="b">
        <f t="shared" si="94"/>
        <v>1</v>
      </c>
      <c r="AC99" s="356" t="b">
        <f t="shared" si="95"/>
        <v>1</v>
      </c>
      <c r="AD99" s="356" t="b">
        <f t="shared" si="96"/>
        <v>1</v>
      </c>
      <c r="AE99" s="356" t="b">
        <f t="shared" si="97"/>
        <v>1</v>
      </c>
      <c r="AF99" s="356" t="b">
        <f t="shared" si="98"/>
        <v>1</v>
      </c>
      <c r="AG99" s="356" t="b">
        <f t="shared" si="99"/>
        <v>1</v>
      </c>
      <c r="AH99" s="356" t="b">
        <f t="shared" si="100"/>
        <v>1</v>
      </c>
      <c r="AI99" s="356" t="b">
        <f t="shared" si="101"/>
        <v>1</v>
      </c>
      <c r="AJ99" s="356" t="b">
        <f t="shared" si="102"/>
        <v>1</v>
      </c>
      <c r="AK99" s="356" t="b">
        <f t="shared" si="103"/>
        <v>1</v>
      </c>
      <c r="AL99" s="897" t="str">
        <f t="shared" si="104"/>
        <v/>
      </c>
      <c r="AM99" s="898" t="str">
        <f t="shared" si="105"/>
        <v/>
      </c>
      <c r="AN99" s="898" t="str">
        <f t="shared" si="106"/>
        <v/>
      </c>
      <c r="AO99" s="898" t="str">
        <f t="shared" si="107"/>
        <v/>
      </c>
      <c r="AP99" s="898" t="str">
        <f t="shared" si="108"/>
        <v/>
      </c>
      <c r="AQ99" s="898" t="str">
        <f t="shared" si="109"/>
        <v/>
      </c>
      <c r="AR99" s="898" t="str">
        <f t="shared" si="110"/>
        <v/>
      </c>
      <c r="AS99" s="898" t="str">
        <f t="shared" si="111"/>
        <v/>
      </c>
      <c r="AT99" s="898" t="str">
        <f t="shared" si="112"/>
        <v/>
      </c>
      <c r="AU99" s="898" t="str">
        <f t="shared" si="113"/>
        <v/>
      </c>
      <c r="AV99" s="898" t="str">
        <f t="shared" si="114"/>
        <v/>
      </c>
      <c r="AW99" s="901" t="str">
        <f t="shared" si="114"/>
        <v/>
      </c>
    </row>
  </sheetData>
  <phoneticPr fontId="6" type="noConversion"/>
  <pageMargins left="0.7" right="0.7" top="0.75" bottom="0.75" header="0.3" footer="0.3"/>
  <pageSetup paperSize="9" orientation="portrait" verticalDpi="0" r:id="rId1"/>
  <drawing r:id="rId2"/>
</worksheet>
</file>

<file path=xl/worksheets/sheet51.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52" customWidth="1"/>
    <col min="2" max="2" width="13" style="352" customWidth="1"/>
    <col min="3" max="3" width="37" style="352" customWidth="1"/>
    <col min="4" max="5" width="12.625" style="352" customWidth="1"/>
    <col min="6" max="6" width="19.125" style="352" customWidth="1"/>
    <col min="7" max="7" width="12.5" style="353" bestFit="1" customWidth="1"/>
    <col min="8" max="8" width="12.5" style="353" customWidth="1"/>
    <col min="9" max="9" width="13.375" style="353" bestFit="1" customWidth="1"/>
    <col min="10" max="10" width="13.375" style="353" customWidth="1"/>
    <col min="11" max="11" width="13.375" style="353" bestFit="1" customWidth="1"/>
    <col min="12" max="12" width="13.375" style="353" customWidth="1"/>
    <col min="13" max="13" width="15.125" style="353" customWidth="1"/>
    <col min="14" max="14" width="11.75" style="353" customWidth="1"/>
    <col min="15" max="15" width="10.125" style="353" bestFit="1" customWidth="1"/>
    <col min="16" max="16" width="10.125" style="353" customWidth="1"/>
    <col min="17" max="17" width="10.125" style="353" bestFit="1" customWidth="1"/>
    <col min="18" max="18" width="10.125" style="353" customWidth="1"/>
    <col min="19" max="19" width="9" style="349"/>
    <col min="20" max="31" width="0" style="869" hidden="1" customWidth="1"/>
    <col min="32" max="16384" width="9" style="349"/>
  </cols>
  <sheetData>
    <row r="1" spans="1:43" ht="71.45" customHeight="1">
      <c r="A1" s="859" t="s">
        <v>851</v>
      </c>
      <c r="B1" s="852"/>
      <c r="C1" s="852"/>
      <c r="D1" s="852"/>
      <c r="E1" s="852"/>
      <c r="F1" s="852"/>
      <c r="G1" s="852"/>
      <c r="H1" s="852"/>
      <c r="I1" s="852"/>
      <c r="J1" s="852"/>
      <c r="K1" s="852"/>
      <c r="L1" s="852"/>
      <c r="M1" s="852"/>
      <c r="N1" s="852"/>
      <c r="O1" s="852"/>
      <c r="P1" s="852"/>
      <c r="Q1" s="852"/>
      <c r="R1" s="853"/>
    </row>
    <row r="2" spans="1:43" s="856" customFormat="1">
      <c r="A2" s="855" t="s">
        <v>834</v>
      </c>
      <c r="B2" s="855" t="s">
        <v>835</v>
      </c>
      <c r="C2" s="855" t="s">
        <v>354</v>
      </c>
      <c r="D2" s="855" t="s">
        <v>355</v>
      </c>
      <c r="E2" s="855" t="s">
        <v>356</v>
      </c>
      <c r="F2" s="855" t="s">
        <v>357</v>
      </c>
      <c r="G2" s="855" t="s">
        <v>836</v>
      </c>
      <c r="H2" s="855" t="s">
        <v>837</v>
      </c>
      <c r="I2" s="855" t="s">
        <v>838</v>
      </c>
      <c r="J2" s="855" t="s">
        <v>839</v>
      </c>
      <c r="K2" s="855" t="s">
        <v>840</v>
      </c>
      <c r="L2" s="855" t="s">
        <v>841</v>
      </c>
      <c r="M2" s="855" t="s">
        <v>842</v>
      </c>
      <c r="N2" s="855" t="s">
        <v>843</v>
      </c>
      <c r="O2" s="855" t="s">
        <v>844</v>
      </c>
      <c r="P2" s="855" t="s">
        <v>845</v>
      </c>
      <c r="Q2" s="855" t="s">
        <v>846</v>
      </c>
      <c r="R2" s="855" t="s">
        <v>847</v>
      </c>
      <c r="T2" s="865">
        <v>1</v>
      </c>
      <c r="U2" s="865" t="s">
        <v>876</v>
      </c>
      <c r="V2" s="865">
        <v>2</v>
      </c>
      <c r="W2" s="865" t="s">
        <v>876</v>
      </c>
      <c r="X2" s="865">
        <v>3</v>
      </c>
      <c r="Y2" s="865" t="s">
        <v>876</v>
      </c>
      <c r="Z2" s="865">
        <v>4</v>
      </c>
      <c r="AA2" s="865" t="s">
        <v>876</v>
      </c>
      <c r="AB2" s="865">
        <v>5</v>
      </c>
      <c r="AC2" s="865" t="s">
        <v>876</v>
      </c>
      <c r="AD2" s="865">
        <v>6</v>
      </c>
      <c r="AE2" s="865" t="s">
        <v>876</v>
      </c>
      <c r="AF2" s="883">
        <v>1</v>
      </c>
      <c r="AG2" s="883" t="s">
        <v>876</v>
      </c>
      <c r="AH2" s="883">
        <v>2</v>
      </c>
      <c r="AI2" s="883" t="s">
        <v>876</v>
      </c>
      <c r="AJ2" s="883">
        <v>3</v>
      </c>
      <c r="AK2" s="883" t="s">
        <v>876</v>
      </c>
      <c r="AL2" s="883">
        <v>4</v>
      </c>
      <c r="AM2" s="883" t="s">
        <v>876</v>
      </c>
      <c r="AN2" s="883">
        <v>5</v>
      </c>
      <c r="AO2" s="883" t="s">
        <v>876</v>
      </c>
      <c r="AP2" s="883">
        <v>6</v>
      </c>
      <c r="AQ2" s="883" t="s">
        <v>876</v>
      </c>
    </row>
    <row r="3" spans="1:43" s="856" customFormat="1">
      <c r="A3" s="855" t="s">
        <v>834</v>
      </c>
      <c r="B3" s="857" t="s">
        <v>377</v>
      </c>
      <c r="C3" s="857" t="s">
        <v>848</v>
      </c>
      <c r="D3" s="857" t="s">
        <v>379</v>
      </c>
      <c r="E3" s="858" t="s">
        <v>380</v>
      </c>
      <c r="F3" s="858" t="s">
        <v>381</v>
      </c>
      <c r="G3" s="857" t="s">
        <v>849</v>
      </c>
      <c r="H3" s="857" t="s">
        <v>850</v>
      </c>
      <c r="I3" s="857" t="s">
        <v>849</v>
      </c>
      <c r="J3" s="857" t="s">
        <v>850</v>
      </c>
      <c r="K3" s="857" t="s">
        <v>849</v>
      </c>
      <c r="L3" s="857" t="s">
        <v>850</v>
      </c>
      <c r="M3" s="857" t="s">
        <v>849</v>
      </c>
      <c r="N3" s="857" t="s">
        <v>850</v>
      </c>
      <c r="O3" s="857" t="s">
        <v>849</v>
      </c>
      <c r="P3" s="857" t="s">
        <v>850</v>
      </c>
      <c r="Q3" s="857" t="s">
        <v>849</v>
      </c>
      <c r="R3" s="857" t="s">
        <v>850</v>
      </c>
      <c r="T3" s="354"/>
      <c r="U3" s="354"/>
      <c r="V3" s="354"/>
      <c r="W3" s="354"/>
      <c r="X3" s="354"/>
      <c r="Y3" s="354"/>
      <c r="Z3" s="354"/>
      <c r="AA3" s="354"/>
      <c r="AB3" s="354"/>
      <c r="AC3" s="354"/>
      <c r="AD3" s="354"/>
      <c r="AE3" s="354"/>
    </row>
    <row r="4" spans="1:43" s="356" customFormat="1">
      <c r="A4" s="880" t="str">
        <f>'IT.NONG DO'!A4</f>
        <v>2023/03/21</v>
      </c>
      <c r="B4" s="355" t="s">
        <v>282</v>
      </c>
      <c r="C4" s="355" t="str">
        <f t="shared" ref="C4:C27" si="0">IFERROR(VLOOKUP($B4,_XM_XT_THUCTE,3,0),"")</f>
        <v>Nhiệt  độ xà bông nóng (1)
 熱脫脂溫度(1)</v>
      </c>
      <c r="D4" s="355" t="str">
        <f t="shared" ref="D4:D27" si="1">IFERROR(VLOOKUP($B4,_XM_XT_THUCTE,2,0),"")</f>
        <v>XL-001E</v>
      </c>
      <c r="E4" s="355" t="str">
        <f t="shared" ref="E4:E27" si="2">IFERROR(VLOOKUP($B4,_XM_XT_THUCTE,4,0),"")</f>
        <v>0C</v>
      </c>
      <c r="F4" s="355" t="str">
        <f t="shared" ref="F4:F27" si="3">IFERROR(VLOOKUP($B4,_XM_XT_THUCTE,5,0),"")</f>
        <v>65~75</v>
      </c>
      <c r="G4" s="862">
        <f>IFERROR(VLOOKUP($B4,_XM_XT_THUCTE,8,0),"")</f>
        <v>0</v>
      </c>
      <c r="H4" s="862">
        <f t="shared" ref="H4:H27" si="4">IFERROR(VLOOKUP($B4,_XM_XT_THUCTE,11,0),"")</f>
        <v>0</v>
      </c>
      <c r="I4" s="862">
        <f t="shared" ref="I4:I27" si="5">IFERROR(VLOOKUP($B4,_XM_XT_THUCTE,14,0),"")</f>
        <v>0</v>
      </c>
      <c r="J4" s="862">
        <f t="shared" ref="J4:J27" si="6">IFERROR(VLOOKUP($B4,_XM_XT_THUCTE,17,0),"")</f>
        <v>0</v>
      </c>
      <c r="K4" s="862">
        <f t="shared" ref="K4:K27" si="7">IFERROR(VLOOKUP($B4,_XM_XT_THUCTE,20,0),"")</f>
        <v>0</v>
      </c>
      <c r="L4" s="862">
        <f t="shared" ref="L4:L27" si="8">IFERROR(VLOOKUP($B4,_XM_XT_THUCTE,23,0),"")</f>
        <v>0</v>
      </c>
      <c r="M4" s="862">
        <f t="shared" ref="M4:M27" si="9">IFERROR(VLOOKUP($B4,_XM_XT_THUCTE,26,0),"")</f>
        <v>0</v>
      </c>
      <c r="N4" s="862">
        <f t="shared" ref="N4:N27" si="10">IFERROR(VLOOKUP($B4,_XM_XT_THUCTE,29,0),"")</f>
        <v>0</v>
      </c>
      <c r="O4" s="862">
        <f t="shared" ref="O4:O27" si="11">IFERROR(VLOOKUP($B4,_XM_XT_THUCTE,32,0),"")</f>
        <v>0</v>
      </c>
      <c r="P4" s="862">
        <f t="shared" ref="P4:P27" si="12">IFERROR(VLOOKUP($B4,_XM_XT_THUCTE,35,0),"")</f>
        <v>0</v>
      </c>
      <c r="Q4" s="862">
        <f t="shared" ref="Q4:Q27" si="13">IFERROR(VLOOKUP($B4,_XM_XT_THUCTE,38,0),"")</f>
        <v>0</v>
      </c>
      <c r="R4" s="862">
        <f t="shared" ref="R4:R27" si="14">IFERROR(VLOOKUP($B4,_XM_XT_THUCTE,41,0),"")</f>
        <v>0</v>
      </c>
      <c r="T4" s="869" t="b">
        <f>ISNUMBER(G4)</f>
        <v>1</v>
      </c>
      <c r="U4" s="869" t="b">
        <f t="shared" ref="U4:AE19" si="15">ISNUMBER(H4)</f>
        <v>1</v>
      </c>
      <c r="V4" s="869" t="b">
        <f t="shared" si="15"/>
        <v>1</v>
      </c>
      <c r="W4" s="869" t="b">
        <f t="shared" si="15"/>
        <v>1</v>
      </c>
      <c r="X4" s="869" t="b">
        <f t="shared" si="15"/>
        <v>1</v>
      </c>
      <c r="Y4" s="869" t="b">
        <f t="shared" si="15"/>
        <v>1</v>
      </c>
      <c r="Z4" s="869" t="b">
        <f t="shared" si="15"/>
        <v>1</v>
      </c>
      <c r="AA4" s="869" t="b">
        <f t="shared" si="15"/>
        <v>1</v>
      </c>
      <c r="AB4" s="869" t="b">
        <f t="shared" si="15"/>
        <v>1</v>
      </c>
      <c r="AC4" s="869" t="b">
        <f t="shared" si="15"/>
        <v>1</v>
      </c>
      <c r="AD4" s="869" t="b">
        <f t="shared" si="15"/>
        <v>1</v>
      </c>
      <c r="AE4" s="869" t="b">
        <f t="shared" si="15"/>
        <v>1</v>
      </c>
      <c r="AF4" s="884" t="str">
        <f>IF(T4=TRUE,"",1)</f>
        <v/>
      </c>
      <c r="AG4" s="885" t="str">
        <f t="shared" ref="AG4:AQ4" si="16">IF(U4=TRUE,"",1)</f>
        <v/>
      </c>
      <c r="AH4" s="885" t="str">
        <f t="shared" si="16"/>
        <v/>
      </c>
      <c r="AI4" s="885" t="str">
        <f t="shared" si="16"/>
        <v/>
      </c>
      <c r="AJ4" s="885" t="str">
        <f t="shared" si="16"/>
        <v/>
      </c>
      <c r="AK4" s="885" t="str">
        <f t="shared" si="16"/>
        <v/>
      </c>
      <c r="AL4" s="885" t="str">
        <f t="shared" si="16"/>
        <v/>
      </c>
      <c r="AM4" s="885" t="str">
        <f t="shared" si="16"/>
        <v/>
      </c>
      <c r="AN4" s="885" t="str">
        <f t="shared" si="16"/>
        <v/>
      </c>
      <c r="AO4" s="885" t="str">
        <f t="shared" si="16"/>
        <v/>
      </c>
      <c r="AP4" s="885" t="str">
        <f t="shared" si="16"/>
        <v/>
      </c>
      <c r="AQ4" s="886" t="str">
        <f t="shared" si="16"/>
        <v/>
      </c>
    </row>
    <row r="5" spans="1:43" s="356" customFormat="1">
      <c r="A5" s="880" t="str">
        <f>IF(B5="","",$A$4)</f>
        <v>2023/03/21</v>
      </c>
      <c r="B5" s="355" t="s">
        <v>283</v>
      </c>
      <c r="C5" s="355" t="str">
        <f t="shared" si="0"/>
        <v>Nhiệt  độ xà bông nóng (2)
 熱脫脂溫度(2)</v>
      </c>
      <c r="D5" s="355" t="str">
        <f t="shared" si="1"/>
        <v>XL-001E</v>
      </c>
      <c r="E5" s="355" t="str">
        <f t="shared" si="2"/>
        <v>0C</v>
      </c>
      <c r="F5" s="355" t="str">
        <f t="shared" si="3"/>
        <v>65~75</v>
      </c>
      <c r="G5" s="862">
        <f t="shared" ref="G5:G27" si="17">IFERROR(VLOOKUP($B5,_XM_XT_THUCTE,8,0),"")</f>
        <v>0</v>
      </c>
      <c r="H5" s="862">
        <f t="shared" si="4"/>
        <v>0</v>
      </c>
      <c r="I5" s="862">
        <f t="shared" si="5"/>
        <v>0</v>
      </c>
      <c r="J5" s="862">
        <f t="shared" si="6"/>
        <v>0</v>
      </c>
      <c r="K5" s="862">
        <f t="shared" si="7"/>
        <v>0</v>
      </c>
      <c r="L5" s="862">
        <f t="shared" si="8"/>
        <v>0</v>
      </c>
      <c r="M5" s="862">
        <f t="shared" si="9"/>
        <v>0</v>
      </c>
      <c r="N5" s="862">
        <f t="shared" si="10"/>
        <v>0</v>
      </c>
      <c r="O5" s="862">
        <f t="shared" si="11"/>
        <v>0</v>
      </c>
      <c r="P5" s="862">
        <f t="shared" si="12"/>
        <v>0</v>
      </c>
      <c r="Q5" s="862">
        <f t="shared" si="13"/>
        <v>0</v>
      </c>
      <c r="R5" s="862">
        <f t="shared" si="14"/>
        <v>0</v>
      </c>
      <c r="T5" s="869" t="b">
        <f t="shared" ref="T5:AE39" si="18">ISNUMBER(G5)</f>
        <v>1</v>
      </c>
      <c r="U5" s="869" t="b">
        <f t="shared" si="15"/>
        <v>1</v>
      </c>
      <c r="V5" s="869" t="b">
        <f t="shared" si="15"/>
        <v>1</v>
      </c>
      <c r="W5" s="869" t="b">
        <f t="shared" si="15"/>
        <v>1</v>
      </c>
      <c r="X5" s="869" t="b">
        <f t="shared" si="15"/>
        <v>1</v>
      </c>
      <c r="Y5" s="869" t="b">
        <f t="shared" si="15"/>
        <v>1</v>
      </c>
      <c r="Z5" s="869" t="b">
        <f t="shared" si="15"/>
        <v>1</v>
      </c>
      <c r="AA5" s="869" t="b">
        <f t="shared" si="15"/>
        <v>1</v>
      </c>
      <c r="AB5" s="869" t="b">
        <f t="shared" si="15"/>
        <v>1</v>
      </c>
      <c r="AC5" s="869" t="b">
        <f t="shared" si="15"/>
        <v>1</v>
      </c>
      <c r="AD5" s="869" t="b">
        <f t="shared" si="15"/>
        <v>1</v>
      </c>
      <c r="AE5" s="869" t="b">
        <f t="shared" si="15"/>
        <v>1</v>
      </c>
      <c r="AF5" s="887" t="str">
        <f t="shared" ref="AF5:AF51" si="19">IF(T5=TRUE,"",1)</f>
        <v/>
      </c>
      <c r="AG5" s="888" t="str">
        <f t="shared" ref="AG5:AG51" si="20">IF(U5=TRUE,"",1)</f>
        <v/>
      </c>
      <c r="AH5" s="888" t="str">
        <f t="shared" ref="AH5:AH51" si="21">IF(V5=TRUE,"",1)</f>
        <v/>
      </c>
      <c r="AI5" s="888" t="str">
        <f t="shared" ref="AI5:AI51" si="22">IF(W5=TRUE,"",1)</f>
        <v/>
      </c>
      <c r="AJ5" s="888" t="str">
        <f t="shared" ref="AJ5:AJ51" si="23">IF(X5=TRUE,"",1)</f>
        <v/>
      </c>
      <c r="AK5" s="888" t="str">
        <f t="shared" ref="AK5:AK51" si="24">IF(Y5=TRUE,"",1)</f>
        <v/>
      </c>
      <c r="AL5" s="888" t="str">
        <f t="shared" ref="AL5:AL51" si="25">IF(Z5=TRUE,"",1)</f>
        <v/>
      </c>
      <c r="AM5" s="888" t="str">
        <f t="shared" ref="AM5:AM51" si="26">IF(AA5=TRUE,"",1)</f>
        <v/>
      </c>
      <c r="AN5" s="888" t="str">
        <f t="shared" ref="AN5:AN51" si="27">IF(AB5=TRUE,"",1)</f>
        <v/>
      </c>
      <c r="AO5" s="888" t="str">
        <f t="shared" ref="AO5:AO51" si="28">IF(AC5=TRUE,"",1)</f>
        <v/>
      </c>
      <c r="AP5" s="888" t="str">
        <f t="shared" ref="AP5:AP51" si="29">IF(AD5=TRUE,"",1)</f>
        <v/>
      </c>
      <c r="AQ5" s="889" t="str">
        <f t="shared" ref="AQ5:AQ51" si="30">IF(AE5=TRUE,"",1)</f>
        <v/>
      </c>
    </row>
    <row r="6" spans="1:43" s="356" customFormat="1">
      <c r="A6" s="880" t="str">
        <f t="shared" ref="A6:A40" si="31">IF(B6="","",$A$4)</f>
        <v>2023/03/21</v>
      </c>
      <c r="B6" s="355" t="s">
        <v>284</v>
      </c>
      <c r="C6" s="355" t="str">
        <f t="shared" si="0"/>
        <v>Nhiệt độ điện giải (1) 
電解1 溫度</v>
      </c>
      <c r="D6" s="355" t="str">
        <f t="shared" si="1"/>
        <v>XL-001E</v>
      </c>
      <c r="E6" s="355" t="str">
        <f t="shared" si="2"/>
        <v>0C</v>
      </c>
      <c r="F6" s="355" t="str">
        <f t="shared" si="3"/>
        <v>50~60</v>
      </c>
      <c r="G6" s="862">
        <f t="shared" si="17"/>
        <v>0</v>
      </c>
      <c r="H6" s="862">
        <f t="shared" si="4"/>
        <v>0</v>
      </c>
      <c r="I6" s="862">
        <f t="shared" si="5"/>
        <v>0</v>
      </c>
      <c r="J6" s="862">
        <f t="shared" si="6"/>
        <v>0</v>
      </c>
      <c r="K6" s="862">
        <f t="shared" si="7"/>
        <v>0</v>
      </c>
      <c r="L6" s="862">
        <f t="shared" si="8"/>
        <v>0</v>
      </c>
      <c r="M6" s="862">
        <f t="shared" si="9"/>
        <v>0</v>
      </c>
      <c r="N6" s="862">
        <f t="shared" si="10"/>
        <v>0</v>
      </c>
      <c r="O6" s="862">
        <f t="shared" si="11"/>
        <v>0</v>
      </c>
      <c r="P6" s="862">
        <f t="shared" si="12"/>
        <v>0</v>
      </c>
      <c r="Q6" s="862">
        <f t="shared" si="13"/>
        <v>0</v>
      </c>
      <c r="R6" s="862">
        <f t="shared" si="14"/>
        <v>0</v>
      </c>
      <c r="T6" s="869" t="b">
        <f t="shared" si="18"/>
        <v>1</v>
      </c>
      <c r="U6" s="869" t="b">
        <f t="shared" si="15"/>
        <v>1</v>
      </c>
      <c r="V6" s="869" t="b">
        <f t="shared" si="15"/>
        <v>1</v>
      </c>
      <c r="W6" s="869" t="b">
        <f t="shared" si="15"/>
        <v>1</v>
      </c>
      <c r="X6" s="869" t="b">
        <f t="shared" si="15"/>
        <v>1</v>
      </c>
      <c r="Y6" s="869" t="b">
        <f t="shared" si="15"/>
        <v>1</v>
      </c>
      <c r="Z6" s="869" t="b">
        <f t="shared" si="15"/>
        <v>1</v>
      </c>
      <c r="AA6" s="869" t="b">
        <f t="shared" si="15"/>
        <v>1</v>
      </c>
      <c r="AB6" s="869" t="b">
        <f t="shared" si="15"/>
        <v>1</v>
      </c>
      <c r="AC6" s="869" t="b">
        <f t="shared" si="15"/>
        <v>1</v>
      </c>
      <c r="AD6" s="869" t="b">
        <f t="shared" si="15"/>
        <v>1</v>
      </c>
      <c r="AE6" s="869" t="b">
        <f t="shared" si="15"/>
        <v>1</v>
      </c>
      <c r="AF6" s="887" t="str">
        <f t="shared" si="19"/>
        <v/>
      </c>
      <c r="AG6" s="888" t="str">
        <f t="shared" si="20"/>
        <v/>
      </c>
      <c r="AH6" s="888" t="str">
        <f t="shared" si="21"/>
        <v/>
      </c>
      <c r="AI6" s="888" t="str">
        <f t="shared" si="22"/>
        <v/>
      </c>
      <c r="AJ6" s="888" t="str">
        <f t="shared" si="23"/>
        <v/>
      </c>
      <c r="AK6" s="888" t="str">
        <f t="shared" si="24"/>
        <v/>
      </c>
      <c r="AL6" s="888" t="str">
        <f t="shared" si="25"/>
        <v/>
      </c>
      <c r="AM6" s="888" t="str">
        <f t="shared" si="26"/>
        <v/>
      </c>
      <c r="AN6" s="888" t="str">
        <f t="shared" si="27"/>
        <v/>
      </c>
      <c r="AO6" s="888" t="str">
        <f t="shared" si="28"/>
        <v/>
      </c>
      <c r="AP6" s="888" t="str">
        <f t="shared" si="29"/>
        <v/>
      </c>
      <c r="AQ6" s="889" t="str">
        <f t="shared" si="30"/>
        <v/>
      </c>
    </row>
    <row r="7" spans="1:43" s="356" customFormat="1">
      <c r="A7" s="880" t="str">
        <f t="shared" si="31"/>
        <v>2023/03/21</v>
      </c>
      <c r="B7" s="355" t="s">
        <v>285</v>
      </c>
      <c r="C7" s="355" t="str">
        <f t="shared" si="0"/>
        <v>Nhiệt độ điện giải (2)
電解 2 溫度</v>
      </c>
      <c r="D7" s="355" t="str">
        <f t="shared" si="1"/>
        <v>XL-001E</v>
      </c>
      <c r="E7" s="355" t="str">
        <f t="shared" si="2"/>
        <v>0C</v>
      </c>
      <c r="F7" s="355" t="str">
        <f t="shared" si="3"/>
        <v>50~60</v>
      </c>
      <c r="G7" s="862">
        <f t="shared" si="17"/>
        <v>0</v>
      </c>
      <c r="H7" s="862">
        <f t="shared" si="4"/>
        <v>0</v>
      </c>
      <c r="I7" s="862">
        <f t="shared" si="5"/>
        <v>0</v>
      </c>
      <c r="J7" s="862">
        <f t="shared" si="6"/>
        <v>0</v>
      </c>
      <c r="K7" s="862">
        <f t="shared" si="7"/>
        <v>0</v>
      </c>
      <c r="L7" s="862">
        <f t="shared" si="8"/>
        <v>0</v>
      </c>
      <c r="M7" s="862">
        <f t="shared" si="9"/>
        <v>0</v>
      </c>
      <c r="N7" s="862">
        <f t="shared" si="10"/>
        <v>0</v>
      </c>
      <c r="O7" s="862">
        <f t="shared" si="11"/>
        <v>0</v>
      </c>
      <c r="P7" s="862">
        <f t="shared" si="12"/>
        <v>0</v>
      </c>
      <c r="Q7" s="862">
        <f t="shared" si="13"/>
        <v>0</v>
      </c>
      <c r="R7" s="862">
        <f t="shared" si="14"/>
        <v>0</v>
      </c>
      <c r="T7" s="869" t="b">
        <f t="shared" si="18"/>
        <v>1</v>
      </c>
      <c r="U7" s="869" t="b">
        <f t="shared" si="15"/>
        <v>1</v>
      </c>
      <c r="V7" s="869" t="b">
        <f t="shared" si="15"/>
        <v>1</v>
      </c>
      <c r="W7" s="869" t="b">
        <f t="shared" si="15"/>
        <v>1</v>
      </c>
      <c r="X7" s="869" t="b">
        <f t="shared" si="15"/>
        <v>1</v>
      </c>
      <c r="Y7" s="869" t="b">
        <f t="shared" si="15"/>
        <v>1</v>
      </c>
      <c r="Z7" s="869" t="b">
        <f t="shared" si="15"/>
        <v>1</v>
      </c>
      <c r="AA7" s="869" t="b">
        <f t="shared" si="15"/>
        <v>1</v>
      </c>
      <c r="AB7" s="869" t="b">
        <f t="shared" si="15"/>
        <v>1</v>
      </c>
      <c r="AC7" s="869" t="b">
        <f t="shared" si="15"/>
        <v>1</v>
      </c>
      <c r="AD7" s="869" t="b">
        <f t="shared" si="15"/>
        <v>1</v>
      </c>
      <c r="AE7" s="869" t="b">
        <f t="shared" si="15"/>
        <v>1</v>
      </c>
      <c r="AF7" s="887" t="str">
        <f t="shared" si="19"/>
        <v/>
      </c>
      <c r="AG7" s="888" t="str">
        <f t="shared" si="20"/>
        <v/>
      </c>
      <c r="AH7" s="888" t="str">
        <f t="shared" si="21"/>
        <v/>
      </c>
      <c r="AI7" s="888" t="str">
        <f t="shared" si="22"/>
        <v/>
      </c>
      <c r="AJ7" s="888" t="str">
        <f t="shared" si="23"/>
        <v/>
      </c>
      <c r="AK7" s="888" t="str">
        <f t="shared" si="24"/>
        <v/>
      </c>
      <c r="AL7" s="888" t="str">
        <f t="shared" si="25"/>
        <v/>
      </c>
      <c r="AM7" s="888" t="str">
        <f t="shared" si="26"/>
        <v/>
      </c>
      <c r="AN7" s="888" t="str">
        <f t="shared" si="27"/>
        <v/>
      </c>
      <c r="AO7" s="888" t="str">
        <f t="shared" si="28"/>
        <v/>
      </c>
      <c r="AP7" s="888" t="str">
        <f t="shared" si="29"/>
        <v/>
      </c>
      <c r="AQ7" s="889" t="str">
        <f t="shared" si="30"/>
        <v/>
      </c>
    </row>
    <row r="8" spans="1:43" s="356" customFormat="1">
      <c r="A8" s="880" t="str">
        <f t="shared" si="31"/>
        <v>2023/03/21</v>
      </c>
      <c r="B8" s="355" t="s">
        <v>346</v>
      </c>
      <c r="C8" s="355" t="str">
        <f t="shared" si="0"/>
        <v>Nhiệt độ bồn xi
鍍鋅槽溫度</v>
      </c>
      <c r="D8" s="355" t="str">
        <f t="shared" si="1"/>
        <v>XL-001E</v>
      </c>
      <c r="E8" s="355" t="str">
        <f t="shared" si="2"/>
        <v>0C</v>
      </c>
      <c r="F8" s="355" t="str">
        <f t="shared" si="3"/>
        <v>20~30</v>
      </c>
      <c r="G8" s="862">
        <f t="shared" si="17"/>
        <v>0</v>
      </c>
      <c r="H8" s="862">
        <f t="shared" si="4"/>
        <v>0</v>
      </c>
      <c r="I8" s="862">
        <f t="shared" si="5"/>
        <v>0</v>
      </c>
      <c r="J8" s="862">
        <f t="shared" si="6"/>
        <v>0</v>
      </c>
      <c r="K8" s="862">
        <f t="shared" si="7"/>
        <v>0</v>
      </c>
      <c r="L8" s="862">
        <f t="shared" si="8"/>
        <v>0</v>
      </c>
      <c r="M8" s="862">
        <f t="shared" si="9"/>
        <v>0</v>
      </c>
      <c r="N8" s="862">
        <f t="shared" si="10"/>
        <v>0</v>
      </c>
      <c r="O8" s="862">
        <f t="shared" si="11"/>
        <v>0</v>
      </c>
      <c r="P8" s="862">
        <f t="shared" si="12"/>
        <v>0</v>
      </c>
      <c r="Q8" s="862">
        <f t="shared" si="13"/>
        <v>0</v>
      </c>
      <c r="R8" s="862">
        <f t="shared" si="14"/>
        <v>0</v>
      </c>
      <c r="T8" s="869" t="b">
        <f t="shared" si="18"/>
        <v>1</v>
      </c>
      <c r="U8" s="869" t="b">
        <f t="shared" si="15"/>
        <v>1</v>
      </c>
      <c r="V8" s="869" t="b">
        <f t="shared" si="15"/>
        <v>1</v>
      </c>
      <c r="W8" s="869" t="b">
        <f t="shared" si="15"/>
        <v>1</v>
      </c>
      <c r="X8" s="869" t="b">
        <f t="shared" si="15"/>
        <v>1</v>
      </c>
      <c r="Y8" s="869" t="b">
        <f t="shared" si="15"/>
        <v>1</v>
      </c>
      <c r="Z8" s="869" t="b">
        <f t="shared" si="15"/>
        <v>1</v>
      </c>
      <c r="AA8" s="869" t="b">
        <f t="shared" si="15"/>
        <v>1</v>
      </c>
      <c r="AB8" s="869" t="b">
        <f t="shared" si="15"/>
        <v>1</v>
      </c>
      <c r="AC8" s="869" t="b">
        <f t="shared" si="15"/>
        <v>1</v>
      </c>
      <c r="AD8" s="869" t="b">
        <f t="shared" si="15"/>
        <v>1</v>
      </c>
      <c r="AE8" s="869" t="b">
        <f t="shared" si="15"/>
        <v>1</v>
      </c>
      <c r="AF8" s="887" t="str">
        <f t="shared" si="19"/>
        <v/>
      </c>
      <c r="AG8" s="888" t="str">
        <f t="shared" si="20"/>
        <v/>
      </c>
      <c r="AH8" s="888" t="str">
        <f t="shared" si="21"/>
        <v/>
      </c>
      <c r="AI8" s="888" t="str">
        <f t="shared" si="22"/>
        <v/>
      </c>
      <c r="AJ8" s="888" t="str">
        <f t="shared" si="23"/>
        <v/>
      </c>
      <c r="AK8" s="888" t="str">
        <f t="shared" si="24"/>
        <v/>
      </c>
      <c r="AL8" s="888" t="str">
        <f t="shared" si="25"/>
        <v/>
      </c>
      <c r="AM8" s="888" t="str">
        <f t="shared" si="26"/>
        <v/>
      </c>
      <c r="AN8" s="888" t="str">
        <f t="shared" si="27"/>
        <v/>
      </c>
      <c r="AO8" s="888" t="str">
        <f t="shared" si="28"/>
        <v/>
      </c>
      <c r="AP8" s="888" t="str">
        <f t="shared" si="29"/>
        <v/>
      </c>
      <c r="AQ8" s="889" t="str">
        <f t="shared" si="30"/>
        <v/>
      </c>
    </row>
    <row r="9" spans="1:43" s="356" customFormat="1">
      <c r="A9" s="880" t="str">
        <f t="shared" si="31"/>
        <v>2023/03/21</v>
      </c>
      <c r="B9" s="355" t="s">
        <v>286</v>
      </c>
      <c r="C9" s="355" t="str">
        <f t="shared" si="0"/>
        <v>Nhiệt độ bồn màu Cr2O3
三價鉻 溫度</v>
      </c>
      <c r="D9" s="355" t="str">
        <f t="shared" si="1"/>
        <v>XL-001E</v>
      </c>
      <c r="E9" s="355" t="str">
        <f t="shared" si="2"/>
        <v>0C</v>
      </c>
      <c r="F9" s="355" t="str">
        <f t="shared" si="3"/>
        <v>35-45</v>
      </c>
      <c r="G9" s="862">
        <f t="shared" si="17"/>
        <v>0</v>
      </c>
      <c r="H9" s="862">
        <f t="shared" si="4"/>
        <v>0</v>
      </c>
      <c r="I9" s="862">
        <f t="shared" si="5"/>
        <v>0</v>
      </c>
      <c r="J9" s="862">
        <f t="shared" si="6"/>
        <v>0</v>
      </c>
      <c r="K9" s="862">
        <f t="shared" si="7"/>
        <v>0</v>
      </c>
      <c r="L9" s="862">
        <f t="shared" si="8"/>
        <v>0</v>
      </c>
      <c r="M9" s="862">
        <f t="shared" si="9"/>
        <v>0</v>
      </c>
      <c r="N9" s="862">
        <f t="shared" si="10"/>
        <v>0</v>
      </c>
      <c r="O9" s="862">
        <f t="shared" si="11"/>
        <v>0</v>
      </c>
      <c r="P9" s="862">
        <f t="shared" si="12"/>
        <v>0</v>
      </c>
      <c r="Q9" s="862">
        <f t="shared" si="13"/>
        <v>0</v>
      </c>
      <c r="R9" s="862">
        <f t="shared" si="14"/>
        <v>0</v>
      </c>
      <c r="T9" s="869" t="b">
        <f t="shared" si="18"/>
        <v>1</v>
      </c>
      <c r="U9" s="869" t="b">
        <f t="shared" si="15"/>
        <v>1</v>
      </c>
      <c r="V9" s="869" t="b">
        <f t="shared" si="15"/>
        <v>1</v>
      </c>
      <c r="W9" s="869" t="b">
        <f t="shared" si="15"/>
        <v>1</v>
      </c>
      <c r="X9" s="869" t="b">
        <f t="shared" si="15"/>
        <v>1</v>
      </c>
      <c r="Y9" s="869" t="b">
        <f t="shared" si="15"/>
        <v>1</v>
      </c>
      <c r="Z9" s="869" t="b">
        <f t="shared" si="15"/>
        <v>1</v>
      </c>
      <c r="AA9" s="869" t="b">
        <f t="shared" si="15"/>
        <v>1</v>
      </c>
      <c r="AB9" s="869" t="b">
        <f t="shared" si="15"/>
        <v>1</v>
      </c>
      <c r="AC9" s="869" t="b">
        <f t="shared" si="15"/>
        <v>1</v>
      </c>
      <c r="AD9" s="869" t="b">
        <f t="shared" si="15"/>
        <v>1</v>
      </c>
      <c r="AE9" s="869" t="b">
        <f t="shared" si="15"/>
        <v>1</v>
      </c>
      <c r="AF9" s="887" t="str">
        <f t="shared" si="19"/>
        <v/>
      </c>
      <c r="AG9" s="888" t="str">
        <f t="shared" si="20"/>
        <v/>
      </c>
      <c r="AH9" s="888" t="str">
        <f t="shared" si="21"/>
        <v/>
      </c>
      <c r="AI9" s="888" t="str">
        <f t="shared" si="22"/>
        <v/>
      </c>
      <c r="AJ9" s="888" t="str">
        <f t="shared" si="23"/>
        <v/>
      </c>
      <c r="AK9" s="888" t="str">
        <f t="shared" si="24"/>
        <v/>
      </c>
      <c r="AL9" s="888" t="str">
        <f t="shared" si="25"/>
        <v/>
      </c>
      <c r="AM9" s="888" t="str">
        <f t="shared" si="26"/>
        <v/>
      </c>
      <c r="AN9" s="888" t="str">
        <f t="shared" si="27"/>
        <v/>
      </c>
      <c r="AO9" s="888" t="str">
        <f t="shared" si="28"/>
        <v/>
      </c>
      <c r="AP9" s="888" t="str">
        <f t="shared" si="29"/>
        <v/>
      </c>
      <c r="AQ9" s="889" t="str">
        <f t="shared" si="30"/>
        <v/>
      </c>
    </row>
    <row r="10" spans="1:43" s="356" customFormat="1">
      <c r="A10" s="880" t="str">
        <f t="shared" si="31"/>
        <v>2023/03/21</v>
      </c>
      <c r="B10" s="355" t="s">
        <v>287</v>
      </c>
      <c r="C10" s="355" t="str">
        <f t="shared" si="0"/>
        <v xml:space="preserve">Nhiệt độ bồn nước nóng
熱水溫度 </v>
      </c>
      <c r="D10" s="355" t="str">
        <f t="shared" si="1"/>
        <v>XL-001E</v>
      </c>
      <c r="E10" s="355" t="str">
        <f t="shared" si="2"/>
        <v>0C</v>
      </c>
      <c r="F10" s="355" t="str">
        <f t="shared" si="3"/>
        <v>55~65</v>
      </c>
      <c r="G10" s="862">
        <f t="shared" si="17"/>
        <v>0</v>
      </c>
      <c r="H10" s="862">
        <f t="shared" si="4"/>
        <v>0</v>
      </c>
      <c r="I10" s="862">
        <f t="shared" si="5"/>
        <v>0</v>
      </c>
      <c r="J10" s="862">
        <f t="shared" si="6"/>
        <v>0</v>
      </c>
      <c r="K10" s="862">
        <f t="shared" si="7"/>
        <v>0</v>
      </c>
      <c r="L10" s="862">
        <f t="shared" si="8"/>
        <v>0</v>
      </c>
      <c r="M10" s="862">
        <f t="shared" si="9"/>
        <v>0</v>
      </c>
      <c r="N10" s="862">
        <f t="shared" si="10"/>
        <v>0</v>
      </c>
      <c r="O10" s="862">
        <f t="shared" si="11"/>
        <v>0</v>
      </c>
      <c r="P10" s="862">
        <f t="shared" si="12"/>
        <v>0</v>
      </c>
      <c r="Q10" s="862">
        <f t="shared" si="13"/>
        <v>0</v>
      </c>
      <c r="R10" s="862">
        <f t="shared" si="14"/>
        <v>0</v>
      </c>
      <c r="T10" s="869" t="b">
        <f t="shared" si="18"/>
        <v>1</v>
      </c>
      <c r="U10" s="869" t="b">
        <f t="shared" si="15"/>
        <v>1</v>
      </c>
      <c r="V10" s="869" t="b">
        <f t="shared" si="15"/>
        <v>1</v>
      </c>
      <c r="W10" s="869" t="b">
        <f t="shared" si="15"/>
        <v>1</v>
      </c>
      <c r="X10" s="869" t="b">
        <f t="shared" si="15"/>
        <v>1</v>
      </c>
      <c r="Y10" s="869" t="b">
        <f t="shared" si="15"/>
        <v>1</v>
      </c>
      <c r="Z10" s="869" t="b">
        <f t="shared" si="15"/>
        <v>1</v>
      </c>
      <c r="AA10" s="869" t="b">
        <f t="shared" si="15"/>
        <v>1</v>
      </c>
      <c r="AB10" s="869" t="b">
        <f t="shared" si="15"/>
        <v>1</v>
      </c>
      <c r="AC10" s="869" t="b">
        <f t="shared" si="15"/>
        <v>1</v>
      </c>
      <c r="AD10" s="869" t="b">
        <f t="shared" si="15"/>
        <v>1</v>
      </c>
      <c r="AE10" s="869" t="b">
        <f t="shared" si="15"/>
        <v>1</v>
      </c>
      <c r="AF10" s="887" t="str">
        <f t="shared" si="19"/>
        <v/>
      </c>
      <c r="AG10" s="888" t="str">
        <f t="shared" si="20"/>
        <v/>
      </c>
      <c r="AH10" s="888" t="str">
        <f t="shared" si="21"/>
        <v/>
      </c>
      <c r="AI10" s="888" t="str">
        <f t="shared" si="22"/>
        <v/>
      </c>
      <c r="AJ10" s="888" t="str">
        <f t="shared" si="23"/>
        <v/>
      </c>
      <c r="AK10" s="888" t="str">
        <f t="shared" si="24"/>
        <v/>
      </c>
      <c r="AL10" s="888" t="str">
        <f t="shared" si="25"/>
        <v/>
      </c>
      <c r="AM10" s="888" t="str">
        <f t="shared" si="26"/>
        <v/>
      </c>
      <c r="AN10" s="888" t="str">
        <f t="shared" si="27"/>
        <v/>
      </c>
      <c r="AO10" s="888" t="str">
        <f t="shared" si="28"/>
        <v/>
      </c>
      <c r="AP10" s="888" t="str">
        <f t="shared" si="29"/>
        <v/>
      </c>
      <c r="AQ10" s="889" t="str">
        <f t="shared" si="30"/>
        <v/>
      </c>
    </row>
    <row r="11" spans="1:43" s="356" customFormat="1">
      <c r="A11" s="880" t="str">
        <f t="shared" si="31"/>
        <v>2023/03/21</v>
      </c>
      <c r="B11" s="355" t="s">
        <v>288</v>
      </c>
      <c r="C11" s="355" t="str">
        <f t="shared" si="0"/>
        <v>Sấy khô
烘乾</v>
      </c>
      <c r="D11" s="355" t="str">
        <f t="shared" si="1"/>
        <v>XL-001E</v>
      </c>
      <c r="E11" s="355" t="str">
        <f t="shared" si="2"/>
        <v>0C</v>
      </c>
      <c r="F11" s="355" t="str">
        <f t="shared" si="3"/>
        <v>65~75</v>
      </c>
      <c r="G11" s="862">
        <f t="shared" si="17"/>
        <v>0</v>
      </c>
      <c r="H11" s="862">
        <f t="shared" si="4"/>
        <v>0</v>
      </c>
      <c r="I11" s="862">
        <f t="shared" si="5"/>
        <v>0</v>
      </c>
      <c r="J11" s="862">
        <f t="shared" si="6"/>
        <v>0</v>
      </c>
      <c r="K11" s="862">
        <f t="shared" si="7"/>
        <v>0</v>
      </c>
      <c r="L11" s="862">
        <f t="shared" si="8"/>
        <v>0</v>
      </c>
      <c r="M11" s="862">
        <f t="shared" si="9"/>
        <v>0</v>
      </c>
      <c r="N11" s="862">
        <f t="shared" si="10"/>
        <v>0</v>
      </c>
      <c r="O11" s="862">
        <f t="shared" si="11"/>
        <v>0</v>
      </c>
      <c r="P11" s="862">
        <f t="shared" si="12"/>
        <v>0</v>
      </c>
      <c r="Q11" s="862">
        <f t="shared" si="13"/>
        <v>0</v>
      </c>
      <c r="R11" s="862">
        <f t="shared" si="14"/>
        <v>0</v>
      </c>
      <c r="T11" s="869" t="b">
        <f t="shared" si="18"/>
        <v>1</v>
      </c>
      <c r="U11" s="869" t="b">
        <f t="shared" si="15"/>
        <v>1</v>
      </c>
      <c r="V11" s="869" t="b">
        <f t="shared" si="15"/>
        <v>1</v>
      </c>
      <c r="W11" s="869" t="b">
        <f t="shared" si="15"/>
        <v>1</v>
      </c>
      <c r="X11" s="869" t="b">
        <f t="shared" si="15"/>
        <v>1</v>
      </c>
      <c r="Y11" s="869" t="b">
        <f t="shared" si="15"/>
        <v>1</v>
      </c>
      <c r="Z11" s="869" t="b">
        <f t="shared" si="15"/>
        <v>1</v>
      </c>
      <c r="AA11" s="869" t="b">
        <f t="shared" si="15"/>
        <v>1</v>
      </c>
      <c r="AB11" s="869" t="b">
        <f t="shared" si="15"/>
        <v>1</v>
      </c>
      <c r="AC11" s="869" t="b">
        <f t="shared" si="15"/>
        <v>1</v>
      </c>
      <c r="AD11" s="869" t="b">
        <f t="shared" si="15"/>
        <v>1</v>
      </c>
      <c r="AE11" s="869" t="b">
        <f t="shared" si="15"/>
        <v>1</v>
      </c>
      <c r="AF11" s="887" t="str">
        <f t="shared" si="19"/>
        <v/>
      </c>
      <c r="AG11" s="888" t="str">
        <f t="shared" si="20"/>
        <v/>
      </c>
      <c r="AH11" s="888" t="str">
        <f t="shared" si="21"/>
        <v/>
      </c>
      <c r="AI11" s="888" t="str">
        <f t="shared" si="22"/>
        <v/>
      </c>
      <c r="AJ11" s="888" t="str">
        <f t="shared" si="23"/>
        <v/>
      </c>
      <c r="AK11" s="888" t="str">
        <f t="shared" si="24"/>
        <v/>
      </c>
      <c r="AL11" s="888" t="str">
        <f t="shared" si="25"/>
        <v/>
      </c>
      <c r="AM11" s="888" t="str">
        <f t="shared" si="26"/>
        <v/>
      </c>
      <c r="AN11" s="888" t="str">
        <f t="shared" si="27"/>
        <v/>
      </c>
      <c r="AO11" s="888" t="str">
        <f t="shared" si="28"/>
        <v/>
      </c>
      <c r="AP11" s="888" t="str">
        <f t="shared" si="29"/>
        <v/>
      </c>
      <c r="AQ11" s="889" t="str">
        <f t="shared" si="30"/>
        <v/>
      </c>
    </row>
    <row r="12" spans="1:43" s="356" customFormat="1">
      <c r="A12" s="880" t="str">
        <f t="shared" si="31"/>
        <v>2023/03/21</v>
      </c>
      <c r="B12" s="355" t="s">
        <v>305</v>
      </c>
      <c r="C12" s="355" t="str">
        <f t="shared" si="0"/>
        <v>Nhiệt  độ xà bông nóng (1)
 熱脫脂溫度(1)</v>
      </c>
      <c r="D12" s="355" t="str">
        <f t="shared" si="1"/>
        <v>XL-001F</v>
      </c>
      <c r="E12" s="355" t="str">
        <f t="shared" si="2"/>
        <v>0C</v>
      </c>
      <c r="F12" s="355" t="str">
        <f t="shared" si="3"/>
        <v>50~70</v>
      </c>
      <c r="G12" s="862">
        <f t="shared" si="17"/>
        <v>0</v>
      </c>
      <c r="H12" s="862">
        <f t="shared" si="4"/>
        <v>0</v>
      </c>
      <c r="I12" s="862">
        <f t="shared" si="5"/>
        <v>0</v>
      </c>
      <c r="J12" s="862">
        <f t="shared" si="6"/>
        <v>0</v>
      </c>
      <c r="K12" s="862">
        <f t="shared" si="7"/>
        <v>0</v>
      </c>
      <c r="L12" s="862">
        <f t="shared" si="8"/>
        <v>0</v>
      </c>
      <c r="M12" s="862">
        <f t="shared" si="9"/>
        <v>0</v>
      </c>
      <c r="N12" s="862">
        <f t="shared" si="10"/>
        <v>0</v>
      </c>
      <c r="O12" s="862">
        <f t="shared" si="11"/>
        <v>0</v>
      </c>
      <c r="P12" s="862">
        <f t="shared" si="12"/>
        <v>0</v>
      </c>
      <c r="Q12" s="862">
        <f t="shared" si="13"/>
        <v>0</v>
      </c>
      <c r="R12" s="862">
        <f t="shared" si="14"/>
        <v>0</v>
      </c>
      <c r="T12" s="869" t="b">
        <f t="shared" si="18"/>
        <v>1</v>
      </c>
      <c r="U12" s="869" t="b">
        <f t="shared" si="15"/>
        <v>1</v>
      </c>
      <c r="V12" s="869" t="b">
        <f t="shared" si="15"/>
        <v>1</v>
      </c>
      <c r="W12" s="869" t="b">
        <f t="shared" si="15"/>
        <v>1</v>
      </c>
      <c r="X12" s="869" t="b">
        <f t="shared" si="15"/>
        <v>1</v>
      </c>
      <c r="Y12" s="869" t="b">
        <f t="shared" si="15"/>
        <v>1</v>
      </c>
      <c r="Z12" s="869" t="b">
        <f t="shared" si="15"/>
        <v>1</v>
      </c>
      <c r="AA12" s="869" t="b">
        <f t="shared" si="15"/>
        <v>1</v>
      </c>
      <c r="AB12" s="869" t="b">
        <f t="shared" si="15"/>
        <v>1</v>
      </c>
      <c r="AC12" s="869" t="b">
        <f t="shared" si="15"/>
        <v>1</v>
      </c>
      <c r="AD12" s="869" t="b">
        <f t="shared" si="15"/>
        <v>1</v>
      </c>
      <c r="AE12" s="869" t="b">
        <f t="shared" si="15"/>
        <v>1</v>
      </c>
      <c r="AF12" s="887" t="str">
        <f t="shared" si="19"/>
        <v/>
      </c>
      <c r="AG12" s="888" t="str">
        <f t="shared" si="20"/>
        <v/>
      </c>
      <c r="AH12" s="888" t="str">
        <f t="shared" si="21"/>
        <v/>
      </c>
      <c r="AI12" s="888" t="str">
        <f t="shared" si="22"/>
        <v/>
      </c>
      <c r="AJ12" s="888" t="str">
        <f t="shared" si="23"/>
        <v/>
      </c>
      <c r="AK12" s="888" t="str">
        <f t="shared" si="24"/>
        <v/>
      </c>
      <c r="AL12" s="888" t="str">
        <f t="shared" si="25"/>
        <v/>
      </c>
      <c r="AM12" s="888" t="str">
        <f t="shared" si="26"/>
        <v/>
      </c>
      <c r="AN12" s="888" t="str">
        <f t="shared" si="27"/>
        <v/>
      </c>
      <c r="AO12" s="888" t="str">
        <f t="shared" si="28"/>
        <v/>
      </c>
      <c r="AP12" s="888" t="str">
        <f t="shared" si="29"/>
        <v/>
      </c>
      <c r="AQ12" s="889" t="str">
        <f t="shared" si="30"/>
        <v/>
      </c>
    </row>
    <row r="13" spans="1:43" s="356" customFormat="1">
      <c r="A13" s="880" t="str">
        <f t="shared" si="31"/>
        <v>2023/03/21</v>
      </c>
      <c r="B13" s="355" t="s">
        <v>306</v>
      </c>
      <c r="C13" s="355" t="str">
        <f t="shared" si="0"/>
        <v>Nhiệt  độ xà bông nóng (2)
 熱脫脂溫度(2)</v>
      </c>
      <c r="D13" s="355" t="str">
        <f t="shared" si="1"/>
        <v>XL-001F</v>
      </c>
      <c r="E13" s="355" t="str">
        <f t="shared" si="2"/>
        <v>0C</v>
      </c>
      <c r="F13" s="355" t="str">
        <f t="shared" si="3"/>
        <v>50~70</v>
      </c>
      <c r="G13" s="862">
        <f t="shared" si="17"/>
        <v>0</v>
      </c>
      <c r="H13" s="862">
        <f t="shared" si="4"/>
        <v>0</v>
      </c>
      <c r="I13" s="862">
        <f t="shared" si="5"/>
        <v>0</v>
      </c>
      <c r="J13" s="862">
        <f t="shared" si="6"/>
        <v>0</v>
      </c>
      <c r="K13" s="862">
        <f t="shared" si="7"/>
        <v>0</v>
      </c>
      <c r="L13" s="862">
        <f t="shared" si="8"/>
        <v>0</v>
      </c>
      <c r="M13" s="862">
        <f t="shared" si="9"/>
        <v>0</v>
      </c>
      <c r="N13" s="862">
        <f t="shared" si="10"/>
        <v>0</v>
      </c>
      <c r="O13" s="862">
        <f t="shared" si="11"/>
        <v>0</v>
      </c>
      <c r="P13" s="862">
        <f t="shared" si="12"/>
        <v>0</v>
      </c>
      <c r="Q13" s="862">
        <f t="shared" si="13"/>
        <v>0</v>
      </c>
      <c r="R13" s="862">
        <f t="shared" si="14"/>
        <v>0</v>
      </c>
      <c r="T13" s="869" t="b">
        <f t="shared" si="18"/>
        <v>1</v>
      </c>
      <c r="U13" s="869" t="b">
        <f t="shared" si="15"/>
        <v>1</v>
      </c>
      <c r="V13" s="869" t="b">
        <f t="shared" si="15"/>
        <v>1</v>
      </c>
      <c r="W13" s="869" t="b">
        <f t="shared" si="15"/>
        <v>1</v>
      </c>
      <c r="X13" s="869" t="b">
        <f t="shared" si="15"/>
        <v>1</v>
      </c>
      <c r="Y13" s="869" t="b">
        <f t="shared" si="15"/>
        <v>1</v>
      </c>
      <c r="Z13" s="869" t="b">
        <f t="shared" si="15"/>
        <v>1</v>
      </c>
      <c r="AA13" s="869" t="b">
        <f t="shared" si="15"/>
        <v>1</v>
      </c>
      <c r="AB13" s="869" t="b">
        <f t="shared" si="15"/>
        <v>1</v>
      </c>
      <c r="AC13" s="869" t="b">
        <f t="shared" si="15"/>
        <v>1</v>
      </c>
      <c r="AD13" s="869" t="b">
        <f t="shared" si="15"/>
        <v>1</v>
      </c>
      <c r="AE13" s="869" t="b">
        <f t="shared" si="15"/>
        <v>1</v>
      </c>
      <c r="AF13" s="887" t="str">
        <f t="shared" si="19"/>
        <v/>
      </c>
      <c r="AG13" s="888" t="str">
        <f t="shared" si="20"/>
        <v/>
      </c>
      <c r="AH13" s="888" t="str">
        <f t="shared" si="21"/>
        <v/>
      </c>
      <c r="AI13" s="888" t="str">
        <f t="shared" si="22"/>
        <v/>
      </c>
      <c r="AJ13" s="888" t="str">
        <f t="shared" si="23"/>
        <v/>
      </c>
      <c r="AK13" s="888" t="str">
        <f t="shared" si="24"/>
        <v/>
      </c>
      <c r="AL13" s="888" t="str">
        <f t="shared" si="25"/>
        <v/>
      </c>
      <c r="AM13" s="888" t="str">
        <f t="shared" si="26"/>
        <v/>
      </c>
      <c r="AN13" s="888" t="str">
        <f t="shared" si="27"/>
        <v/>
      </c>
      <c r="AO13" s="888" t="str">
        <f t="shared" si="28"/>
        <v/>
      </c>
      <c r="AP13" s="888" t="str">
        <f t="shared" si="29"/>
        <v/>
      </c>
      <c r="AQ13" s="889" t="str">
        <f t="shared" si="30"/>
        <v/>
      </c>
    </row>
    <row r="14" spans="1:43" s="356" customFormat="1">
      <c r="A14" s="880" t="str">
        <f t="shared" si="31"/>
        <v>2023/03/21</v>
      </c>
      <c r="B14" s="355" t="s">
        <v>307</v>
      </c>
      <c r="C14" s="355" t="str">
        <f t="shared" si="0"/>
        <v>Nhiệt độ điện giải (1) 
電解1 溫度</v>
      </c>
      <c r="D14" s="355" t="str">
        <f t="shared" si="1"/>
        <v>XL-001F</v>
      </c>
      <c r="E14" s="355" t="str">
        <f t="shared" si="2"/>
        <v>0C</v>
      </c>
      <c r="F14" s="355" t="str">
        <f t="shared" si="3"/>
        <v>50~70</v>
      </c>
      <c r="G14" s="862">
        <f t="shared" si="17"/>
        <v>0</v>
      </c>
      <c r="H14" s="862">
        <f t="shared" si="4"/>
        <v>0</v>
      </c>
      <c r="I14" s="862">
        <f t="shared" si="5"/>
        <v>0</v>
      </c>
      <c r="J14" s="862">
        <f t="shared" si="6"/>
        <v>0</v>
      </c>
      <c r="K14" s="862">
        <f t="shared" si="7"/>
        <v>0</v>
      </c>
      <c r="L14" s="862">
        <f t="shared" si="8"/>
        <v>0</v>
      </c>
      <c r="M14" s="862">
        <f t="shared" si="9"/>
        <v>0</v>
      </c>
      <c r="N14" s="862">
        <f t="shared" si="10"/>
        <v>0</v>
      </c>
      <c r="O14" s="862">
        <f t="shared" si="11"/>
        <v>0</v>
      </c>
      <c r="P14" s="862">
        <f t="shared" si="12"/>
        <v>0</v>
      </c>
      <c r="Q14" s="862">
        <f t="shared" si="13"/>
        <v>0</v>
      </c>
      <c r="R14" s="862">
        <f t="shared" si="14"/>
        <v>0</v>
      </c>
      <c r="T14" s="869" t="b">
        <f t="shared" si="18"/>
        <v>1</v>
      </c>
      <c r="U14" s="869" t="b">
        <f t="shared" si="15"/>
        <v>1</v>
      </c>
      <c r="V14" s="869" t="b">
        <f t="shared" si="15"/>
        <v>1</v>
      </c>
      <c r="W14" s="869" t="b">
        <f t="shared" si="15"/>
        <v>1</v>
      </c>
      <c r="X14" s="869" t="b">
        <f t="shared" si="15"/>
        <v>1</v>
      </c>
      <c r="Y14" s="869" t="b">
        <f t="shared" si="15"/>
        <v>1</v>
      </c>
      <c r="Z14" s="869" t="b">
        <f t="shared" si="15"/>
        <v>1</v>
      </c>
      <c r="AA14" s="869" t="b">
        <f t="shared" si="15"/>
        <v>1</v>
      </c>
      <c r="AB14" s="869" t="b">
        <f t="shared" si="15"/>
        <v>1</v>
      </c>
      <c r="AC14" s="869" t="b">
        <f t="shared" si="15"/>
        <v>1</v>
      </c>
      <c r="AD14" s="869" t="b">
        <f t="shared" si="15"/>
        <v>1</v>
      </c>
      <c r="AE14" s="869" t="b">
        <f t="shared" si="15"/>
        <v>1</v>
      </c>
      <c r="AF14" s="887" t="str">
        <f t="shared" si="19"/>
        <v/>
      </c>
      <c r="AG14" s="888" t="str">
        <f t="shared" si="20"/>
        <v/>
      </c>
      <c r="AH14" s="888" t="str">
        <f t="shared" si="21"/>
        <v/>
      </c>
      <c r="AI14" s="888" t="str">
        <f t="shared" si="22"/>
        <v/>
      </c>
      <c r="AJ14" s="888" t="str">
        <f t="shared" si="23"/>
        <v/>
      </c>
      <c r="AK14" s="888" t="str">
        <f t="shared" si="24"/>
        <v/>
      </c>
      <c r="AL14" s="888" t="str">
        <f t="shared" si="25"/>
        <v/>
      </c>
      <c r="AM14" s="888" t="str">
        <f t="shared" si="26"/>
        <v/>
      </c>
      <c r="AN14" s="888" t="str">
        <f t="shared" si="27"/>
        <v/>
      </c>
      <c r="AO14" s="888" t="str">
        <f t="shared" si="28"/>
        <v/>
      </c>
      <c r="AP14" s="888" t="str">
        <f t="shared" si="29"/>
        <v/>
      </c>
      <c r="AQ14" s="889" t="str">
        <f t="shared" si="30"/>
        <v/>
      </c>
    </row>
    <row r="15" spans="1:43" s="356" customFormat="1">
      <c r="A15" s="880" t="str">
        <f t="shared" si="31"/>
        <v>2023/03/21</v>
      </c>
      <c r="B15" s="355" t="s">
        <v>308</v>
      </c>
      <c r="C15" s="355" t="str">
        <f t="shared" si="0"/>
        <v>Nhiệt độ điện giải (2)
電解 2 溫度</v>
      </c>
      <c r="D15" s="355" t="str">
        <f t="shared" si="1"/>
        <v>XL-001F</v>
      </c>
      <c r="E15" s="355" t="str">
        <f t="shared" si="2"/>
        <v>0C</v>
      </c>
      <c r="F15" s="355" t="str">
        <f t="shared" si="3"/>
        <v>50~70</v>
      </c>
      <c r="G15" s="862">
        <f t="shared" si="17"/>
        <v>0</v>
      </c>
      <c r="H15" s="862">
        <f t="shared" si="4"/>
        <v>0</v>
      </c>
      <c r="I15" s="862">
        <f t="shared" si="5"/>
        <v>0</v>
      </c>
      <c r="J15" s="862">
        <f t="shared" si="6"/>
        <v>0</v>
      </c>
      <c r="K15" s="862">
        <f t="shared" si="7"/>
        <v>0</v>
      </c>
      <c r="L15" s="862">
        <f t="shared" si="8"/>
        <v>0</v>
      </c>
      <c r="M15" s="862">
        <f t="shared" si="9"/>
        <v>0</v>
      </c>
      <c r="N15" s="862">
        <f t="shared" si="10"/>
        <v>0</v>
      </c>
      <c r="O15" s="862">
        <f t="shared" si="11"/>
        <v>0</v>
      </c>
      <c r="P15" s="862">
        <f t="shared" si="12"/>
        <v>0</v>
      </c>
      <c r="Q15" s="862">
        <f t="shared" si="13"/>
        <v>0</v>
      </c>
      <c r="R15" s="862">
        <f t="shared" si="14"/>
        <v>0</v>
      </c>
      <c r="T15" s="869" t="b">
        <f t="shared" si="18"/>
        <v>1</v>
      </c>
      <c r="U15" s="869" t="b">
        <f t="shared" si="15"/>
        <v>1</v>
      </c>
      <c r="V15" s="869" t="b">
        <f t="shared" si="15"/>
        <v>1</v>
      </c>
      <c r="W15" s="869" t="b">
        <f t="shared" si="15"/>
        <v>1</v>
      </c>
      <c r="X15" s="869" t="b">
        <f t="shared" si="15"/>
        <v>1</v>
      </c>
      <c r="Y15" s="869" t="b">
        <f t="shared" si="15"/>
        <v>1</v>
      </c>
      <c r="Z15" s="869" t="b">
        <f t="shared" si="15"/>
        <v>1</v>
      </c>
      <c r="AA15" s="869" t="b">
        <f t="shared" si="15"/>
        <v>1</v>
      </c>
      <c r="AB15" s="869" t="b">
        <f t="shared" si="15"/>
        <v>1</v>
      </c>
      <c r="AC15" s="869" t="b">
        <f t="shared" si="15"/>
        <v>1</v>
      </c>
      <c r="AD15" s="869" t="b">
        <f t="shared" si="15"/>
        <v>1</v>
      </c>
      <c r="AE15" s="869" t="b">
        <f t="shared" si="15"/>
        <v>1</v>
      </c>
      <c r="AF15" s="887" t="str">
        <f t="shared" si="19"/>
        <v/>
      </c>
      <c r="AG15" s="888" t="str">
        <f t="shared" si="20"/>
        <v/>
      </c>
      <c r="AH15" s="888" t="str">
        <f t="shared" si="21"/>
        <v/>
      </c>
      <c r="AI15" s="888" t="str">
        <f t="shared" si="22"/>
        <v/>
      </c>
      <c r="AJ15" s="888" t="str">
        <f t="shared" si="23"/>
        <v/>
      </c>
      <c r="AK15" s="888" t="str">
        <f t="shared" si="24"/>
        <v/>
      </c>
      <c r="AL15" s="888" t="str">
        <f t="shared" si="25"/>
        <v/>
      </c>
      <c r="AM15" s="888" t="str">
        <f t="shared" si="26"/>
        <v/>
      </c>
      <c r="AN15" s="888" t="str">
        <f t="shared" si="27"/>
        <v/>
      </c>
      <c r="AO15" s="888" t="str">
        <f t="shared" si="28"/>
        <v/>
      </c>
      <c r="AP15" s="888" t="str">
        <f t="shared" si="29"/>
        <v/>
      </c>
      <c r="AQ15" s="889" t="str">
        <f t="shared" si="30"/>
        <v/>
      </c>
    </row>
    <row r="16" spans="1:43" s="356" customFormat="1">
      <c r="A16" s="880" t="str">
        <f t="shared" si="31"/>
        <v>2023/03/21</v>
      </c>
      <c r="B16" s="355" t="s">
        <v>347</v>
      </c>
      <c r="C16" s="355" t="str">
        <f t="shared" si="0"/>
        <v>Nhiệt độ bồn xi
鍍鋅槽溫度</v>
      </c>
      <c r="D16" s="355" t="str">
        <f t="shared" si="1"/>
        <v>XL-001F</v>
      </c>
      <c r="E16" s="355" t="str">
        <f t="shared" si="2"/>
        <v>0C</v>
      </c>
      <c r="F16" s="355" t="str">
        <f t="shared" si="3"/>
        <v>22~30</v>
      </c>
      <c r="G16" s="862">
        <f t="shared" si="17"/>
        <v>0</v>
      </c>
      <c r="H16" s="862">
        <f t="shared" si="4"/>
        <v>0</v>
      </c>
      <c r="I16" s="862">
        <f t="shared" si="5"/>
        <v>0</v>
      </c>
      <c r="J16" s="862">
        <f t="shared" si="6"/>
        <v>0</v>
      </c>
      <c r="K16" s="862">
        <f t="shared" si="7"/>
        <v>0</v>
      </c>
      <c r="L16" s="862">
        <f t="shared" si="8"/>
        <v>0</v>
      </c>
      <c r="M16" s="862">
        <f t="shared" si="9"/>
        <v>0</v>
      </c>
      <c r="N16" s="862">
        <f t="shared" si="10"/>
        <v>0</v>
      </c>
      <c r="O16" s="862">
        <f t="shared" si="11"/>
        <v>0</v>
      </c>
      <c r="P16" s="862">
        <f t="shared" si="12"/>
        <v>0</v>
      </c>
      <c r="Q16" s="862">
        <f t="shared" si="13"/>
        <v>0</v>
      </c>
      <c r="R16" s="862">
        <f t="shared" si="14"/>
        <v>0</v>
      </c>
      <c r="T16" s="869" t="b">
        <f t="shared" si="18"/>
        <v>1</v>
      </c>
      <c r="U16" s="869" t="b">
        <f t="shared" si="15"/>
        <v>1</v>
      </c>
      <c r="V16" s="869" t="b">
        <f t="shared" si="15"/>
        <v>1</v>
      </c>
      <c r="W16" s="869" t="b">
        <f t="shared" si="15"/>
        <v>1</v>
      </c>
      <c r="X16" s="869" t="b">
        <f t="shared" si="15"/>
        <v>1</v>
      </c>
      <c r="Y16" s="869" t="b">
        <f t="shared" si="15"/>
        <v>1</v>
      </c>
      <c r="Z16" s="869" t="b">
        <f t="shared" si="15"/>
        <v>1</v>
      </c>
      <c r="AA16" s="869" t="b">
        <f t="shared" si="15"/>
        <v>1</v>
      </c>
      <c r="AB16" s="869" t="b">
        <f t="shared" si="15"/>
        <v>1</v>
      </c>
      <c r="AC16" s="869" t="b">
        <f t="shared" si="15"/>
        <v>1</v>
      </c>
      <c r="AD16" s="869" t="b">
        <f t="shared" si="15"/>
        <v>1</v>
      </c>
      <c r="AE16" s="869" t="b">
        <f t="shared" si="15"/>
        <v>1</v>
      </c>
      <c r="AF16" s="887" t="str">
        <f t="shared" si="19"/>
        <v/>
      </c>
      <c r="AG16" s="888" t="str">
        <f t="shared" si="20"/>
        <v/>
      </c>
      <c r="AH16" s="888" t="str">
        <f t="shared" si="21"/>
        <v/>
      </c>
      <c r="AI16" s="888" t="str">
        <f t="shared" si="22"/>
        <v/>
      </c>
      <c r="AJ16" s="888" t="str">
        <f t="shared" si="23"/>
        <v/>
      </c>
      <c r="AK16" s="888" t="str">
        <f t="shared" si="24"/>
        <v/>
      </c>
      <c r="AL16" s="888" t="str">
        <f t="shared" si="25"/>
        <v/>
      </c>
      <c r="AM16" s="888" t="str">
        <f t="shared" si="26"/>
        <v/>
      </c>
      <c r="AN16" s="888" t="str">
        <f t="shared" si="27"/>
        <v/>
      </c>
      <c r="AO16" s="888" t="str">
        <f t="shared" si="28"/>
        <v/>
      </c>
      <c r="AP16" s="888" t="str">
        <f t="shared" si="29"/>
        <v/>
      </c>
      <c r="AQ16" s="889" t="str">
        <f t="shared" si="30"/>
        <v/>
      </c>
    </row>
    <row r="17" spans="1:43">
      <c r="A17" s="880" t="str">
        <f t="shared" si="31"/>
        <v>2023/03/21</v>
      </c>
      <c r="B17" s="355" t="s">
        <v>309</v>
      </c>
      <c r="C17" s="355" t="str">
        <f t="shared" si="0"/>
        <v>Nhiệt độ bồn màu Cr2O3
三價鉻 溫度</v>
      </c>
      <c r="D17" s="355" t="str">
        <f t="shared" si="1"/>
        <v>XL-001F</v>
      </c>
      <c r="E17" s="355" t="str">
        <f t="shared" si="2"/>
        <v>0C</v>
      </c>
      <c r="F17" s="355" t="str">
        <f t="shared" si="3"/>
        <v>30-38</v>
      </c>
      <c r="G17" s="862">
        <f t="shared" si="17"/>
        <v>0</v>
      </c>
      <c r="H17" s="862">
        <f t="shared" si="4"/>
        <v>0</v>
      </c>
      <c r="I17" s="862">
        <f t="shared" si="5"/>
        <v>0</v>
      </c>
      <c r="J17" s="862">
        <f t="shared" si="6"/>
        <v>0</v>
      </c>
      <c r="K17" s="862">
        <f t="shared" si="7"/>
        <v>0</v>
      </c>
      <c r="L17" s="862">
        <f t="shared" si="8"/>
        <v>0</v>
      </c>
      <c r="M17" s="862">
        <f t="shared" si="9"/>
        <v>0</v>
      </c>
      <c r="N17" s="862">
        <f t="shared" si="10"/>
        <v>0</v>
      </c>
      <c r="O17" s="862">
        <f t="shared" si="11"/>
        <v>0</v>
      </c>
      <c r="P17" s="862">
        <f t="shared" si="12"/>
        <v>0</v>
      </c>
      <c r="Q17" s="862">
        <f t="shared" si="13"/>
        <v>0</v>
      </c>
      <c r="R17" s="862">
        <f t="shared" si="14"/>
        <v>0</v>
      </c>
      <c r="T17" s="869" t="b">
        <f t="shared" si="18"/>
        <v>1</v>
      </c>
      <c r="U17" s="869" t="b">
        <f t="shared" si="15"/>
        <v>1</v>
      </c>
      <c r="V17" s="869" t="b">
        <f t="shared" si="15"/>
        <v>1</v>
      </c>
      <c r="W17" s="869" t="b">
        <f t="shared" si="15"/>
        <v>1</v>
      </c>
      <c r="X17" s="869" t="b">
        <f t="shared" si="15"/>
        <v>1</v>
      </c>
      <c r="Y17" s="869" t="b">
        <f t="shared" si="15"/>
        <v>1</v>
      </c>
      <c r="Z17" s="869" t="b">
        <f t="shared" si="15"/>
        <v>1</v>
      </c>
      <c r="AA17" s="869" t="b">
        <f t="shared" si="15"/>
        <v>1</v>
      </c>
      <c r="AB17" s="869" t="b">
        <f t="shared" si="15"/>
        <v>1</v>
      </c>
      <c r="AC17" s="869" t="b">
        <f t="shared" si="15"/>
        <v>1</v>
      </c>
      <c r="AD17" s="869" t="b">
        <f t="shared" si="15"/>
        <v>1</v>
      </c>
      <c r="AE17" s="869" t="b">
        <f t="shared" si="15"/>
        <v>1</v>
      </c>
      <c r="AF17" s="887" t="str">
        <f t="shared" si="19"/>
        <v/>
      </c>
      <c r="AG17" s="888" t="str">
        <f t="shared" si="20"/>
        <v/>
      </c>
      <c r="AH17" s="888" t="str">
        <f t="shared" si="21"/>
        <v/>
      </c>
      <c r="AI17" s="888" t="str">
        <f t="shared" si="22"/>
        <v/>
      </c>
      <c r="AJ17" s="888" t="str">
        <f t="shared" si="23"/>
        <v/>
      </c>
      <c r="AK17" s="888" t="str">
        <f t="shared" si="24"/>
        <v/>
      </c>
      <c r="AL17" s="888" t="str">
        <f t="shared" si="25"/>
        <v/>
      </c>
      <c r="AM17" s="888" t="str">
        <f t="shared" si="26"/>
        <v/>
      </c>
      <c r="AN17" s="888" t="str">
        <f t="shared" si="27"/>
        <v/>
      </c>
      <c r="AO17" s="888" t="str">
        <f t="shared" si="28"/>
        <v/>
      </c>
      <c r="AP17" s="888" t="str">
        <f t="shared" si="29"/>
        <v/>
      </c>
      <c r="AQ17" s="889" t="str">
        <f t="shared" si="30"/>
        <v/>
      </c>
    </row>
    <row r="18" spans="1:43" s="356" customFormat="1">
      <c r="A18" s="880" t="str">
        <f t="shared" si="31"/>
        <v>2023/03/21</v>
      </c>
      <c r="B18" s="355" t="s">
        <v>310</v>
      </c>
      <c r="C18" s="355" t="str">
        <f t="shared" si="0"/>
        <v xml:space="preserve">Nhiệt độ bồn nước nóng
熱水溫度 </v>
      </c>
      <c r="D18" s="355" t="str">
        <f t="shared" si="1"/>
        <v>XL-001F</v>
      </c>
      <c r="E18" s="355" t="str">
        <f t="shared" si="2"/>
        <v>0C</v>
      </c>
      <c r="F18" s="355" t="str">
        <f t="shared" si="3"/>
        <v>55~65</v>
      </c>
      <c r="G18" s="862">
        <f t="shared" si="17"/>
        <v>0</v>
      </c>
      <c r="H18" s="862">
        <f t="shared" si="4"/>
        <v>0</v>
      </c>
      <c r="I18" s="862">
        <f t="shared" si="5"/>
        <v>0</v>
      </c>
      <c r="J18" s="862">
        <f t="shared" si="6"/>
        <v>0</v>
      </c>
      <c r="K18" s="862">
        <f t="shared" si="7"/>
        <v>0</v>
      </c>
      <c r="L18" s="862">
        <f t="shared" si="8"/>
        <v>0</v>
      </c>
      <c r="M18" s="862">
        <f t="shared" si="9"/>
        <v>0</v>
      </c>
      <c r="N18" s="862">
        <f t="shared" si="10"/>
        <v>0</v>
      </c>
      <c r="O18" s="862">
        <f t="shared" si="11"/>
        <v>0</v>
      </c>
      <c r="P18" s="862">
        <f t="shared" si="12"/>
        <v>0</v>
      </c>
      <c r="Q18" s="862">
        <f t="shared" si="13"/>
        <v>0</v>
      </c>
      <c r="R18" s="862">
        <f t="shared" si="14"/>
        <v>0</v>
      </c>
      <c r="T18" s="869" t="b">
        <f t="shared" si="18"/>
        <v>1</v>
      </c>
      <c r="U18" s="869" t="b">
        <f t="shared" si="15"/>
        <v>1</v>
      </c>
      <c r="V18" s="869" t="b">
        <f t="shared" si="15"/>
        <v>1</v>
      </c>
      <c r="W18" s="869" t="b">
        <f t="shared" si="15"/>
        <v>1</v>
      </c>
      <c r="X18" s="869" t="b">
        <f t="shared" si="15"/>
        <v>1</v>
      </c>
      <c r="Y18" s="869" t="b">
        <f t="shared" si="15"/>
        <v>1</v>
      </c>
      <c r="Z18" s="869" t="b">
        <f t="shared" si="15"/>
        <v>1</v>
      </c>
      <c r="AA18" s="869" t="b">
        <f t="shared" si="15"/>
        <v>1</v>
      </c>
      <c r="AB18" s="869" t="b">
        <f t="shared" si="15"/>
        <v>1</v>
      </c>
      <c r="AC18" s="869" t="b">
        <f t="shared" si="15"/>
        <v>1</v>
      </c>
      <c r="AD18" s="869" t="b">
        <f t="shared" si="15"/>
        <v>1</v>
      </c>
      <c r="AE18" s="869" t="b">
        <f t="shared" si="15"/>
        <v>1</v>
      </c>
      <c r="AF18" s="887" t="str">
        <f t="shared" si="19"/>
        <v/>
      </c>
      <c r="AG18" s="888" t="str">
        <f t="shared" si="20"/>
        <v/>
      </c>
      <c r="AH18" s="888" t="str">
        <f t="shared" si="21"/>
        <v/>
      </c>
      <c r="AI18" s="888" t="str">
        <f t="shared" si="22"/>
        <v/>
      </c>
      <c r="AJ18" s="888" t="str">
        <f t="shared" si="23"/>
        <v/>
      </c>
      <c r="AK18" s="888" t="str">
        <f t="shared" si="24"/>
        <v/>
      </c>
      <c r="AL18" s="888" t="str">
        <f t="shared" si="25"/>
        <v/>
      </c>
      <c r="AM18" s="888" t="str">
        <f t="shared" si="26"/>
        <v/>
      </c>
      <c r="AN18" s="888" t="str">
        <f t="shared" si="27"/>
        <v/>
      </c>
      <c r="AO18" s="888" t="str">
        <f t="shared" si="28"/>
        <v/>
      </c>
      <c r="AP18" s="888" t="str">
        <f t="shared" si="29"/>
        <v/>
      </c>
      <c r="AQ18" s="889" t="str">
        <f t="shared" si="30"/>
        <v/>
      </c>
    </row>
    <row r="19" spans="1:43" s="356" customFormat="1">
      <c r="A19" s="880" t="str">
        <f t="shared" si="31"/>
        <v>2023/03/21</v>
      </c>
      <c r="B19" s="355" t="s">
        <v>311</v>
      </c>
      <c r="C19" s="355" t="str">
        <f t="shared" si="0"/>
        <v>Sấy khô
烘乾</v>
      </c>
      <c r="D19" s="355" t="str">
        <f t="shared" si="1"/>
        <v>XL-001F</v>
      </c>
      <c r="E19" s="355" t="str">
        <f t="shared" si="2"/>
        <v>0C</v>
      </c>
      <c r="F19" s="355" t="str">
        <f t="shared" si="3"/>
        <v>65~75</v>
      </c>
      <c r="G19" s="862">
        <f t="shared" si="17"/>
        <v>0</v>
      </c>
      <c r="H19" s="862">
        <f t="shared" si="4"/>
        <v>0</v>
      </c>
      <c r="I19" s="862">
        <f t="shared" si="5"/>
        <v>0</v>
      </c>
      <c r="J19" s="862">
        <f t="shared" si="6"/>
        <v>0</v>
      </c>
      <c r="K19" s="862">
        <f t="shared" si="7"/>
        <v>0</v>
      </c>
      <c r="L19" s="862">
        <f t="shared" si="8"/>
        <v>0</v>
      </c>
      <c r="M19" s="862">
        <f t="shared" si="9"/>
        <v>0</v>
      </c>
      <c r="N19" s="862">
        <f t="shared" si="10"/>
        <v>0</v>
      </c>
      <c r="O19" s="862">
        <f t="shared" si="11"/>
        <v>0</v>
      </c>
      <c r="P19" s="862">
        <f t="shared" si="12"/>
        <v>0</v>
      </c>
      <c r="Q19" s="862">
        <f t="shared" si="13"/>
        <v>0</v>
      </c>
      <c r="R19" s="862">
        <f t="shared" si="14"/>
        <v>0</v>
      </c>
      <c r="T19" s="869" t="b">
        <f t="shared" si="18"/>
        <v>1</v>
      </c>
      <c r="U19" s="869" t="b">
        <f t="shared" si="15"/>
        <v>1</v>
      </c>
      <c r="V19" s="869" t="b">
        <f t="shared" si="15"/>
        <v>1</v>
      </c>
      <c r="W19" s="869" t="b">
        <f t="shared" si="15"/>
        <v>1</v>
      </c>
      <c r="X19" s="869" t="b">
        <f t="shared" si="15"/>
        <v>1</v>
      </c>
      <c r="Y19" s="869" t="b">
        <f t="shared" si="15"/>
        <v>1</v>
      </c>
      <c r="Z19" s="869" t="b">
        <f t="shared" si="15"/>
        <v>1</v>
      </c>
      <c r="AA19" s="869" t="b">
        <f t="shared" si="15"/>
        <v>1</v>
      </c>
      <c r="AB19" s="869" t="b">
        <f t="shared" si="15"/>
        <v>1</v>
      </c>
      <c r="AC19" s="869" t="b">
        <f t="shared" si="15"/>
        <v>1</v>
      </c>
      <c r="AD19" s="869" t="b">
        <f t="shared" si="15"/>
        <v>1</v>
      </c>
      <c r="AE19" s="869" t="b">
        <f t="shared" si="15"/>
        <v>1</v>
      </c>
      <c r="AF19" s="887" t="str">
        <f t="shared" si="19"/>
        <v/>
      </c>
      <c r="AG19" s="888" t="str">
        <f t="shared" si="20"/>
        <v/>
      </c>
      <c r="AH19" s="888" t="str">
        <f t="shared" si="21"/>
        <v/>
      </c>
      <c r="AI19" s="888" t="str">
        <f t="shared" si="22"/>
        <v/>
      </c>
      <c r="AJ19" s="888" t="str">
        <f t="shared" si="23"/>
        <v/>
      </c>
      <c r="AK19" s="888" t="str">
        <f t="shared" si="24"/>
        <v/>
      </c>
      <c r="AL19" s="888" t="str">
        <f t="shared" si="25"/>
        <v/>
      </c>
      <c r="AM19" s="888" t="str">
        <f t="shared" si="26"/>
        <v/>
      </c>
      <c r="AN19" s="888" t="str">
        <f t="shared" si="27"/>
        <v/>
      </c>
      <c r="AO19" s="888" t="str">
        <f t="shared" si="28"/>
        <v/>
      </c>
      <c r="AP19" s="888" t="str">
        <f t="shared" si="29"/>
        <v/>
      </c>
      <c r="AQ19" s="889" t="str">
        <f t="shared" si="30"/>
        <v/>
      </c>
    </row>
    <row r="20" spans="1:43" s="356" customFormat="1">
      <c r="A20" s="880" t="str">
        <f t="shared" si="31"/>
        <v>2023/03/21</v>
      </c>
      <c r="B20" s="355" t="s">
        <v>328</v>
      </c>
      <c r="C20" s="355" t="str">
        <f t="shared" si="0"/>
        <v>Nhiệt  độ xà bông nóng (1)
 熱脫脂溫度(1)</v>
      </c>
      <c r="D20" s="355" t="str">
        <f t="shared" si="1"/>
        <v>XT-000C</v>
      </c>
      <c r="E20" s="355" t="str">
        <f t="shared" si="2"/>
        <v>0C</v>
      </c>
      <c r="F20" s="355" t="str">
        <f t="shared" si="3"/>
        <v>65~75</v>
      </c>
      <c r="G20" s="862">
        <f t="shared" si="17"/>
        <v>0</v>
      </c>
      <c r="H20" s="862">
        <f t="shared" si="4"/>
        <v>0</v>
      </c>
      <c r="I20" s="862">
        <f t="shared" si="5"/>
        <v>0</v>
      </c>
      <c r="J20" s="862">
        <f t="shared" si="6"/>
        <v>0</v>
      </c>
      <c r="K20" s="862">
        <f t="shared" si="7"/>
        <v>0</v>
      </c>
      <c r="L20" s="862">
        <f t="shared" si="8"/>
        <v>0</v>
      </c>
      <c r="M20" s="862">
        <f t="shared" si="9"/>
        <v>0</v>
      </c>
      <c r="N20" s="862">
        <f t="shared" si="10"/>
        <v>0</v>
      </c>
      <c r="O20" s="862">
        <f t="shared" si="11"/>
        <v>0</v>
      </c>
      <c r="P20" s="862">
        <f t="shared" si="12"/>
        <v>0</v>
      </c>
      <c r="Q20" s="862">
        <f t="shared" si="13"/>
        <v>0</v>
      </c>
      <c r="R20" s="862">
        <f t="shared" si="14"/>
        <v>0</v>
      </c>
      <c r="T20" s="869" t="b">
        <f t="shared" si="18"/>
        <v>1</v>
      </c>
      <c r="U20" s="869" t="b">
        <f t="shared" si="18"/>
        <v>1</v>
      </c>
      <c r="V20" s="869" t="b">
        <f t="shared" si="18"/>
        <v>1</v>
      </c>
      <c r="W20" s="869" t="b">
        <f t="shared" si="18"/>
        <v>1</v>
      </c>
      <c r="X20" s="869" t="b">
        <f t="shared" si="18"/>
        <v>1</v>
      </c>
      <c r="Y20" s="869" t="b">
        <f t="shared" si="18"/>
        <v>1</v>
      </c>
      <c r="Z20" s="869" t="b">
        <f t="shared" si="18"/>
        <v>1</v>
      </c>
      <c r="AA20" s="869" t="b">
        <f t="shared" si="18"/>
        <v>1</v>
      </c>
      <c r="AB20" s="869" t="b">
        <f t="shared" si="18"/>
        <v>1</v>
      </c>
      <c r="AC20" s="869" t="b">
        <f t="shared" si="18"/>
        <v>1</v>
      </c>
      <c r="AD20" s="869" t="b">
        <f t="shared" si="18"/>
        <v>1</v>
      </c>
      <c r="AE20" s="869" t="b">
        <f t="shared" si="18"/>
        <v>1</v>
      </c>
      <c r="AF20" s="887" t="str">
        <f t="shared" si="19"/>
        <v/>
      </c>
      <c r="AG20" s="888" t="str">
        <f t="shared" si="20"/>
        <v/>
      </c>
      <c r="AH20" s="888" t="str">
        <f t="shared" si="21"/>
        <v/>
      </c>
      <c r="AI20" s="888" t="str">
        <f t="shared" si="22"/>
        <v/>
      </c>
      <c r="AJ20" s="888" t="str">
        <f t="shared" si="23"/>
        <v/>
      </c>
      <c r="AK20" s="888" t="str">
        <f t="shared" si="24"/>
        <v/>
      </c>
      <c r="AL20" s="888" t="str">
        <f t="shared" si="25"/>
        <v/>
      </c>
      <c r="AM20" s="888" t="str">
        <f t="shared" si="26"/>
        <v/>
      </c>
      <c r="AN20" s="888" t="str">
        <f t="shared" si="27"/>
        <v/>
      </c>
      <c r="AO20" s="888" t="str">
        <f t="shared" si="28"/>
        <v/>
      </c>
      <c r="AP20" s="888" t="str">
        <f t="shared" si="29"/>
        <v/>
      </c>
      <c r="AQ20" s="889" t="str">
        <f t="shared" si="30"/>
        <v/>
      </c>
    </row>
    <row r="21" spans="1:43" s="356" customFormat="1">
      <c r="A21" s="880" t="str">
        <f t="shared" si="31"/>
        <v>2023/03/21</v>
      </c>
      <c r="B21" s="355" t="s">
        <v>329</v>
      </c>
      <c r="C21" s="355" t="str">
        <f t="shared" si="0"/>
        <v>Nhiệt  độ xà bông nóng (2)
 熱脫脂溫度(2)</v>
      </c>
      <c r="D21" s="355" t="str">
        <f t="shared" si="1"/>
        <v>XT-000C</v>
      </c>
      <c r="E21" s="355" t="str">
        <f t="shared" si="2"/>
        <v>0C</v>
      </c>
      <c r="F21" s="355" t="str">
        <f t="shared" si="3"/>
        <v>65~75</v>
      </c>
      <c r="G21" s="862">
        <f t="shared" si="17"/>
        <v>0</v>
      </c>
      <c r="H21" s="862">
        <f t="shared" si="4"/>
        <v>0</v>
      </c>
      <c r="I21" s="862">
        <f t="shared" si="5"/>
        <v>0</v>
      </c>
      <c r="J21" s="862">
        <f t="shared" si="6"/>
        <v>0</v>
      </c>
      <c r="K21" s="862">
        <f t="shared" si="7"/>
        <v>0</v>
      </c>
      <c r="L21" s="862">
        <f t="shared" si="8"/>
        <v>0</v>
      </c>
      <c r="M21" s="862">
        <f t="shared" si="9"/>
        <v>0</v>
      </c>
      <c r="N21" s="862">
        <f t="shared" si="10"/>
        <v>0</v>
      </c>
      <c r="O21" s="862">
        <f t="shared" si="11"/>
        <v>0</v>
      </c>
      <c r="P21" s="862">
        <f t="shared" si="12"/>
        <v>0</v>
      </c>
      <c r="Q21" s="862">
        <f t="shared" si="13"/>
        <v>0</v>
      </c>
      <c r="R21" s="862">
        <f t="shared" si="14"/>
        <v>0</v>
      </c>
      <c r="T21" s="869" t="b">
        <f t="shared" si="18"/>
        <v>1</v>
      </c>
      <c r="U21" s="869" t="b">
        <f t="shared" si="18"/>
        <v>1</v>
      </c>
      <c r="V21" s="869" t="b">
        <f t="shared" si="18"/>
        <v>1</v>
      </c>
      <c r="W21" s="869" t="b">
        <f t="shared" si="18"/>
        <v>1</v>
      </c>
      <c r="X21" s="869" t="b">
        <f t="shared" si="18"/>
        <v>1</v>
      </c>
      <c r="Y21" s="869" t="b">
        <f t="shared" si="18"/>
        <v>1</v>
      </c>
      <c r="Z21" s="869" t="b">
        <f t="shared" si="18"/>
        <v>1</v>
      </c>
      <c r="AA21" s="869" t="b">
        <f t="shared" si="18"/>
        <v>1</v>
      </c>
      <c r="AB21" s="869" t="b">
        <f t="shared" si="18"/>
        <v>1</v>
      </c>
      <c r="AC21" s="869" t="b">
        <f t="shared" si="18"/>
        <v>1</v>
      </c>
      <c r="AD21" s="869" t="b">
        <f t="shared" si="18"/>
        <v>1</v>
      </c>
      <c r="AE21" s="869" t="b">
        <f t="shared" si="18"/>
        <v>1</v>
      </c>
      <c r="AF21" s="887" t="str">
        <f t="shared" si="19"/>
        <v/>
      </c>
      <c r="AG21" s="888" t="str">
        <f t="shared" si="20"/>
        <v/>
      </c>
      <c r="AH21" s="888" t="str">
        <f t="shared" si="21"/>
        <v/>
      </c>
      <c r="AI21" s="888" t="str">
        <f t="shared" si="22"/>
        <v/>
      </c>
      <c r="AJ21" s="888" t="str">
        <f t="shared" si="23"/>
        <v/>
      </c>
      <c r="AK21" s="888" t="str">
        <f t="shared" si="24"/>
        <v/>
      </c>
      <c r="AL21" s="888" t="str">
        <f t="shared" si="25"/>
        <v/>
      </c>
      <c r="AM21" s="888" t="str">
        <f t="shared" si="26"/>
        <v/>
      </c>
      <c r="AN21" s="888" t="str">
        <f t="shared" si="27"/>
        <v/>
      </c>
      <c r="AO21" s="888" t="str">
        <f t="shared" si="28"/>
        <v/>
      </c>
      <c r="AP21" s="888" t="str">
        <f t="shared" si="29"/>
        <v/>
      </c>
      <c r="AQ21" s="889" t="str">
        <f t="shared" si="30"/>
        <v/>
      </c>
    </row>
    <row r="22" spans="1:43" s="356" customFormat="1">
      <c r="A22" s="880" t="str">
        <f t="shared" si="31"/>
        <v>2023/03/21</v>
      </c>
      <c r="B22" s="355" t="s">
        <v>330</v>
      </c>
      <c r="C22" s="355" t="str">
        <f t="shared" si="0"/>
        <v>Nhiệt độ điện giải (1) 
電解1 溫度</v>
      </c>
      <c r="D22" s="355" t="str">
        <f t="shared" si="1"/>
        <v>XT-000C</v>
      </c>
      <c r="E22" s="355" t="str">
        <f t="shared" si="2"/>
        <v>0C</v>
      </c>
      <c r="F22" s="355" t="str">
        <f t="shared" si="3"/>
        <v>60~70</v>
      </c>
      <c r="G22" s="862">
        <f t="shared" si="17"/>
        <v>0</v>
      </c>
      <c r="H22" s="862">
        <f t="shared" si="4"/>
        <v>0</v>
      </c>
      <c r="I22" s="862">
        <f t="shared" si="5"/>
        <v>0</v>
      </c>
      <c r="J22" s="862">
        <f t="shared" si="6"/>
        <v>0</v>
      </c>
      <c r="K22" s="862">
        <f t="shared" si="7"/>
        <v>0</v>
      </c>
      <c r="L22" s="862">
        <f t="shared" si="8"/>
        <v>0</v>
      </c>
      <c r="M22" s="862">
        <f t="shared" si="9"/>
        <v>0</v>
      </c>
      <c r="N22" s="862">
        <f t="shared" si="10"/>
        <v>0</v>
      </c>
      <c r="O22" s="862">
        <f t="shared" si="11"/>
        <v>0</v>
      </c>
      <c r="P22" s="862">
        <f t="shared" si="12"/>
        <v>0</v>
      </c>
      <c r="Q22" s="862">
        <f t="shared" si="13"/>
        <v>0</v>
      </c>
      <c r="R22" s="862">
        <f t="shared" si="14"/>
        <v>0</v>
      </c>
      <c r="T22" s="869" t="b">
        <f t="shared" si="18"/>
        <v>1</v>
      </c>
      <c r="U22" s="869" t="b">
        <f t="shared" si="18"/>
        <v>1</v>
      </c>
      <c r="V22" s="869" t="b">
        <f t="shared" si="18"/>
        <v>1</v>
      </c>
      <c r="W22" s="869" t="b">
        <f t="shared" si="18"/>
        <v>1</v>
      </c>
      <c r="X22" s="869" t="b">
        <f t="shared" si="18"/>
        <v>1</v>
      </c>
      <c r="Y22" s="869" t="b">
        <f t="shared" si="18"/>
        <v>1</v>
      </c>
      <c r="Z22" s="869" t="b">
        <f t="shared" si="18"/>
        <v>1</v>
      </c>
      <c r="AA22" s="869" t="b">
        <f t="shared" si="18"/>
        <v>1</v>
      </c>
      <c r="AB22" s="869" t="b">
        <f t="shared" si="18"/>
        <v>1</v>
      </c>
      <c r="AC22" s="869" t="b">
        <f t="shared" si="18"/>
        <v>1</v>
      </c>
      <c r="AD22" s="869" t="b">
        <f t="shared" si="18"/>
        <v>1</v>
      </c>
      <c r="AE22" s="869" t="b">
        <f t="shared" si="18"/>
        <v>1</v>
      </c>
      <c r="AF22" s="887" t="str">
        <f t="shared" si="19"/>
        <v/>
      </c>
      <c r="AG22" s="888" t="str">
        <f t="shared" si="20"/>
        <v/>
      </c>
      <c r="AH22" s="888" t="str">
        <f t="shared" si="21"/>
        <v/>
      </c>
      <c r="AI22" s="888" t="str">
        <f t="shared" si="22"/>
        <v/>
      </c>
      <c r="AJ22" s="888" t="str">
        <f t="shared" si="23"/>
        <v/>
      </c>
      <c r="AK22" s="888" t="str">
        <f t="shared" si="24"/>
        <v/>
      </c>
      <c r="AL22" s="888" t="str">
        <f t="shared" si="25"/>
        <v/>
      </c>
      <c r="AM22" s="888" t="str">
        <f t="shared" si="26"/>
        <v/>
      </c>
      <c r="AN22" s="888" t="str">
        <f t="shared" si="27"/>
        <v/>
      </c>
      <c r="AO22" s="888" t="str">
        <f t="shared" si="28"/>
        <v/>
      </c>
      <c r="AP22" s="888" t="str">
        <f t="shared" si="29"/>
        <v/>
      </c>
      <c r="AQ22" s="889" t="str">
        <f t="shared" si="30"/>
        <v/>
      </c>
    </row>
    <row r="23" spans="1:43" s="356" customFormat="1">
      <c r="A23" s="880" t="str">
        <f t="shared" si="31"/>
        <v>2023/03/21</v>
      </c>
      <c r="B23" s="355" t="s">
        <v>331</v>
      </c>
      <c r="C23" s="355" t="str">
        <f t="shared" si="0"/>
        <v>Nhiệt độ điện giải (2)
電解 2 溫度</v>
      </c>
      <c r="D23" s="355" t="str">
        <f t="shared" si="1"/>
        <v>XT-000C</v>
      </c>
      <c r="E23" s="355" t="str">
        <f t="shared" si="2"/>
        <v>0C</v>
      </c>
      <c r="F23" s="355" t="str">
        <f t="shared" si="3"/>
        <v>60~70</v>
      </c>
      <c r="G23" s="862">
        <f t="shared" si="17"/>
        <v>0</v>
      </c>
      <c r="H23" s="862">
        <f t="shared" si="4"/>
        <v>0</v>
      </c>
      <c r="I23" s="862">
        <f t="shared" si="5"/>
        <v>0</v>
      </c>
      <c r="J23" s="862">
        <f t="shared" si="6"/>
        <v>0</v>
      </c>
      <c r="K23" s="862">
        <f t="shared" si="7"/>
        <v>0</v>
      </c>
      <c r="L23" s="862">
        <f t="shared" si="8"/>
        <v>0</v>
      </c>
      <c r="M23" s="862">
        <f t="shared" si="9"/>
        <v>0</v>
      </c>
      <c r="N23" s="862">
        <f t="shared" si="10"/>
        <v>0</v>
      </c>
      <c r="O23" s="862">
        <f t="shared" si="11"/>
        <v>0</v>
      </c>
      <c r="P23" s="862">
        <f t="shared" si="12"/>
        <v>0</v>
      </c>
      <c r="Q23" s="862">
        <f t="shared" si="13"/>
        <v>0</v>
      </c>
      <c r="R23" s="862">
        <f t="shared" si="14"/>
        <v>0</v>
      </c>
      <c r="T23" s="869" t="b">
        <f t="shared" si="18"/>
        <v>1</v>
      </c>
      <c r="U23" s="869" t="b">
        <f t="shared" si="18"/>
        <v>1</v>
      </c>
      <c r="V23" s="869" t="b">
        <f t="shared" si="18"/>
        <v>1</v>
      </c>
      <c r="W23" s="869" t="b">
        <f t="shared" si="18"/>
        <v>1</v>
      </c>
      <c r="X23" s="869" t="b">
        <f t="shared" si="18"/>
        <v>1</v>
      </c>
      <c r="Y23" s="869" t="b">
        <f t="shared" si="18"/>
        <v>1</v>
      </c>
      <c r="Z23" s="869" t="b">
        <f t="shared" si="18"/>
        <v>1</v>
      </c>
      <c r="AA23" s="869" t="b">
        <f t="shared" si="18"/>
        <v>1</v>
      </c>
      <c r="AB23" s="869" t="b">
        <f t="shared" si="18"/>
        <v>1</v>
      </c>
      <c r="AC23" s="869" t="b">
        <f t="shared" si="18"/>
        <v>1</v>
      </c>
      <c r="AD23" s="869" t="b">
        <f t="shared" si="18"/>
        <v>1</v>
      </c>
      <c r="AE23" s="869" t="b">
        <f t="shared" si="18"/>
        <v>1</v>
      </c>
      <c r="AF23" s="887" t="str">
        <f t="shared" si="19"/>
        <v/>
      </c>
      <c r="AG23" s="888" t="str">
        <f t="shared" si="20"/>
        <v/>
      </c>
      <c r="AH23" s="888" t="str">
        <f t="shared" si="21"/>
        <v/>
      </c>
      <c r="AI23" s="888" t="str">
        <f t="shared" si="22"/>
        <v/>
      </c>
      <c r="AJ23" s="888" t="str">
        <f t="shared" si="23"/>
        <v/>
      </c>
      <c r="AK23" s="888" t="str">
        <f t="shared" si="24"/>
        <v/>
      </c>
      <c r="AL23" s="888" t="str">
        <f t="shared" si="25"/>
        <v/>
      </c>
      <c r="AM23" s="888" t="str">
        <f t="shared" si="26"/>
        <v/>
      </c>
      <c r="AN23" s="888" t="str">
        <f t="shared" si="27"/>
        <v/>
      </c>
      <c r="AO23" s="888" t="str">
        <f t="shared" si="28"/>
        <v/>
      </c>
      <c r="AP23" s="888" t="str">
        <f t="shared" si="29"/>
        <v/>
      </c>
      <c r="AQ23" s="889" t="str">
        <f t="shared" si="30"/>
        <v/>
      </c>
    </row>
    <row r="24" spans="1:43" s="356" customFormat="1">
      <c r="A24" s="880" t="str">
        <f t="shared" si="31"/>
        <v>2023/03/21</v>
      </c>
      <c r="B24" s="355" t="s">
        <v>345</v>
      </c>
      <c r="C24" s="355" t="str">
        <f t="shared" si="0"/>
        <v>Nhiệt độ bồn xi
鍍鋅槽溫度</v>
      </c>
      <c r="D24" s="355" t="str">
        <f t="shared" si="1"/>
        <v>XT-000C</v>
      </c>
      <c r="E24" s="355" t="str">
        <f t="shared" si="2"/>
        <v>0C</v>
      </c>
      <c r="F24" s="355" t="str">
        <f t="shared" si="3"/>
        <v>24~26</v>
      </c>
      <c r="G24" s="862">
        <f t="shared" si="17"/>
        <v>0</v>
      </c>
      <c r="H24" s="862">
        <f t="shared" si="4"/>
        <v>0</v>
      </c>
      <c r="I24" s="862">
        <f t="shared" si="5"/>
        <v>0</v>
      </c>
      <c r="J24" s="862">
        <f t="shared" si="6"/>
        <v>0</v>
      </c>
      <c r="K24" s="862">
        <f t="shared" si="7"/>
        <v>0</v>
      </c>
      <c r="L24" s="862">
        <f t="shared" si="8"/>
        <v>0</v>
      </c>
      <c r="M24" s="862">
        <f t="shared" si="9"/>
        <v>0</v>
      </c>
      <c r="N24" s="862">
        <f t="shared" si="10"/>
        <v>0</v>
      </c>
      <c r="O24" s="862">
        <f t="shared" si="11"/>
        <v>0</v>
      </c>
      <c r="P24" s="862">
        <f t="shared" si="12"/>
        <v>0</v>
      </c>
      <c r="Q24" s="862">
        <f t="shared" si="13"/>
        <v>0</v>
      </c>
      <c r="R24" s="862">
        <f t="shared" si="14"/>
        <v>0</v>
      </c>
      <c r="T24" s="869" t="b">
        <f t="shared" si="18"/>
        <v>1</v>
      </c>
      <c r="U24" s="869" t="b">
        <f t="shared" si="18"/>
        <v>1</v>
      </c>
      <c r="V24" s="869" t="b">
        <f t="shared" si="18"/>
        <v>1</v>
      </c>
      <c r="W24" s="869" t="b">
        <f t="shared" si="18"/>
        <v>1</v>
      </c>
      <c r="X24" s="869" t="b">
        <f t="shared" si="18"/>
        <v>1</v>
      </c>
      <c r="Y24" s="869" t="b">
        <f t="shared" si="18"/>
        <v>1</v>
      </c>
      <c r="Z24" s="869" t="b">
        <f t="shared" si="18"/>
        <v>1</v>
      </c>
      <c r="AA24" s="869" t="b">
        <f t="shared" si="18"/>
        <v>1</v>
      </c>
      <c r="AB24" s="869" t="b">
        <f t="shared" si="18"/>
        <v>1</v>
      </c>
      <c r="AC24" s="869" t="b">
        <f t="shared" si="18"/>
        <v>1</v>
      </c>
      <c r="AD24" s="869" t="b">
        <f t="shared" si="18"/>
        <v>1</v>
      </c>
      <c r="AE24" s="869" t="b">
        <f t="shared" si="18"/>
        <v>1</v>
      </c>
      <c r="AF24" s="887" t="str">
        <f t="shared" si="19"/>
        <v/>
      </c>
      <c r="AG24" s="888" t="str">
        <f t="shared" si="20"/>
        <v/>
      </c>
      <c r="AH24" s="888" t="str">
        <f t="shared" si="21"/>
        <v/>
      </c>
      <c r="AI24" s="888" t="str">
        <f t="shared" si="22"/>
        <v/>
      </c>
      <c r="AJ24" s="888" t="str">
        <f t="shared" si="23"/>
        <v/>
      </c>
      <c r="AK24" s="888" t="str">
        <f t="shared" si="24"/>
        <v/>
      </c>
      <c r="AL24" s="888" t="str">
        <f t="shared" si="25"/>
        <v/>
      </c>
      <c r="AM24" s="888" t="str">
        <f t="shared" si="26"/>
        <v/>
      </c>
      <c r="AN24" s="888" t="str">
        <f t="shared" si="27"/>
        <v/>
      </c>
      <c r="AO24" s="888" t="str">
        <f t="shared" si="28"/>
        <v/>
      </c>
      <c r="AP24" s="888" t="str">
        <f t="shared" si="29"/>
        <v/>
      </c>
      <c r="AQ24" s="889" t="str">
        <f t="shared" si="30"/>
        <v/>
      </c>
    </row>
    <row r="25" spans="1:43" s="356" customFormat="1">
      <c r="A25" s="880" t="str">
        <f t="shared" si="31"/>
        <v>2023/03/21</v>
      </c>
      <c r="B25" s="355" t="s">
        <v>332</v>
      </c>
      <c r="C25" s="355" t="str">
        <f t="shared" si="0"/>
        <v>Nhiệt độ bồn màu Cr2O3 (I)
三價鉻 溫度  HALO</v>
      </c>
      <c r="D25" s="355" t="str">
        <f t="shared" si="1"/>
        <v>XT-000C</v>
      </c>
      <c r="E25" s="355" t="str">
        <f t="shared" si="2"/>
        <v>0C</v>
      </c>
      <c r="F25" s="355" t="str">
        <f t="shared" si="3"/>
        <v>34~36</v>
      </c>
      <c r="G25" s="862">
        <f t="shared" si="17"/>
        <v>0</v>
      </c>
      <c r="H25" s="862">
        <f t="shared" si="4"/>
        <v>0</v>
      </c>
      <c r="I25" s="862">
        <f t="shared" si="5"/>
        <v>0</v>
      </c>
      <c r="J25" s="862">
        <f t="shared" si="6"/>
        <v>0</v>
      </c>
      <c r="K25" s="862">
        <f t="shared" si="7"/>
        <v>0</v>
      </c>
      <c r="L25" s="862">
        <f t="shared" si="8"/>
        <v>0</v>
      </c>
      <c r="M25" s="862">
        <f t="shared" si="9"/>
        <v>0</v>
      </c>
      <c r="N25" s="862">
        <f t="shared" si="10"/>
        <v>0</v>
      </c>
      <c r="O25" s="862">
        <f t="shared" si="11"/>
        <v>0</v>
      </c>
      <c r="P25" s="862">
        <f t="shared" si="12"/>
        <v>0</v>
      </c>
      <c r="Q25" s="862">
        <f t="shared" si="13"/>
        <v>0</v>
      </c>
      <c r="R25" s="862">
        <f t="shared" si="14"/>
        <v>0</v>
      </c>
      <c r="T25" s="869" t="b">
        <f t="shared" si="18"/>
        <v>1</v>
      </c>
      <c r="U25" s="869" t="b">
        <f t="shared" si="18"/>
        <v>1</v>
      </c>
      <c r="V25" s="869" t="b">
        <f t="shared" si="18"/>
        <v>1</v>
      </c>
      <c r="W25" s="869" t="b">
        <f t="shared" si="18"/>
        <v>1</v>
      </c>
      <c r="X25" s="869" t="b">
        <f t="shared" si="18"/>
        <v>1</v>
      </c>
      <c r="Y25" s="869" t="b">
        <f t="shared" si="18"/>
        <v>1</v>
      </c>
      <c r="Z25" s="869" t="b">
        <f t="shared" si="18"/>
        <v>1</v>
      </c>
      <c r="AA25" s="869" t="b">
        <f t="shared" si="18"/>
        <v>1</v>
      </c>
      <c r="AB25" s="869" t="b">
        <f t="shared" si="18"/>
        <v>1</v>
      </c>
      <c r="AC25" s="869" t="b">
        <f t="shared" si="18"/>
        <v>1</v>
      </c>
      <c r="AD25" s="869" t="b">
        <f t="shared" si="18"/>
        <v>1</v>
      </c>
      <c r="AE25" s="869" t="b">
        <f t="shared" si="18"/>
        <v>1</v>
      </c>
      <c r="AF25" s="887" t="str">
        <f t="shared" si="19"/>
        <v/>
      </c>
      <c r="AG25" s="888" t="str">
        <f t="shared" si="20"/>
        <v/>
      </c>
      <c r="AH25" s="888" t="str">
        <f t="shared" si="21"/>
        <v/>
      </c>
      <c r="AI25" s="888" t="str">
        <f t="shared" si="22"/>
        <v/>
      </c>
      <c r="AJ25" s="888" t="str">
        <f t="shared" si="23"/>
        <v/>
      </c>
      <c r="AK25" s="888" t="str">
        <f t="shared" si="24"/>
        <v/>
      </c>
      <c r="AL25" s="888" t="str">
        <f t="shared" si="25"/>
        <v/>
      </c>
      <c r="AM25" s="888" t="str">
        <f t="shared" si="26"/>
        <v/>
      </c>
      <c r="AN25" s="888" t="str">
        <f t="shared" si="27"/>
        <v/>
      </c>
      <c r="AO25" s="888" t="str">
        <f t="shared" si="28"/>
        <v/>
      </c>
      <c r="AP25" s="888" t="str">
        <f t="shared" si="29"/>
        <v/>
      </c>
      <c r="AQ25" s="889" t="str">
        <f t="shared" si="30"/>
        <v/>
      </c>
    </row>
    <row r="26" spans="1:43" s="356" customFormat="1">
      <c r="A26" s="880" t="str">
        <f t="shared" si="31"/>
        <v>2023/03/21</v>
      </c>
      <c r="B26" s="355" t="s">
        <v>333</v>
      </c>
      <c r="C26" s="355" t="str">
        <f t="shared" si="0"/>
        <v xml:space="preserve">Nhiệt độ bồn nước nóng
熱水溫度 </v>
      </c>
      <c r="D26" s="355" t="str">
        <f t="shared" si="1"/>
        <v>XT-000C</v>
      </c>
      <c r="E26" s="355" t="str">
        <f t="shared" si="2"/>
        <v>0C</v>
      </c>
      <c r="F26" s="355" t="str">
        <f t="shared" si="3"/>
        <v>55~65</v>
      </c>
      <c r="G26" s="862">
        <f t="shared" si="17"/>
        <v>0</v>
      </c>
      <c r="H26" s="862">
        <f t="shared" si="4"/>
        <v>0</v>
      </c>
      <c r="I26" s="862">
        <f t="shared" si="5"/>
        <v>0</v>
      </c>
      <c r="J26" s="862">
        <f t="shared" si="6"/>
        <v>0</v>
      </c>
      <c r="K26" s="862">
        <f t="shared" si="7"/>
        <v>0</v>
      </c>
      <c r="L26" s="862">
        <f t="shared" si="8"/>
        <v>0</v>
      </c>
      <c r="M26" s="862">
        <f t="shared" si="9"/>
        <v>0</v>
      </c>
      <c r="N26" s="862">
        <f t="shared" si="10"/>
        <v>0</v>
      </c>
      <c r="O26" s="862">
        <f t="shared" si="11"/>
        <v>0</v>
      </c>
      <c r="P26" s="862">
        <f t="shared" si="12"/>
        <v>0</v>
      </c>
      <c r="Q26" s="862">
        <f t="shared" si="13"/>
        <v>0</v>
      </c>
      <c r="R26" s="862">
        <f t="shared" si="14"/>
        <v>0</v>
      </c>
      <c r="T26" s="869" t="b">
        <f t="shared" si="18"/>
        <v>1</v>
      </c>
      <c r="U26" s="869" t="b">
        <f t="shared" si="18"/>
        <v>1</v>
      </c>
      <c r="V26" s="869" t="b">
        <f t="shared" si="18"/>
        <v>1</v>
      </c>
      <c r="W26" s="869" t="b">
        <f t="shared" si="18"/>
        <v>1</v>
      </c>
      <c r="X26" s="869" t="b">
        <f t="shared" si="18"/>
        <v>1</v>
      </c>
      <c r="Y26" s="869" t="b">
        <f t="shared" si="18"/>
        <v>1</v>
      </c>
      <c r="Z26" s="869" t="b">
        <f t="shared" si="18"/>
        <v>1</v>
      </c>
      <c r="AA26" s="869" t="b">
        <f t="shared" si="18"/>
        <v>1</v>
      </c>
      <c r="AB26" s="869" t="b">
        <f t="shared" si="18"/>
        <v>1</v>
      </c>
      <c r="AC26" s="869" t="b">
        <f t="shared" si="18"/>
        <v>1</v>
      </c>
      <c r="AD26" s="869" t="b">
        <f t="shared" si="18"/>
        <v>1</v>
      </c>
      <c r="AE26" s="869" t="b">
        <f t="shared" si="18"/>
        <v>1</v>
      </c>
      <c r="AF26" s="887" t="str">
        <f t="shared" si="19"/>
        <v/>
      </c>
      <c r="AG26" s="888" t="str">
        <f t="shared" si="20"/>
        <v/>
      </c>
      <c r="AH26" s="888" t="str">
        <f t="shared" si="21"/>
        <v/>
      </c>
      <c r="AI26" s="888" t="str">
        <f t="shared" si="22"/>
        <v/>
      </c>
      <c r="AJ26" s="888" t="str">
        <f t="shared" si="23"/>
        <v/>
      </c>
      <c r="AK26" s="888" t="str">
        <f t="shared" si="24"/>
        <v/>
      </c>
      <c r="AL26" s="888" t="str">
        <f t="shared" si="25"/>
        <v/>
      </c>
      <c r="AM26" s="888" t="str">
        <f t="shared" si="26"/>
        <v/>
      </c>
      <c r="AN26" s="888" t="str">
        <f t="shared" si="27"/>
        <v/>
      </c>
      <c r="AO26" s="888" t="str">
        <f t="shared" si="28"/>
        <v/>
      </c>
      <c r="AP26" s="888" t="str">
        <f t="shared" si="29"/>
        <v/>
      </c>
      <c r="AQ26" s="889" t="str">
        <f t="shared" si="30"/>
        <v/>
      </c>
    </row>
    <row r="27" spans="1:43" s="356" customFormat="1">
      <c r="A27" s="880" t="str">
        <f t="shared" si="31"/>
        <v>2023/03/21</v>
      </c>
      <c r="B27" s="355" t="s">
        <v>334</v>
      </c>
      <c r="C27" s="355" t="str">
        <f t="shared" si="0"/>
        <v>Sấy khô
烘乾</v>
      </c>
      <c r="D27" s="355" t="str">
        <f t="shared" si="1"/>
        <v>XT-000C</v>
      </c>
      <c r="E27" s="355" t="str">
        <f t="shared" si="2"/>
        <v>0C</v>
      </c>
      <c r="F27" s="355" t="str">
        <f t="shared" si="3"/>
        <v>65~75</v>
      </c>
      <c r="G27" s="862">
        <f t="shared" si="17"/>
        <v>0</v>
      </c>
      <c r="H27" s="862">
        <f t="shared" si="4"/>
        <v>0</v>
      </c>
      <c r="I27" s="862">
        <f t="shared" si="5"/>
        <v>0</v>
      </c>
      <c r="J27" s="862">
        <f t="shared" si="6"/>
        <v>0</v>
      </c>
      <c r="K27" s="862">
        <f t="shared" si="7"/>
        <v>0</v>
      </c>
      <c r="L27" s="862">
        <f t="shared" si="8"/>
        <v>0</v>
      </c>
      <c r="M27" s="862">
        <f t="shared" si="9"/>
        <v>0</v>
      </c>
      <c r="N27" s="862">
        <f t="shared" si="10"/>
        <v>0</v>
      </c>
      <c r="O27" s="862">
        <f t="shared" si="11"/>
        <v>0</v>
      </c>
      <c r="P27" s="862">
        <f t="shared" si="12"/>
        <v>0</v>
      </c>
      <c r="Q27" s="862">
        <f t="shared" si="13"/>
        <v>0</v>
      </c>
      <c r="R27" s="862">
        <f t="shared" si="14"/>
        <v>0</v>
      </c>
      <c r="T27" s="869" t="b">
        <f t="shared" si="18"/>
        <v>1</v>
      </c>
      <c r="U27" s="869" t="b">
        <f t="shared" si="18"/>
        <v>1</v>
      </c>
      <c r="V27" s="869" t="b">
        <f t="shared" si="18"/>
        <v>1</v>
      </c>
      <c r="W27" s="869" t="b">
        <f t="shared" si="18"/>
        <v>1</v>
      </c>
      <c r="X27" s="869" t="b">
        <f t="shared" si="18"/>
        <v>1</v>
      </c>
      <c r="Y27" s="869" t="b">
        <f t="shared" si="18"/>
        <v>1</v>
      </c>
      <c r="Z27" s="869" t="b">
        <f t="shared" si="18"/>
        <v>1</v>
      </c>
      <c r="AA27" s="869" t="b">
        <f t="shared" si="18"/>
        <v>1</v>
      </c>
      <c r="AB27" s="869" t="b">
        <f t="shared" si="18"/>
        <v>1</v>
      </c>
      <c r="AC27" s="869" t="b">
        <f t="shared" si="18"/>
        <v>1</v>
      </c>
      <c r="AD27" s="869" t="b">
        <f t="shared" si="18"/>
        <v>1</v>
      </c>
      <c r="AE27" s="869" t="b">
        <f t="shared" si="18"/>
        <v>1</v>
      </c>
      <c r="AF27" s="887" t="str">
        <f t="shared" si="19"/>
        <v/>
      </c>
      <c r="AG27" s="888" t="str">
        <f t="shared" si="20"/>
        <v/>
      </c>
      <c r="AH27" s="888" t="str">
        <f t="shared" si="21"/>
        <v/>
      </c>
      <c r="AI27" s="888" t="str">
        <f t="shared" si="22"/>
        <v/>
      </c>
      <c r="AJ27" s="888" t="str">
        <f t="shared" si="23"/>
        <v/>
      </c>
      <c r="AK27" s="888" t="str">
        <f t="shared" si="24"/>
        <v/>
      </c>
      <c r="AL27" s="888" t="str">
        <f t="shared" si="25"/>
        <v/>
      </c>
      <c r="AM27" s="888" t="str">
        <f t="shared" si="26"/>
        <v/>
      </c>
      <c r="AN27" s="888" t="str">
        <f t="shared" si="27"/>
        <v/>
      </c>
      <c r="AO27" s="888" t="str">
        <f t="shared" si="28"/>
        <v/>
      </c>
      <c r="AP27" s="888" t="str">
        <f t="shared" si="29"/>
        <v/>
      </c>
      <c r="AQ27" s="889" t="str">
        <f t="shared" si="30"/>
        <v/>
      </c>
    </row>
    <row r="28" spans="1:43" s="860" customFormat="1">
      <c r="A28" s="880" t="str">
        <f t="shared" si="31"/>
        <v>2023/03/21</v>
      </c>
      <c r="B28" s="831" t="s">
        <v>479</v>
      </c>
      <c r="C28" s="831" t="str">
        <f t="shared" ref="C28:C51" si="32">IFERROR(VLOOKUP($B28,RLMLXD,2,0),"")</f>
        <v>Muối axit Phosphoric (1)
磷酸鹽</v>
      </c>
      <c r="D28" s="831" t="str">
        <f t="shared" ref="D28:D51" si="33">IFERROR(VLOOKUP($B28,RLMLXD,43,0),"")</f>
        <v>CR-000E</v>
      </c>
      <c r="E28" s="831" t="str">
        <f t="shared" ref="E28:E51" si="34">IFERROR(VLOOKUP($B28,RLMLXD,4,0),"")</f>
        <v>0C</v>
      </c>
      <c r="F28" s="831" t="str">
        <f t="shared" ref="F28:F51" si="35">IFERROR(VLOOKUP($B28,RLMLXD,5,0),"")</f>
        <v>65~85OC</v>
      </c>
      <c r="G28" s="864">
        <f t="shared" ref="G28:G51" si="36">IFERROR(VLOOKUP($B28,RLMLXD,8,0),"")</f>
        <v>0</v>
      </c>
      <c r="H28" s="864">
        <f t="shared" ref="H28:H51" si="37">IFERROR(VLOOKUP($B28,RLMLXD,11,0),"")</f>
        <v>0</v>
      </c>
      <c r="I28" s="864">
        <f t="shared" ref="I28:I51" si="38">IFERROR(VLOOKUP($B28,RLMLXD,14,0),"")</f>
        <v>0</v>
      </c>
      <c r="J28" s="864">
        <f t="shared" ref="J28:J51" si="39">IFERROR(VLOOKUP($B28,RLMLXD,17,0),"")</f>
        <v>0</v>
      </c>
      <c r="K28" s="864">
        <f t="shared" ref="K28:K51" si="40">IFERROR(VLOOKUP($B28,RLMLXD,20,0),"")</f>
        <v>0</v>
      </c>
      <c r="L28" s="864">
        <f t="shared" ref="L28:L51" si="41">IFERROR(VLOOKUP($B28,RLMLXD,23,0),"")</f>
        <v>0</v>
      </c>
      <c r="M28" s="864">
        <f t="shared" ref="M28:M51" si="42">IFERROR(VLOOKUP($B28,RLMLXD,26,0),"")</f>
        <v>0</v>
      </c>
      <c r="N28" s="864">
        <f t="shared" ref="N28:N51" si="43">IFERROR(VLOOKUP($B28,RLMLXD,29,0),"")</f>
        <v>0</v>
      </c>
      <c r="O28" s="864">
        <f t="shared" ref="O28:O51" si="44">IFERROR(VLOOKUP($B28,RLMLXD,32,0),"")</f>
        <v>0</v>
      </c>
      <c r="P28" s="864">
        <f t="shared" ref="P28:P51" si="45">IFERROR(VLOOKUP($B28,RLMLXD,35,0),"")</f>
        <v>0</v>
      </c>
      <c r="Q28" s="864">
        <f t="shared" ref="Q28:Q51" si="46">IFERROR(VLOOKUP($B28,RLMLXD,38,0),"")</f>
        <v>0</v>
      </c>
      <c r="R28" s="864">
        <f t="shared" ref="R28:R51" si="47">IFERROR(VLOOKUP($B28,RLMLXD,41,0),"")</f>
        <v>0</v>
      </c>
      <c r="T28" s="869" t="b">
        <f t="shared" si="18"/>
        <v>1</v>
      </c>
      <c r="U28" s="869" t="b">
        <f t="shared" si="18"/>
        <v>1</v>
      </c>
      <c r="V28" s="869" t="b">
        <f t="shared" si="18"/>
        <v>1</v>
      </c>
      <c r="W28" s="869" t="b">
        <f t="shared" si="18"/>
        <v>1</v>
      </c>
      <c r="X28" s="869" t="b">
        <f t="shared" si="18"/>
        <v>1</v>
      </c>
      <c r="Y28" s="869" t="b">
        <f t="shared" si="18"/>
        <v>1</v>
      </c>
      <c r="Z28" s="869" t="b">
        <f t="shared" si="18"/>
        <v>1</v>
      </c>
      <c r="AA28" s="869" t="b">
        <f t="shared" si="18"/>
        <v>1</v>
      </c>
      <c r="AB28" s="869" t="b">
        <f t="shared" si="18"/>
        <v>1</v>
      </c>
      <c r="AC28" s="869" t="b">
        <f t="shared" si="18"/>
        <v>1</v>
      </c>
      <c r="AD28" s="869" t="b">
        <f t="shared" si="18"/>
        <v>1</v>
      </c>
      <c r="AE28" s="869" t="b">
        <f t="shared" si="18"/>
        <v>1</v>
      </c>
      <c r="AF28" s="887" t="str">
        <f t="shared" si="19"/>
        <v/>
      </c>
      <c r="AG28" s="888" t="str">
        <f t="shared" si="20"/>
        <v/>
      </c>
      <c r="AH28" s="888" t="str">
        <f t="shared" si="21"/>
        <v/>
      </c>
      <c r="AI28" s="888" t="str">
        <f t="shared" si="22"/>
        <v/>
      </c>
      <c r="AJ28" s="888" t="str">
        <f t="shared" si="23"/>
        <v/>
      </c>
      <c r="AK28" s="888" t="str">
        <f t="shared" si="24"/>
        <v/>
      </c>
      <c r="AL28" s="888" t="str">
        <f t="shared" si="25"/>
        <v/>
      </c>
      <c r="AM28" s="888" t="str">
        <f t="shared" si="26"/>
        <v/>
      </c>
      <c r="AN28" s="888" t="str">
        <f t="shared" si="27"/>
        <v/>
      </c>
      <c r="AO28" s="888" t="str">
        <f t="shared" si="28"/>
        <v/>
      </c>
      <c r="AP28" s="888" t="str">
        <f t="shared" si="29"/>
        <v/>
      </c>
      <c r="AQ28" s="889" t="str">
        <f t="shared" si="30"/>
        <v/>
      </c>
    </row>
    <row r="29" spans="1:43">
      <c r="A29" s="880" t="str">
        <f t="shared" si="31"/>
        <v>2023/03/21</v>
      </c>
      <c r="B29" s="355" t="s">
        <v>481</v>
      </c>
      <c r="C29" s="355" t="str">
        <f t="shared" si="32"/>
        <v>Muối axit Phosphoric (2)
磷酸鹽</v>
      </c>
      <c r="D29" s="355" t="str">
        <f t="shared" si="33"/>
        <v>CR-000E</v>
      </c>
      <c r="E29" s="355" t="str">
        <f t="shared" si="34"/>
        <v>0C</v>
      </c>
      <c r="F29" s="355" t="str">
        <f t="shared" si="35"/>
        <v>65~85OC</v>
      </c>
      <c r="G29" s="862">
        <f t="shared" si="36"/>
        <v>0</v>
      </c>
      <c r="H29" s="862">
        <f t="shared" si="37"/>
        <v>0</v>
      </c>
      <c r="I29" s="862">
        <f t="shared" si="38"/>
        <v>0</v>
      </c>
      <c r="J29" s="862">
        <f t="shared" si="39"/>
        <v>0</v>
      </c>
      <c r="K29" s="862">
        <f t="shared" si="40"/>
        <v>0</v>
      </c>
      <c r="L29" s="862">
        <f t="shared" si="41"/>
        <v>0</v>
      </c>
      <c r="M29" s="862">
        <f t="shared" si="42"/>
        <v>0</v>
      </c>
      <c r="N29" s="862">
        <f t="shared" si="43"/>
        <v>0</v>
      </c>
      <c r="O29" s="862">
        <f t="shared" si="44"/>
        <v>0</v>
      </c>
      <c r="P29" s="862">
        <f t="shared" si="45"/>
        <v>0</v>
      </c>
      <c r="Q29" s="862">
        <f t="shared" si="46"/>
        <v>0</v>
      </c>
      <c r="R29" s="862">
        <f t="shared" si="47"/>
        <v>0</v>
      </c>
      <c r="T29" s="869" t="b">
        <f t="shared" si="18"/>
        <v>1</v>
      </c>
      <c r="U29" s="869" t="b">
        <f t="shared" si="18"/>
        <v>1</v>
      </c>
      <c r="V29" s="869" t="b">
        <f t="shared" si="18"/>
        <v>1</v>
      </c>
      <c r="W29" s="869" t="b">
        <f t="shared" si="18"/>
        <v>1</v>
      </c>
      <c r="X29" s="869" t="b">
        <f t="shared" si="18"/>
        <v>1</v>
      </c>
      <c r="Y29" s="869" t="b">
        <f t="shared" si="18"/>
        <v>1</v>
      </c>
      <c r="Z29" s="869" t="b">
        <f t="shared" si="18"/>
        <v>1</v>
      </c>
      <c r="AA29" s="869" t="b">
        <f t="shared" si="18"/>
        <v>1</v>
      </c>
      <c r="AB29" s="869" t="b">
        <f t="shared" si="18"/>
        <v>1</v>
      </c>
      <c r="AC29" s="869" t="b">
        <f t="shared" si="18"/>
        <v>1</v>
      </c>
      <c r="AD29" s="869" t="b">
        <f t="shared" si="18"/>
        <v>1</v>
      </c>
      <c r="AE29" s="869" t="b">
        <f t="shared" si="18"/>
        <v>1</v>
      </c>
      <c r="AF29" s="887" t="str">
        <f t="shared" si="19"/>
        <v/>
      </c>
      <c r="AG29" s="888" t="str">
        <f t="shared" si="20"/>
        <v/>
      </c>
      <c r="AH29" s="888" t="str">
        <f t="shared" si="21"/>
        <v/>
      </c>
      <c r="AI29" s="888" t="str">
        <f t="shared" si="22"/>
        <v/>
      </c>
      <c r="AJ29" s="888" t="str">
        <f t="shared" si="23"/>
        <v/>
      </c>
      <c r="AK29" s="888" t="str">
        <f t="shared" si="24"/>
        <v/>
      </c>
      <c r="AL29" s="888" t="str">
        <f t="shared" si="25"/>
        <v/>
      </c>
      <c r="AM29" s="888" t="str">
        <f t="shared" si="26"/>
        <v/>
      </c>
      <c r="AN29" s="888" t="str">
        <f t="shared" si="27"/>
        <v/>
      </c>
      <c r="AO29" s="888" t="str">
        <f t="shared" si="28"/>
        <v/>
      </c>
      <c r="AP29" s="888" t="str">
        <f t="shared" si="29"/>
        <v/>
      </c>
      <c r="AQ29" s="889" t="str">
        <f t="shared" si="30"/>
        <v/>
      </c>
    </row>
    <row r="30" spans="1:43">
      <c r="A30" s="880" t="str">
        <f t="shared" si="31"/>
        <v>2023/03/21</v>
      </c>
      <c r="B30" s="355" t="s">
        <v>483</v>
      </c>
      <c r="C30" s="355" t="str">
        <f t="shared" si="32"/>
        <v>Xà bông bôi trơn
潤滑皂</v>
      </c>
      <c r="D30" s="355" t="str">
        <f t="shared" si="33"/>
        <v>CR-000E</v>
      </c>
      <c r="E30" s="355" t="str">
        <f t="shared" si="34"/>
        <v>0C</v>
      </c>
      <c r="F30" s="355" t="str">
        <f t="shared" si="35"/>
        <v>80~90OC</v>
      </c>
      <c r="G30" s="862">
        <f t="shared" si="36"/>
        <v>0</v>
      </c>
      <c r="H30" s="862">
        <f t="shared" si="37"/>
        <v>0</v>
      </c>
      <c r="I30" s="862">
        <f t="shared" si="38"/>
        <v>0</v>
      </c>
      <c r="J30" s="862">
        <f t="shared" si="39"/>
        <v>0</v>
      </c>
      <c r="K30" s="862">
        <f t="shared" si="40"/>
        <v>0</v>
      </c>
      <c r="L30" s="862">
        <f t="shared" si="41"/>
        <v>0</v>
      </c>
      <c r="M30" s="862">
        <f t="shared" si="42"/>
        <v>0</v>
      </c>
      <c r="N30" s="862">
        <f t="shared" si="43"/>
        <v>0</v>
      </c>
      <c r="O30" s="862">
        <f t="shared" si="44"/>
        <v>0</v>
      </c>
      <c r="P30" s="862">
        <f t="shared" si="45"/>
        <v>0</v>
      </c>
      <c r="Q30" s="862">
        <f t="shared" si="46"/>
        <v>0</v>
      </c>
      <c r="R30" s="862">
        <f t="shared" si="47"/>
        <v>0</v>
      </c>
      <c r="T30" s="869" t="b">
        <f t="shared" si="18"/>
        <v>1</v>
      </c>
      <c r="U30" s="869" t="b">
        <f t="shared" si="18"/>
        <v>1</v>
      </c>
      <c r="V30" s="869" t="b">
        <f t="shared" si="18"/>
        <v>1</v>
      </c>
      <c r="W30" s="869" t="b">
        <f t="shared" si="18"/>
        <v>1</v>
      </c>
      <c r="X30" s="869" t="b">
        <f t="shared" si="18"/>
        <v>1</v>
      </c>
      <c r="Y30" s="869" t="b">
        <f t="shared" si="18"/>
        <v>1</v>
      </c>
      <c r="Z30" s="869" t="b">
        <f t="shared" si="18"/>
        <v>1</v>
      </c>
      <c r="AA30" s="869" t="b">
        <f t="shared" si="18"/>
        <v>1</v>
      </c>
      <c r="AB30" s="869" t="b">
        <f t="shared" si="18"/>
        <v>1</v>
      </c>
      <c r="AC30" s="869" t="b">
        <f t="shared" si="18"/>
        <v>1</v>
      </c>
      <c r="AD30" s="869" t="b">
        <f t="shared" si="18"/>
        <v>1</v>
      </c>
      <c r="AE30" s="869" t="b">
        <f t="shared" si="18"/>
        <v>1</v>
      </c>
      <c r="AF30" s="887" t="str">
        <f t="shared" si="19"/>
        <v/>
      </c>
      <c r="AG30" s="888" t="str">
        <f t="shared" si="20"/>
        <v/>
      </c>
      <c r="AH30" s="888" t="str">
        <f t="shared" si="21"/>
        <v/>
      </c>
      <c r="AI30" s="888" t="str">
        <f t="shared" si="22"/>
        <v/>
      </c>
      <c r="AJ30" s="888" t="str">
        <f t="shared" si="23"/>
        <v/>
      </c>
      <c r="AK30" s="888" t="str">
        <f t="shared" si="24"/>
        <v/>
      </c>
      <c r="AL30" s="888" t="str">
        <f t="shared" si="25"/>
        <v/>
      </c>
      <c r="AM30" s="888" t="str">
        <f t="shared" si="26"/>
        <v/>
      </c>
      <c r="AN30" s="888" t="str">
        <f t="shared" si="27"/>
        <v/>
      </c>
      <c r="AO30" s="888" t="str">
        <f t="shared" si="28"/>
        <v/>
      </c>
      <c r="AP30" s="888" t="str">
        <f t="shared" si="29"/>
        <v/>
      </c>
      <c r="AQ30" s="889" t="str">
        <f t="shared" si="30"/>
        <v/>
      </c>
    </row>
    <row r="31" spans="1:43">
      <c r="A31" s="880" t="str">
        <f t="shared" si="31"/>
        <v>2023/03/21</v>
      </c>
      <c r="B31" s="355" t="s">
        <v>488</v>
      </c>
      <c r="C31" s="355" t="str">
        <f t="shared" si="32"/>
        <v/>
      </c>
      <c r="D31" s="355" t="str">
        <f t="shared" si="33"/>
        <v/>
      </c>
      <c r="E31" s="355" t="str">
        <f t="shared" si="34"/>
        <v/>
      </c>
      <c r="F31" s="355" t="str">
        <f t="shared" si="35"/>
        <v/>
      </c>
      <c r="G31" s="862" t="str">
        <f t="shared" si="36"/>
        <v/>
      </c>
      <c r="H31" s="862" t="str">
        <f t="shared" si="37"/>
        <v/>
      </c>
      <c r="I31" s="862" t="str">
        <f t="shared" si="38"/>
        <v/>
      </c>
      <c r="J31" s="862" t="str">
        <f t="shared" si="39"/>
        <v/>
      </c>
      <c r="K31" s="862" t="str">
        <f t="shared" si="40"/>
        <v/>
      </c>
      <c r="L31" s="862" t="str">
        <f t="shared" si="41"/>
        <v/>
      </c>
      <c r="M31" s="862" t="str">
        <f t="shared" si="42"/>
        <v/>
      </c>
      <c r="N31" s="862" t="str">
        <f t="shared" si="43"/>
        <v/>
      </c>
      <c r="O31" s="862" t="str">
        <f t="shared" si="44"/>
        <v/>
      </c>
      <c r="P31" s="862" t="str">
        <f t="shared" si="45"/>
        <v/>
      </c>
      <c r="Q31" s="862" t="str">
        <f t="shared" si="46"/>
        <v/>
      </c>
      <c r="R31" s="862" t="str">
        <f t="shared" si="47"/>
        <v/>
      </c>
      <c r="T31" s="869" t="b">
        <f t="shared" si="18"/>
        <v>0</v>
      </c>
      <c r="U31" s="869" t="b">
        <f t="shared" si="18"/>
        <v>0</v>
      </c>
      <c r="V31" s="869" t="b">
        <f t="shared" si="18"/>
        <v>0</v>
      </c>
      <c r="W31" s="869" t="b">
        <f t="shared" si="18"/>
        <v>0</v>
      </c>
      <c r="X31" s="869" t="b">
        <f t="shared" si="18"/>
        <v>0</v>
      </c>
      <c r="Y31" s="869" t="b">
        <f t="shared" si="18"/>
        <v>0</v>
      </c>
      <c r="Z31" s="869" t="b">
        <f t="shared" si="18"/>
        <v>0</v>
      </c>
      <c r="AA31" s="869" t="b">
        <f t="shared" si="18"/>
        <v>0</v>
      </c>
      <c r="AB31" s="869" t="b">
        <f t="shared" si="18"/>
        <v>0</v>
      </c>
      <c r="AC31" s="869" t="b">
        <f t="shared" si="18"/>
        <v>0</v>
      </c>
      <c r="AD31" s="869" t="b">
        <f t="shared" si="18"/>
        <v>0</v>
      </c>
      <c r="AE31" s="869" t="b">
        <f t="shared" si="18"/>
        <v>0</v>
      </c>
      <c r="AF31" s="887">
        <f t="shared" si="19"/>
        <v>1</v>
      </c>
      <c r="AG31" s="888">
        <f t="shared" si="20"/>
        <v>1</v>
      </c>
      <c r="AH31" s="888">
        <f t="shared" si="21"/>
        <v>1</v>
      </c>
      <c r="AI31" s="888">
        <f t="shared" si="22"/>
        <v>1</v>
      </c>
      <c r="AJ31" s="888">
        <f t="shared" si="23"/>
        <v>1</v>
      </c>
      <c r="AK31" s="888">
        <f t="shared" si="24"/>
        <v>1</v>
      </c>
      <c r="AL31" s="888">
        <f t="shared" si="25"/>
        <v>1</v>
      </c>
      <c r="AM31" s="888">
        <f t="shared" si="26"/>
        <v>1</v>
      </c>
      <c r="AN31" s="888">
        <f t="shared" si="27"/>
        <v>1</v>
      </c>
      <c r="AO31" s="888">
        <f t="shared" si="28"/>
        <v>1</v>
      </c>
      <c r="AP31" s="888">
        <f t="shared" si="29"/>
        <v>1</v>
      </c>
      <c r="AQ31" s="889">
        <f t="shared" si="30"/>
        <v>1</v>
      </c>
    </row>
    <row r="32" spans="1:43">
      <c r="A32" s="880" t="str">
        <f t="shared" si="31"/>
        <v>2023/03/21</v>
      </c>
      <c r="B32" s="355" t="s">
        <v>490</v>
      </c>
      <c r="C32" s="355" t="str">
        <f t="shared" si="32"/>
        <v/>
      </c>
      <c r="D32" s="355" t="str">
        <f t="shared" si="33"/>
        <v/>
      </c>
      <c r="E32" s="355" t="str">
        <f t="shared" si="34"/>
        <v/>
      </c>
      <c r="F32" s="355" t="str">
        <f t="shared" si="35"/>
        <v/>
      </c>
      <c r="G32" s="862" t="str">
        <f t="shared" si="36"/>
        <v/>
      </c>
      <c r="H32" s="862" t="str">
        <f t="shared" si="37"/>
        <v/>
      </c>
      <c r="I32" s="862" t="str">
        <f t="shared" si="38"/>
        <v/>
      </c>
      <c r="J32" s="862" t="str">
        <f t="shared" si="39"/>
        <v/>
      </c>
      <c r="K32" s="862" t="str">
        <f t="shared" si="40"/>
        <v/>
      </c>
      <c r="L32" s="862" t="str">
        <f t="shared" si="41"/>
        <v/>
      </c>
      <c r="M32" s="862" t="str">
        <f t="shared" si="42"/>
        <v/>
      </c>
      <c r="N32" s="862" t="str">
        <f t="shared" si="43"/>
        <v/>
      </c>
      <c r="O32" s="862" t="str">
        <f t="shared" si="44"/>
        <v/>
      </c>
      <c r="P32" s="862" t="str">
        <f t="shared" si="45"/>
        <v/>
      </c>
      <c r="Q32" s="862" t="str">
        <f t="shared" si="46"/>
        <v/>
      </c>
      <c r="R32" s="862" t="str">
        <f t="shared" si="47"/>
        <v/>
      </c>
      <c r="T32" s="869" t="b">
        <f t="shared" si="18"/>
        <v>0</v>
      </c>
      <c r="U32" s="869" t="b">
        <f t="shared" si="18"/>
        <v>0</v>
      </c>
      <c r="V32" s="869" t="b">
        <f t="shared" si="18"/>
        <v>0</v>
      </c>
      <c r="W32" s="869" t="b">
        <f t="shared" si="18"/>
        <v>0</v>
      </c>
      <c r="X32" s="869" t="b">
        <f t="shared" si="18"/>
        <v>0</v>
      </c>
      <c r="Y32" s="869" t="b">
        <f t="shared" si="18"/>
        <v>0</v>
      </c>
      <c r="Z32" s="869" t="b">
        <f t="shared" si="18"/>
        <v>0</v>
      </c>
      <c r="AA32" s="869" t="b">
        <f t="shared" si="18"/>
        <v>0</v>
      </c>
      <c r="AB32" s="869" t="b">
        <f t="shared" si="18"/>
        <v>0</v>
      </c>
      <c r="AC32" s="869" t="b">
        <f t="shared" si="18"/>
        <v>0</v>
      </c>
      <c r="AD32" s="869" t="b">
        <f t="shared" si="18"/>
        <v>0</v>
      </c>
      <c r="AE32" s="869" t="b">
        <f t="shared" si="18"/>
        <v>0</v>
      </c>
      <c r="AF32" s="887">
        <f t="shared" si="19"/>
        <v>1</v>
      </c>
      <c r="AG32" s="888">
        <f t="shared" si="20"/>
        <v>1</v>
      </c>
      <c r="AH32" s="888">
        <f t="shared" si="21"/>
        <v>1</v>
      </c>
      <c r="AI32" s="888">
        <f t="shared" si="22"/>
        <v>1</v>
      </c>
      <c r="AJ32" s="888">
        <f t="shared" si="23"/>
        <v>1</v>
      </c>
      <c r="AK32" s="888">
        <f t="shared" si="24"/>
        <v>1</v>
      </c>
      <c r="AL32" s="888">
        <f t="shared" si="25"/>
        <v>1</v>
      </c>
      <c r="AM32" s="888">
        <f t="shared" si="26"/>
        <v>1</v>
      </c>
      <c r="AN32" s="888">
        <f t="shared" si="27"/>
        <v>1</v>
      </c>
      <c r="AO32" s="888">
        <f t="shared" si="28"/>
        <v>1</v>
      </c>
      <c r="AP32" s="888">
        <f t="shared" si="29"/>
        <v>1</v>
      </c>
      <c r="AQ32" s="889">
        <f t="shared" si="30"/>
        <v>1</v>
      </c>
    </row>
    <row r="33" spans="1:43">
      <c r="A33" s="880" t="str">
        <f t="shared" si="31"/>
        <v>2023/03/21</v>
      </c>
      <c r="B33" s="355" t="s">
        <v>503</v>
      </c>
      <c r="C33" s="355" t="str">
        <f t="shared" si="32"/>
        <v/>
      </c>
      <c r="D33" s="355" t="str">
        <f t="shared" si="33"/>
        <v/>
      </c>
      <c r="E33" s="355" t="str">
        <f t="shared" si="34"/>
        <v/>
      </c>
      <c r="F33" s="355" t="str">
        <f t="shared" si="35"/>
        <v/>
      </c>
      <c r="G33" s="862" t="str">
        <f t="shared" si="36"/>
        <v/>
      </c>
      <c r="H33" s="862" t="str">
        <f t="shared" si="37"/>
        <v/>
      </c>
      <c r="I33" s="862" t="str">
        <f t="shared" si="38"/>
        <v/>
      </c>
      <c r="J33" s="862" t="str">
        <f t="shared" si="39"/>
        <v/>
      </c>
      <c r="K33" s="862" t="str">
        <f t="shared" si="40"/>
        <v/>
      </c>
      <c r="L33" s="862" t="str">
        <f t="shared" si="41"/>
        <v/>
      </c>
      <c r="M33" s="862" t="str">
        <f t="shared" si="42"/>
        <v/>
      </c>
      <c r="N33" s="862" t="str">
        <f t="shared" si="43"/>
        <v/>
      </c>
      <c r="O33" s="862" t="str">
        <f t="shared" si="44"/>
        <v/>
      </c>
      <c r="P33" s="862" t="str">
        <f t="shared" si="45"/>
        <v/>
      </c>
      <c r="Q33" s="862" t="str">
        <f t="shared" si="46"/>
        <v/>
      </c>
      <c r="R33" s="862" t="str">
        <f t="shared" si="47"/>
        <v/>
      </c>
      <c r="T33" s="869" t="b">
        <f t="shared" si="18"/>
        <v>0</v>
      </c>
      <c r="U33" s="869" t="b">
        <f t="shared" si="18"/>
        <v>0</v>
      </c>
      <c r="V33" s="869" t="b">
        <f t="shared" si="18"/>
        <v>0</v>
      </c>
      <c r="W33" s="869" t="b">
        <f t="shared" si="18"/>
        <v>0</v>
      </c>
      <c r="X33" s="869" t="b">
        <f t="shared" si="18"/>
        <v>0</v>
      </c>
      <c r="Y33" s="869" t="b">
        <f t="shared" si="18"/>
        <v>0</v>
      </c>
      <c r="Z33" s="869" t="b">
        <f t="shared" si="18"/>
        <v>0</v>
      </c>
      <c r="AA33" s="869" t="b">
        <f t="shared" si="18"/>
        <v>0</v>
      </c>
      <c r="AB33" s="869" t="b">
        <f t="shared" si="18"/>
        <v>0</v>
      </c>
      <c r="AC33" s="869" t="b">
        <f t="shared" si="18"/>
        <v>0</v>
      </c>
      <c r="AD33" s="869" t="b">
        <f t="shared" si="18"/>
        <v>0</v>
      </c>
      <c r="AE33" s="869" t="b">
        <f t="shared" si="18"/>
        <v>0</v>
      </c>
      <c r="AF33" s="887">
        <f t="shared" si="19"/>
        <v>1</v>
      </c>
      <c r="AG33" s="888">
        <f t="shared" si="20"/>
        <v>1</v>
      </c>
      <c r="AH33" s="888">
        <f t="shared" si="21"/>
        <v>1</v>
      </c>
      <c r="AI33" s="888">
        <f t="shared" si="22"/>
        <v>1</v>
      </c>
      <c r="AJ33" s="888">
        <f t="shared" si="23"/>
        <v>1</v>
      </c>
      <c r="AK33" s="888">
        <f t="shared" si="24"/>
        <v>1</v>
      </c>
      <c r="AL33" s="888">
        <f t="shared" si="25"/>
        <v>1</v>
      </c>
      <c r="AM33" s="888">
        <f t="shared" si="26"/>
        <v>1</v>
      </c>
      <c r="AN33" s="888">
        <f t="shared" si="27"/>
        <v>1</v>
      </c>
      <c r="AO33" s="888">
        <f t="shared" si="28"/>
        <v>1</v>
      </c>
      <c r="AP33" s="888">
        <f t="shared" si="29"/>
        <v>1</v>
      </c>
      <c r="AQ33" s="889">
        <f t="shared" si="30"/>
        <v>1</v>
      </c>
    </row>
    <row r="34" spans="1:43">
      <c r="A34" s="880" t="str">
        <f t="shared" si="31"/>
        <v>2023/03/21</v>
      </c>
      <c r="B34" s="355" t="s">
        <v>504</v>
      </c>
      <c r="C34" s="355" t="str">
        <f t="shared" si="32"/>
        <v/>
      </c>
      <c r="D34" s="355" t="str">
        <f t="shared" si="33"/>
        <v/>
      </c>
      <c r="E34" s="355" t="str">
        <f t="shared" si="34"/>
        <v/>
      </c>
      <c r="F34" s="355" t="str">
        <f t="shared" si="35"/>
        <v/>
      </c>
      <c r="G34" s="862" t="str">
        <f t="shared" si="36"/>
        <v/>
      </c>
      <c r="H34" s="862" t="str">
        <f t="shared" si="37"/>
        <v/>
      </c>
      <c r="I34" s="862" t="str">
        <f t="shared" si="38"/>
        <v/>
      </c>
      <c r="J34" s="862" t="str">
        <f t="shared" si="39"/>
        <v/>
      </c>
      <c r="K34" s="862" t="str">
        <f t="shared" si="40"/>
        <v/>
      </c>
      <c r="L34" s="862" t="str">
        <f t="shared" si="41"/>
        <v/>
      </c>
      <c r="M34" s="862" t="str">
        <f t="shared" si="42"/>
        <v/>
      </c>
      <c r="N34" s="862" t="str">
        <f t="shared" si="43"/>
        <v/>
      </c>
      <c r="O34" s="862" t="str">
        <f t="shared" si="44"/>
        <v/>
      </c>
      <c r="P34" s="862" t="str">
        <f t="shared" si="45"/>
        <v/>
      </c>
      <c r="Q34" s="862" t="str">
        <f t="shared" si="46"/>
        <v/>
      </c>
      <c r="R34" s="862" t="str">
        <f t="shared" si="47"/>
        <v/>
      </c>
      <c r="T34" s="869" t="b">
        <f t="shared" si="18"/>
        <v>0</v>
      </c>
      <c r="U34" s="869" t="b">
        <f t="shared" si="18"/>
        <v>0</v>
      </c>
      <c r="V34" s="869" t="b">
        <f t="shared" si="18"/>
        <v>0</v>
      </c>
      <c r="W34" s="869" t="b">
        <f t="shared" si="18"/>
        <v>0</v>
      </c>
      <c r="X34" s="869" t="b">
        <f t="shared" si="18"/>
        <v>0</v>
      </c>
      <c r="Y34" s="869" t="b">
        <f t="shared" si="18"/>
        <v>0</v>
      </c>
      <c r="Z34" s="869" t="b">
        <f t="shared" si="18"/>
        <v>0</v>
      </c>
      <c r="AA34" s="869" t="b">
        <f t="shared" si="18"/>
        <v>0</v>
      </c>
      <c r="AB34" s="869" t="b">
        <f t="shared" si="18"/>
        <v>0</v>
      </c>
      <c r="AC34" s="869" t="b">
        <f t="shared" si="18"/>
        <v>0</v>
      </c>
      <c r="AD34" s="869" t="b">
        <f t="shared" si="18"/>
        <v>0</v>
      </c>
      <c r="AE34" s="869" t="b">
        <f t="shared" si="18"/>
        <v>0</v>
      </c>
      <c r="AF34" s="887">
        <f t="shared" si="19"/>
        <v>1</v>
      </c>
      <c r="AG34" s="888">
        <f t="shared" si="20"/>
        <v>1</v>
      </c>
      <c r="AH34" s="888">
        <f t="shared" si="21"/>
        <v>1</v>
      </c>
      <c r="AI34" s="888">
        <f t="shared" si="22"/>
        <v>1</v>
      </c>
      <c r="AJ34" s="888">
        <f t="shared" si="23"/>
        <v>1</v>
      </c>
      <c r="AK34" s="888">
        <f t="shared" si="24"/>
        <v>1</v>
      </c>
      <c r="AL34" s="888">
        <f t="shared" si="25"/>
        <v>1</v>
      </c>
      <c r="AM34" s="888">
        <f t="shared" si="26"/>
        <v>1</v>
      </c>
      <c r="AN34" s="888">
        <f t="shared" si="27"/>
        <v>1</v>
      </c>
      <c r="AO34" s="888">
        <f t="shared" si="28"/>
        <v>1</v>
      </c>
      <c r="AP34" s="888">
        <f t="shared" si="29"/>
        <v>1</v>
      </c>
      <c r="AQ34" s="889">
        <f t="shared" si="30"/>
        <v>1</v>
      </c>
    </row>
    <row r="35" spans="1:43">
      <c r="A35" s="880" t="str">
        <f t="shared" si="31"/>
        <v>2023/03/21</v>
      </c>
      <c r="B35" s="355" t="s">
        <v>505</v>
      </c>
      <c r="C35" s="355" t="str">
        <f t="shared" si="32"/>
        <v/>
      </c>
      <c r="D35" s="355" t="str">
        <f t="shared" si="33"/>
        <v/>
      </c>
      <c r="E35" s="355" t="str">
        <f t="shared" si="34"/>
        <v/>
      </c>
      <c r="F35" s="355" t="str">
        <f t="shared" si="35"/>
        <v/>
      </c>
      <c r="G35" s="862" t="str">
        <f t="shared" si="36"/>
        <v/>
      </c>
      <c r="H35" s="862" t="str">
        <f t="shared" si="37"/>
        <v/>
      </c>
      <c r="I35" s="862" t="str">
        <f t="shared" si="38"/>
        <v/>
      </c>
      <c r="J35" s="862" t="str">
        <f t="shared" si="39"/>
        <v/>
      </c>
      <c r="K35" s="862" t="str">
        <f t="shared" si="40"/>
        <v/>
      </c>
      <c r="L35" s="862" t="str">
        <f t="shared" si="41"/>
        <v/>
      </c>
      <c r="M35" s="862" t="str">
        <f t="shared" si="42"/>
        <v/>
      </c>
      <c r="N35" s="862" t="str">
        <f t="shared" si="43"/>
        <v/>
      </c>
      <c r="O35" s="862" t="str">
        <f t="shared" si="44"/>
        <v/>
      </c>
      <c r="P35" s="862" t="str">
        <f t="shared" si="45"/>
        <v/>
      </c>
      <c r="Q35" s="862" t="str">
        <f t="shared" si="46"/>
        <v/>
      </c>
      <c r="R35" s="862" t="str">
        <f t="shared" si="47"/>
        <v/>
      </c>
      <c r="T35" s="869" t="b">
        <f t="shared" si="18"/>
        <v>0</v>
      </c>
      <c r="U35" s="869" t="b">
        <f t="shared" si="18"/>
        <v>0</v>
      </c>
      <c r="V35" s="869" t="b">
        <f t="shared" si="18"/>
        <v>0</v>
      </c>
      <c r="W35" s="869" t="b">
        <f t="shared" si="18"/>
        <v>0</v>
      </c>
      <c r="X35" s="869" t="b">
        <f t="shared" si="18"/>
        <v>0</v>
      </c>
      <c r="Y35" s="869" t="b">
        <f t="shared" si="18"/>
        <v>0</v>
      </c>
      <c r="Z35" s="869" t="b">
        <f t="shared" si="18"/>
        <v>0</v>
      </c>
      <c r="AA35" s="869" t="b">
        <f t="shared" si="18"/>
        <v>0</v>
      </c>
      <c r="AB35" s="869" t="b">
        <f t="shared" si="18"/>
        <v>0</v>
      </c>
      <c r="AC35" s="869" t="b">
        <f t="shared" si="18"/>
        <v>0</v>
      </c>
      <c r="AD35" s="869" t="b">
        <f t="shared" si="18"/>
        <v>0</v>
      </c>
      <c r="AE35" s="869" t="b">
        <f t="shared" si="18"/>
        <v>0</v>
      </c>
      <c r="AF35" s="887">
        <f t="shared" si="19"/>
        <v>1</v>
      </c>
      <c r="AG35" s="888">
        <f t="shared" si="20"/>
        <v>1</v>
      </c>
      <c r="AH35" s="888">
        <f t="shared" si="21"/>
        <v>1</v>
      </c>
      <c r="AI35" s="888">
        <f t="shared" si="22"/>
        <v>1</v>
      </c>
      <c r="AJ35" s="888">
        <f t="shared" si="23"/>
        <v>1</v>
      </c>
      <c r="AK35" s="888">
        <f t="shared" si="24"/>
        <v>1</v>
      </c>
      <c r="AL35" s="888">
        <f t="shared" si="25"/>
        <v>1</v>
      </c>
      <c r="AM35" s="888">
        <f t="shared" si="26"/>
        <v>1</v>
      </c>
      <c r="AN35" s="888">
        <f t="shared" si="27"/>
        <v>1</v>
      </c>
      <c r="AO35" s="888">
        <f t="shared" si="28"/>
        <v>1</v>
      </c>
      <c r="AP35" s="888">
        <f t="shared" si="29"/>
        <v>1</v>
      </c>
      <c r="AQ35" s="889">
        <f t="shared" si="30"/>
        <v>1</v>
      </c>
    </row>
    <row r="36" spans="1:43">
      <c r="A36" s="880" t="str">
        <f t="shared" si="31"/>
        <v>2023/03/21</v>
      </c>
      <c r="B36" s="355" t="s">
        <v>541</v>
      </c>
      <c r="C36" s="355" t="str">
        <f t="shared" si="32"/>
        <v>Xà bông 1
預脫脂</v>
      </c>
      <c r="D36" s="355" t="str">
        <f t="shared" si="33"/>
        <v>XD-000A</v>
      </c>
      <c r="E36" s="355" t="str">
        <f t="shared" si="34"/>
        <v>0C</v>
      </c>
      <c r="F36" s="355" t="str">
        <f t="shared" si="35"/>
        <v>51~59OC
(55OC)</v>
      </c>
      <c r="G36" s="862">
        <f t="shared" si="36"/>
        <v>0</v>
      </c>
      <c r="H36" s="862">
        <f t="shared" si="37"/>
        <v>0</v>
      </c>
      <c r="I36" s="862">
        <f t="shared" si="38"/>
        <v>0</v>
      </c>
      <c r="J36" s="862">
        <f t="shared" si="39"/>
        <v>0</v>
      </c>
      <c r="K36" s="862">
        <f t="shared" si="40"/>
        <v>0</v>
      </c>
      <c r="L36" s="862">
        <f t="shared" si="41"/>
        <v>0</v>
      </c>
      <c r="M36" s="862">
        <f t="shared" si="42"/>
        <v>0</v>
      </c>
      <c r="N36" s="862">
        <f t="shared" si="43"/>
        <v>0</v>
      </c>
      <c r="O36" s="862">
        <f t="shared" si="44"/>
        <v>0</v>
      </c>
      <c r="P36" s="862">
        <f t="shared" si="45"/>
        <v>0</v>
      </c>
      <c r="Q36" s="862">
        <f t="shared" si="46"/>
        <v>0</v>
      </c>
      <c r="R36" s="862">
        <f t="shared" si="47"/>
        <v>0</v>
      </c>
      <c r="T36" s="869" t="b">
        <f t="shared" si="18"/>
        <v>1</v>
      </c>
      <c r="U36" s="869" t="b">
        <f t="shared" si="18"/>
        <v>1</v>
      </c>
      <c r="V36" s="869" t="b">
        <f t="shared" si="18"/>
        <v>1</v>
      </c>
      <c r="W36" s="869" t="b">
        <f t="shared" si="18"/>
        <v>1</v>
      </c>
      <c r="X36" s="869" t="b">
        <f t="shared" si="18"/>
        <v>1</v>
      </c>
      <c r="Y36" s="869" t="b">
        <f t="shared" si="18"/>
        <v>1</v>
      </c>
      <c r="Z36" s="869" t="b">
        <f t="shared" si="18"/>
        <v>1</v>
      </c>
      <c r="AA36" s="869" t="b">
        <f t="shared" si="18"/>
        <v>1</v>
      </c>
      <c r="AB36" s="869" t="b">
        <f t="shared" si="18"/>
        <v>1</v>
      </c>
      <c r="AC36" s="869" t="b">
        <f t="shared" si="18"/>
        <v>1</v>
      </c>
      <c r="AD36" s="869" t="b">
        <f t="shared" si="18"/>
        <v>1</v>
      </c>
      <c r="AE36" s="869" t="b">
        <f t="shared" si="18"/>
        <v>1</v>
      </c>
      <c r="AF36" s="887" t="str">
        <f t="shared" si="19"/>
        <v/>
      </c>
      <c r="AG36" s="888" t="str">
        <f t="shared" si="20"/>
        <v/>
      </c>
      <c r="AH36" s="888" t="str">
        <f t="shared" si="21"/>
        <v/>
      </c>
      <c r="AI36" s="888" t="str">
        <f t="shared" si="22"/>
        <v/>
      </c>
      <c r="AJ36" s="888" t="str">
        <f t="shared" si="23"/>
        <v/>
      </c>
      <c r="AK36" s="888" t="str">
        <f t="shared" si="24"/>
        <v/>
      </c>
      <c r="AL36" s="888" t="str">
        <f t="shared" si="25"/>
        <v/>
      </c>
      <c r="AM36" s="888" t="str">
        <f t="shared" si="26"/>
        <v/>
      </c>
      <c r="AN36" s="888" t="str">
        <f t="shared" si="27"/>
        <v/>
      </c>
      <c r="AO36" s="888" t="str">
        <f t="shared" si="28"/>
        <v/>
      </c>
      <c r="AP36" s="888" t="str">
        <f t="shared" si="29"/>
        <v/>
      </c>
      <c r="AQ36" s="889" t="str">
        <f t="shared" si="30"/>
        <v/>
      </c>
    </row>
    <row r="37" spans="1:43">
      <c r="A37" s="880" t="str">
        <f t="shared" si="31"/>
        <v>2023/03/21</v>
      </c>
      <c r="B37" s="355" t="s">
        <v>543</v>
      </c>
      <c r="C37" s="355" t="str">
        <f t="shared" si="32"/>
        <v>Xà bông 2
主脫脂</v>
      </c>
      <c r="D37" s="355" t="str">
        <f t="shared" si="33"/>
        <v>XD-000A</v>
      </c>
      <c r="E37" s="355" t="str">
        <f t="shared" si="34"/>
        <v>0C</v>
      </c>
      <c r="F37" s="355" t="str">
        <f t="shared" si="35"/>
        <v>51~59OC
(55OC)</v>
      </c>
      <c r="G37" s="862">
        <f t="shared" si="36"/>
        <v>0</v>
      </c>
      <c r="H37" s="862">
        <f t="shared" si="37"/>
        <v>0</v>
      </c>
      <c r="I37" s="862">
        <f t="shared" si="38"/>
        <v>0</v>
      </c>
      <c r="J37" s="862">
        <f t="shared" si="39"/>
        <v>0</v>
      </c>
      <c r="K37" s="862">
        <f t="shared" si="40"/>
        <v>0</v>
      </c>
      <c r="L37" s="862">
        <f t="shared" si="41"/>
        <v>0</v>
      </c>
      <c r="M37" s="862">
        <f t="shared" si="42"/>
        <v>0</v>
      </c>
      <c r="N37" s="862">
        <f t="shared" si="43"/>
        <v>0</v>
      </c>
      <c r="O37" s="862">
        <f t="shared" si="44"/>
        <v>0</v>
      </c>
      <c r="P37" s="862">
        <f t="shared" si="45"/>
        <v>0</v>
      </c>
      <c r="Q37" s="862">
        <f t="shared" si="46"/>
        <v>0</v>
      </c>
      <c r="R37" s="862">
        <f t="shared" si="47"/>
        <v>0</v>
      </c>
      <c r="T37" s="869" t="b">
        <f t="shared" si="18"/>
        <v>1</v>
      </c>
      <c r="U37" s="869" t="b">
        <f t="shared" si="18"/>
        <v>1</v>
      </c>
      <c r="V37" s="869" t="b">
        <f t="shared" si="18"/>
        <v>1</v>
      </c>
      <c r="W37" s="869" t="b">
        <f t="shared" si="18"/>
        <v>1</v>
      </c>
      <c r="X37" s="869" t="b">
        <f t="shared" si="18"/>
        <v>1</v>
      </c>
      <c r="Y37" s="869" t="b">
        <f t="shared" si="18"/>
        <v>1</v>
      </c>
      <c r="Z37" s="869" t="b">
        <f t="shared" si="18"/>
        <v>1</v>
      </c>
      <c r="AA37" s="869" t="b">
        <f t="shared" si="18"/>
        <v>1</v>
      </c>
      <c r="AB37" s="869" t="b">
        <f t="shared" si="18"/>
        <v>1</v>
      </c>
      <c r="AC37" s="869" t="b">
        <f t="shared" si="18"/>
        <v>1</v>
      </c>
      <c r="AD37" s="869" t="b">
        <f t="shared" si="18"/>
        <v>1</v>
      </c>
      <c r="AE37" s="869" t="b">
        <f t="shared" si="18"/>
        <v>1</v>
      </c>
      <c r="AF37" s="887" t="str">
        <f t="shared" si="19"/>
        <v/>
      </c>
      <c r="AG37" s="888" t="str">
        <f t="shared" si="20"/>
        <v/>
      </c>
      <c r="AH37" s="888" t="str">
        <f t="shared" si="21"/>
        <v/>
      </c>
      <c r="AI37" s="888" t="str">
        <f t="shared" si="22"/>
        <v/>
      </c>
      <c r="AJ37" s="888" t="str">
        <f t="shared" si="23"/>
        <v/>
      </c>
      <c r="AK37" s="888" t="str">
        <f t="shared" si="24"/>
        <v/>
      </c>
      <c r="AL37" s="888" t="str">
        <f t="shared" si="25"/>
        <v/>
      </c>
      <c r="AM37" s="888" t="str">
        <f t="shared" si="26"/>
        <v/>
      </c>
      <c r="AN37" s="888" t="str">
        <f t="shared" si="27"/>
        <v/>
      </c>
      <c r="AO37" s="888" t="str">
        <f t="shared" si="28"/>
        <v/>
      </c>
      <c r="AP37" s="888" t="str">
        <f t="shared" si="29"/>
        <v/>
      </c>
      <c r="AQ37" s="889" t="str">
        <f t="shared" si="30"/>
        <v/>
      </c>
    </row>
    <row r="38" spans="1:43">
      <c r="A38" s="880" t="str">
        <f t="shared" si="31"/>
        <v>2023/03/21</v>
      </c>
      <c r="B38" s="355" t="s">
        <v>544</v>
      </c>
      <c r="C38" s="355" t="str">
        <f t="shared" si="32"/>
        <v xml:space="preserve">Xà bông siêu âm
超音波脫脂
</v>
      </c>
      <c r="D38" s="355" t="str">
        <f t="shared" si="33"/>
        <v>XD-000A</v>
      </c>
      <c r="E38" s="355" t="str">
        <f t="shared" si="34"/>
        <v>0C</v>
      </c>
      <c r="F38" s="355" t="str">
        <f t="shared" si="35"/>
        <v>51~59OC
(55OC)</v>
      </c>
      <c r="G38" s="862">
        <f t="shared" si="36"/>
        <v>0</v>
      </c>
      <c r="H38" s="862">
        <f t="shared" si="37"/>
        <v>0</v>
      </c>
      <c r="I38" s="862">
        <f t="shared" si="38"/>
        <v>0</v>
      </c>
      <c r="J38" s="862">
        <f t="shared" si="39"/>
        <v>0</v>
      </c>
      <c r="K38" s="862">
        <f t="shared" si="40"/>
        <v>0</v>
      </c>
      <c r="L38" s="862">
        <f t="shared" si="41"/>
        <v>0</v>
      </c>
      <c r="M38" s="862">
        <f t="shared" si="42"/>
        <v>0</v>
      </c>
      <c r="N38" s="862">
        <f t="shared" si="43"/>
        <v>0</v>
      </c>
      <c r="O38" s="862">
        <f t="shared" si="44"/>
        <v>0</v>
      </c>
      <c r="P38" s="862">
        <f t="shared" si="45"/>
        <v>0</v>
      </c>
      <c r="Q38" s="862">
        <f t="shared" si="46"/>
        <v>0</v>
      </c>
      <c r="R38" s="862">
        <f t="shared" si="47"/>
        <v>0</v>
      </c>
      <c r="T38" s="869" t="b">
        <f t="shared" si="18"/>
        <v>1</v>
      </c>
      <c r="U38" s="869" t="b">
        <f t="shared" si="18"/>
        <v>1</v>
      </c>
      <c r="V38" s="869" t="b">
        <f t="shared" si="18"/>
        <v>1</v>
      </c>
      <c r="W38" s="869" t="b">
        <f t="shared" si="18"/>
        <v>1</v>
      </c>
      <c r="X38" s="869" t="b">
        <f t="shared" si="18"/>
        <v>1</v>
      </c>
      <c r="Y38" s="869" t="b">
        <f t="shared" si="18"/>
        <v>1</v>
      </c>
      <c r="Z38" s="869" t="b">
        <f t="shared" si="18"/>
        <v>1</v>
      </c>
      <c r="AA38" s="869" t="b">
        <f t="shared" si="18"/>
        <v>1</v>
      </c>
      <c r="AB38" s="869" t="b">
        <f t="shared" si="18"/>
        <v>1</v>
      </c>
      <c r="AC38" s="869" t="b">
        <f t="shared" si="18"/>
        <v>1</v>
      </c>
      <c r="AD38" s="869" t="b">
        <f t="shared" si="18"/>
        <v>1</v>
      </c>
      <c r="AE38" s="869" t="b">
        <f t="shared" si="18"/>
        <v>1</v>
      </c>
      <c r="AF38" s="887" t="str">
        <f t="shared" si="19"/>
        <v/>
      </c>
      <c r="AG38" s="888" t="str">
        <f t="shared" si="20"/>
        <v/>
      </c>
      <c r="AH38" s="888" t="str">
        <f t="shared" si="21"/>
        <v/>
      </c>
      <c r="AI38" s="888" t="str">
        <f t="shared" si="22"/>
        <v/>
      </c>
      <c r="AJ38" s="888" t="str">
        <f t="shared" si="23"/>
        <v/>
      </c>
      <c r="AK38" s="888" t="str">
        <f t="shared" si="24"/>
        <v/>
      </c>
      <c r="AL38" s="888" t="str">
        <f t="shared" si="25"/>
        <v/>
      </c>
      <c r="AM38" s="888" t="str">
        <f t="shared" si="26"/>
        <v/>
      </c>
      <c r="AN38" s="888" t="str">
        <f t="shared" si="27"/>
        <v/>
      </c>
      <c r="AO38" s="888" t="str">
        <f t="shared" si="28"/>
        <v/>
      </c>
      <c r="AP38" s="888" t="str">
        <f t="shared" si="29"/>
        <v/>
      </c>
      <c r="AQ38" s="889" t="str">
        <f t="shared" si="30"/>
        <v/>
      </c>
    </row>
    <row r="39" spans="1:43">
      <c r="A39" s="880" t="str">
        <f t="shared" si="31"/>
        <v>2023/03/21</v>
      </c>
      <c r="B39" s="355" t="s">
        <v>545</v>
      </c>
      <c r="C39" s="355" t="str">
        <f t="shared" si="32"/>
        <v>phosphat    
磷化處理</v>
      </c>
      <c r="D39" s="355" t="str">
        <f t="shared" si="33"/>
        <v>XD-000A</v>
      </c>
      <c r="E39" s="355" t="str">
        <f t="shared" si="34"/>
        <v>0C</v>
      </c>
      <c r="F39" s="355" t="str">
        <f t="shared" si="35"/>
        <v>30~40OC
(35OC)</v>
      </c>
      <c r="G39" s="862">
        <f t="shared" si="36"/>
        <v>0</v>
      </c>
      <c r="H39" s="862">
        <f t="shared" si="37"/>
        <v>0</v>
      </c>
      <c r="I39" s="862">
        <f t="shared" si="38"/>
        <v>0</v>
      </c>
      <c r="J39" s="862">
        <f t="shared" si="39"/>
        <v>0</v>
      </c>
      <c r="K39" s="862">
        <f t="shared" si="40"/>
        <v>0</v>
      </c>
      <c r="L39" s="862">
        <f t="shared" si="41"/>
        <v>0</v>
      </c>
      <c r="M39" s="862">
        <f t="shared" si="42"/>
        <v>0</v>
      </c>
      <c r="N39" s="862">
        <f t="shared" si="43"/>
        <v>0</v>
      </c>
      <c r="O39" s="862">
        <f t="shared" si="44"/>
        <v>0</v>
      </c>
      <c r="P39" s="862">
        <f t="shared" si="45"/>
        <v>0</v>
      </c>
      <c r="Q39" s="862">
        <f t="shared" si="46"/>
        <v>0</v>
      </c>
      <c r="R39" s="862">
        <f t="shared" si="47"/>
        <v>0</v>
      </c>
      <c r="T39" s="869" t="b">
        <f t="shared" si="18"/>
        <v>1</v>
      </c>
      <c r="U39" s="869" t="b">
        <f t="shared" si="18"/>
        <v>1</v>
      </c>
      <c r="V39" s="869" t="b">
        <f t="shared" si="18"/>
        <v>1</v>
      </c>
      <c r="W39" s="869" t="b">
        <f t="shared" si="18"/>
        <v>1</v>
      </c>
      <c r="X39" s="869" t="b">
        <f t="shared" si="18"/>
        <v>1</v>
      </c>
      <c r="Y39" s="869" t="b">
        <f t="shared" si="18"/>
        <v>1</v>
      </c>
      <c r="Z39" s="869" t="b">
        <f t="shared" si="18"/>
        <v>1</v>
      </c>
      <c r="AA39" s="869" t="b">
        <f t="shared" si="18"/>
        <v>1</v>
      </c>
      <c r="AB39" s="869" t="b">
        <f t="shared" si="18"/>
        <v>1</v>
      </c>
      <c r="AC39" s="869" t="b">
        <f t="shared" si="18"/>
        <v>1</v>
      </c>
      <c r="AD39" s="869" t="b">
        <f t="shared" si="18"/>
        <v>1</v>
      </c>
      <c r="AE39" s="869" t="b">
        <f t="shared" si="18"/>
        <v>1</v>
      </c>
      <c r="AF39" s="887" t="str">
        <f t="shared" si="19"/>
        <v/>
      </c>
      <c r="AG39" s="888" t="str">
        <f t="shared" si="20"/>
        <v/>
      </c>
      <c r="AH39" s="888" t="str">
        <f t="shared" si="21"/>
        <v/>
      </c>
      <c r="AI39" s="888" t="str">
        <f t="shared" si="22"/>
        <v/>
      </c>
      <c r="AJ39" s="888" t="str">
        <f t="shared" si="23"/>
        <v/>
      </c>
      <c r="AK39" s="888" t="str">
        <f t="shared" si="24"/>
        <v/>
      </c>
      <c r="AL39" s="888" t="str">
        <f t="shared" si="25"/>
        <v/>
      </c>
      <c r="AM39" s="888" t="str">
        <f t="shared" si="26"/>
        <v/>
      </c>
      <c r="AN39" s="888" t="str">
        <f t="shared" si="27"/>
        <v/>
      </c>
      <c r="AO39" s="888" t="str">
        <f t="shared" si="28"/>
        <v/>
      </c>
      <c r="AP39" s="888" t="str">
        <f t="shared" si="29"/>
        <v/>
      </c>
      <c r="AQ39" s="889" t="str">
        <f t="shared" si="30"/>
        <v/>
      </c>
    </row>
    <row r="40" spans="1:43">
      <c r="A40" s="880" t="str">
        <f t="shared" si="31"/>
        <v>2023/03/21</v>
      </c>
      <c r="B40" s="355" t="s">
        <v>548</v>
      </c>
      <c r="C40" s="355" t="str">
        <f t="shared" si="32"/>
        <v>ED電泳 
ED Bồn sơn tĩnh điện  1</v>
      </c>
      <c r="D40" s="355" t="str">
        <f t="shared" si="33"/>
        <v>XD-000A</v>
      </c>
      <c r="E40" s="355" t="str">
        <f t="shared" si="34"/>
        <v>0C</v>
      </c>
      <c r="F40" s="355" t="str">
        <f t="shared" si="35"/>
        <v>26~32OC
(29OC)</v>
      </c>
      <c r="G40" s="862">
        <f t="shared" si="36"/>
        <v>0</v>
      </c>
      <c r="H40" s="862">
        <f t="shared" si="37"/>
        <v>0</v>
      </c>
      <c r="I40" s="862">
        <f t="shared" si="38"/>
        <v>0</v>
      </c>
      <c r="J40" s="862">
        <f t="shared" si="39"/>
        <v>0</v>
      </c>
      <c r="K40" s="862">
        <f t="shared" si="40"/>
        <v>0</v>
      </c>
      <c r="L40" s="862">
        <f t="shared" si="41"/>
        <v>0</v>
      </c>
      <c r="M40" s="862">
        <f t="shared" si="42"/>
        <v>0</v>
      </c>
      <c r="N40" s="862">
        <f t="shared" si="43"/>
        <v>0</v>
      </c>
      <c r="O40" s="862">
        <f t="shared" si="44"/>
        <v>0</v>
      </c>
      <c r="P40" s="862">
        <f t="shared" si="45"/>
        <v>0</v>
      </c>
      <c r="Q40" s="862">
        <f t="shared" si="46"/>
        <v>0</v>
      </c>
      <c r="R40" s="862">
        <f t="shared" si="47"/>
        <v>0</v>
      </c>
      <c r="T40" s="869" t="b">
        <f t="shared" ref="T40:AE51" si="48">ISNUMBER(G40)</f>
        <v>1</v>
      </c>
      <c r="U40" s="869" t="b">
        <f t="shared" si="48"/>
        <v>1</v>
      </c>
      <c r="V40" s="869" t="b">
        <f t="shared" si="48"/>
        <v>1</v>
      </c>
      <c r="W40" s="869" t="b">
        <f t="shared" si="48"/>
        <v>1</v>
      </c>
      <c r="X40" s="869" t="b">
        <f t="shared" si="48"/>
        <v>1</v>
      </c>
      <c r="Y40" s="869" t="b">
        <f t="shared" si="48"/>
        <v>1</v>
      </c>
      <c r="Z40" s="869" t="b">
        <f t="shared" si="48"/>
        <v>1</v>
      </c>
      <c r="AA40" s="869" t="b">
        <f t="shared" si="48"/>
        <v>1</v>
      </c>
      <c r="AB40" s="869" t="b">
        <f t="shared" si="48"/>
        <v>1</v>
      </c>
      <c r="AC40" s="869" t="b">
        <f t="shared" si="48"/>
        <v>1</v>
      </c>
      <c r="AD40" s="869" t="b">
        <f t="shared" si="48"/>
        <v>1</v>
      </c>
      <c r="AE40" s="869" t="b">
        <f t="shared" si="48"/>
        <v>1</v>
      </c>
      <c r="AF40" s="887" t="str">
        <f t="shared" si="19"/>
        <v/>
      </c>
      <c r="AG40" s="888" t="str">
        <f t="shared" si="20"/>
        <v/>
      </c>
      <c r="AH40" s="888" t="str">
        <f t="shared" si="21"/>
        <v/>
      </c>
      <c r="AI40" s="888" t="str">
        <f t="shared" si="22"/>
        <v/>
      </c>
      <c r="AJ40" s="888" t="str">
        <f t="shared" si="23"/>
        <v/>
      </c>
      <c r="AK40" s="888" t="str">
        <f t="shared" si="24"/>
        <v/>
      </c>
      <c r="AL40" s="888" t="str">
        <f t="shared" si="25"/>
        <v/>
      </c>
      <c r="AM40" s="888" t="str">
        <f t="shared" si="26"/>
        <v/>
      </c>
      <c r="AN40" s="888" t="str">
        <f t="shared" si="27"/>
        <v/>
      </c>
      <c r="AO40" s="888" t="str">
        <f t="shared" si="28"/>
        <v/>
      </c>
      <c r="AP40" s="888" t="str">
        <f t="shared" si="29"/>
        <v/>
      </c>
      <c r="AQ40" s="889" t="str">
        <f t="shared" si="30"/>
        <v/>
      </c>
    </row>
    <row r="41" spans="1:43">
      <c r="A41" s="880" t="str">
        <f t="shared" ref="A41:A51" si="49">IF(B41="","",$A$4)</f>
        <v>2023/03/21</v>
      </c>
      <c r="B41" s="355" t="s">
        <v>553</v>
      </c>
      <c r="C41" s="355" t="str">
        <f t="shared" si="32"/>
        <v xml:space="preserve">sấy khô  烘乾 </v>
      </c>
      <c r="D41" s="355" t="str">
        <f t="shared" si="33"/>
        <v>XD-000A</v>
      </c>
      <c r="E41" s="355" t="str">
        <f t="shared" si="34"/>
        <v>0C</v>
      </c>
      <c r="F41" s="355" t="str">
        <f t="shared" si="35"/>
        <v>170~220℃ 
(195OC)</v>
      </c>
      <c r="G41" s="862">
        <f t="shared" si="36"/>
        <v>0</v>
      </c>
      <c r="H41" s="862">
        <f t="shared" si="37"/>
        <v>0</v>
      </c>
      <c r="I41" s="862">
        <f t="shared" si="38"/>
        <v>0</v>
      </c>
      <c r="J41" s="862">
        <f t="shared" si="39"/>
        <v>0</v>
      </c>
      <c r="K41" s="862">
        <f t="shared" si="40"/>
        <v>0</v>
      </c>
      <c r="L41" s="862">
        <f t="shared" si="41"/>
        <v>0</v>
      </c>
      <c r="M41" s="862">
        <f t="shared" si="42"/>
        <v>0</v>
      </c>
      <c r="N41" s="862">
        <f t="shared" si="43"/>
        <v>0</v>
      </c>
      <c r="O41" s="862">
        <f t="shared" si="44"/>
        <v>0</v>
      </c>
      <c r="P41" s="862">
        <f t="shared" si="45"/>
        <v>0</v>
      </c>
      <c r="Q41" s="862">
        <f t="shared" si="46"/>
        <v>0</v>
      </c>
      <c r="R41" s="862">
        <f t="shared" si="47"/>
        <v>0</v>
      </c>
      <c r="T41" s="869" t="b">
        <f t="shared" si="48"/>
        <v>1</v>
      </c>
      <c r="U41" s="869" t="b">
        <f t="shared" si="48"/>
        <v>1</v>
      </c>
      <c r="V41" s="869" t="b">
        <f t="shared" si="48"/>
        <v>1</v>
      </c>
      <c r="W41" s="869" t="b">
        <f t="shared" si="48"/>
        <v>1</v>
      </c>
      <c r="X41" s="869" t="b">
        <f t="shared" si="48"/>
        <v>1</v>
      </c>
      <c r="Y41" s="869" t="b">
        <f t="shared" si="48"/>
        <v>1</v>
      </c>
      <c r="Z41" s="869" t="b">
        <f t="shared" si="48"/>
        <v>1</v>
      </c>
      <c r="AA41" s="869" t="b">
        <f t="shared" si="48"/>
        <v>1</v>
      </c>
      <c r="AB41" s="869" t="b">
        <f t="shared" si="48"/>
        <v>1</v>
      </c>
      <c r="AC41" s="869" t="b">
        <f t="shared" si="48"/>
        <v>1</v>
      </c>
      <c r="AD41" s="869" t="b">
        <f t="shared" si="48"/>
        <v>1</v>
      </c>
      <c r="AE41" s="869" t="b">
        <f t="shared" si="48"/>
        <v>1</v>
      </c>
      <c r="AF41" s="887" t="str">
        <f t="shared" si="19"/>
        <v/>
      </c>
      <c r="AG41" s="888" t="str">
        <f t="shared" si="20"/>
        <v/>
      </c>
      <c r="AH41" s="888" t="str">
        <f t="shared" si="21"/>
        <v/>
      </c>
      <c r="AI41" s="888" t="str">
        <f t="shared" si="22"/>
        <v/>
      </c>
      <c r="AJ41" s="888" t="str">
        <f t="shared" si="23"/>
        <v/>
      </c>
      <c r="AK41" s="888" t="str">
        <f t="shared" si="24"/>
        <v/>
      </c>
      <c r="AL41" s="888" t="str">
        <f t="shared" si="25"/>
        <v/>
      </c>
      <c r="AM41" s="888" t="str">
        <f t="shared" si="26"/>
        <v/>
      </c>
      <c r="AN41" s="888" t="str">
        <f t="shared" si="27"/>
        <v/>
      </c>
      <c r="AO41" s="888" t="str">
        <f t="shared" si="28"/>
        <v/>
      </c>
      <c r="AP41" s="888" t="str">
        <f t="shared" si="29"/>
        <v/>
      </c>
      <c r="AQ41" s="889" t="str">
        <f t="shared" si="30"/>
        <v/>
      </c>
    </row>
    <row r="42" spans="1:43">
      <c r="A42" s="880" t="str">
        <f t="shared" si="49"/>
        <v>2023/03/21</v>
      </c>
      <c r="B42" s="355" t="s">
        <v>592</v>
      </c>
      <c r="C42" s="355" t="str">
        <f t="shared" si="32"/>
        <v>熱脫脂 Xà bông 1</v>
      </c>
      <c r="D42" s="355" t="str">
        <f t="shared" si="33"/>
        <v>DC-000A</v>
      </c>
      <c r="E42" s="355" t="str">
        <f t="shared" si="34"/>
        <v>0C</v>
      </c>
      <c r="F42" s="355" t="str">
        <f t="shared" si="35"/>
        <v>45~65ºC
(55±8oC)</v>
      </c>
      <c r="G42" s="862">
        <f t="shared" si="36"/>
        <v>0</v>
      </c>
      <c r="H42" s="862">
        <f t="shared" si="37"/>
        <v>0</v>
      </c>
      <c r="I42" s="862">
        <f t="shared" si="38"/>
        <v>0</v>
      </c>
      <c r="J42" s="862">
        <f t="shared" si="39"/>
        <v>0</v>
      </c>
      <c r="K42" s="862">
        <f t="shared" si="40"/>
        <v>0</v>
      </c>
      <c r="L42" s="862">
        <f t="shared" si="41"/>
        <v>0</v>
      </c>
      <c r="M42" s="862">
        <f t="shared" si="42"/>
        <v>0</v>
      </c>
      <c r="N42" s="862">
        <f t="shared" si="43"/>
        <v>0</v>
      </c>
      <c r="O42" s="862">
        <f t="shared" si="44"/>
        <v>0</v>
      </c>
      <c r="P42" s="862">
        <f t="shared" si="45"/>
        <v>0</v>
      </c>
      <c r="Q42" s="862">
        <f t="shared" si="46"/>
        <v>0</v>
      </c>
      <c r="R42" s="862">
        <f t="shared" si="47"/>
        <v>0</v>
      </c>
      <c r="T42" s="869" t="b">
        <f t="shared" si="48"/>
        <v>1</v>
      </c>
      <c r="U42" s="869" t="b">
        <f t="shared" si="48"/>
        <v>1</v>
      </c>
      <c r="V42" s="869" t="b">
        <f t="shared" si="48"/>
        <v>1</v>
      </c>
      <c r="W42" s="869" t="b">
        <f t="shared" si="48"/>
        <v>1</v>
      </c>
      <c r="X42" s="869" t="b">
        <f t="shared" si="48"/>
        <v>1</v>
      </c>
      <c r="Y42" s="869" t="b">
        <f t="shared" si="48"/>
        <v>1</v>
      </c>
      <c r="Z42" s="869" t="b">
        <f t="shared" si="48"/>
        <v>1</v>
      </c>
      <c r="AA42" s="869" t="b">
        <f t="shared" si="48"/>
        <v>1</v>
      </c>
      <c r="AB42" s="869" t="b">
        <f t="shared" si="48"/>
        <v>1</v>
      </c>
      <c r="AC42" s="869" t="b">
        <f t="shared" si="48"/>
        <v>1</v>
      </c>
      <c r="AD42" s="869" t="b">
        <f t="shared" si="48"/>
        <v>1</v>
      </c>
      <c r="AE42" s="869" t="b">
        <f t="shared" si="48"/>
        <v>1</v>
      </c>
      <c r="AF42" s="887" t="str">
        <f t="shared" si="19"/>
        <v/>
      </c>
      <c r="AG42" s="888" t="str">
        <f t="shared" si="20"/>
        <v/>
      </c>
      <c r="AH42" s="888" t="str">
        <f t="shared" si="21"/>
        <v/>
      </c>
      <c r="AI42" s="888" t="str">
        <f t="shared" si="22"/>
        <v/>
      </c>
      <c r="AJ42" s="888" t="str">
        <f t="shared" si="23"/>
        <v/>
      </c>
      <c r="AK42" s="888" t="str">
        <f t="shared" si="24"/>
        <v/>
      </c>
      <c r="AL42" s="888" t="str">
        <f t="shared" si="25"/>
        <v/>
      </c>
      <c r="AM42" s="888" t="str">
        <f t="shared" si="26"/>
        <v/>
      </c>
      <c r="AN42" s="888" t="str">
        <f t="shared" si="27"/>
        <v/>
      </c>
      <c r="AO42" s="888" t="str">
        <f t="shared" si="28"/>
        <v/>
      </c>
      <c r="AP42" s="888" t="str">
        <f t="shared" si="29"/>
        <v/>
      </c>
      <c r="AQ42" s="889" t="str">
        <f t="shared" si="30"/>
        <v/>
      </c>
    </row>
    <row r="43" spans="1:43">
      <c r="A43" s="880" t="str">
        <f t="shared" si="49"/>
        <v>2023/03/21</v>
      </c>
      <c r="B43" s="355" t="s">
        <v>593</v>
      </c>
      <c r="C43" s="355" t="str">
        <f t="shared" si="32"/>
        <v>熱脫脂Xà bôngg 2</v>
      </c>
      <c r="D43" s="355" t="str">
        <f t="shared" si="33"/>
        <v>DC-000A</v>
      </c>
      <c r="E43" s="355" t="str">
        <f t="shared" si="34"/>
        <v>0C</v>
      </c>
      <c r="F43" s="355" t="str">
        <f t="shared" si="35"/>
        <v>45~65ºC
(55±8oC)</v>
      </c>
      <c r="G43" s="862">
        <f t="shared" si="36"/>
        <v>0</v>
      </c>
      <c r="H43" s="862">
        <f t="shared" si="37"/>
        <v>0</v>
      </c>
      <c r="I43" s="862">
        <f t="shared" si="38"/>
        <v>0</v>
      </c>
      <c r="J43" s="862">
        <f t="shared" si="39"/>
        <v>0</v>
      </c>
      <c r="K43" s="862">
        <f t="shared" si="40"/>
        <v>0</v>
      </c>
      <c r="L43" s="862">
        <f t="shared" si="41"/>
        <v>0</v>
      </c>
      <c r="M43" s="862">
        <f t="shared" si="42"/>
        <v>0</v>
      </c>
      <c r="N43" s="862">
        <f t="shared" si="43"/>
        <v>0</v>
      </c>
      <c r="O43" s="862">
        <f t="shared" si="44"/>
        <v>0</v>
      </c>
      <c r="P43" s="862">
        <f t="shared" si="45"/>
        <v>0</v>
      </c>
      <c r="Q43" s="862">
        <f t="shared" si="46"/>
        <v>0</v>
      </c>
      <c r="R43" s="862">
        <f t="shared" si="47"/>
        <v>0</v>
      </c>
      <c r="T43" s="869" t="b">
        <f t="shared" si="48"/>
        <v>1</v>
      </c>
      <c r="U43" s="869" t="b">
        <f t="shared" si="48"/>
        <v>1</v>
      </c>
      <c r="V43" s="869" t="b">
        <f t="shared" si="48"/>
        <v>1</v>
      </c>
      <c r="W43" s="869" t="b">
        <f t="shared" si="48"/>
        <v>1</v>
      </c>
      <c r="X43" s="869" t="b">
        <f t="shared" si="48"/>
        <v>1</v>
      </c>
      <c r="Y43" s="869" t="b">
        <f t="shared" si="48"/>
        <v>1</v>
      </c>
      <c r="Z43" s="869" t="b">
        <f t="shared" si="48"/>
        <v>1</v>
      </c>
      <c r="AA43" s="869" t="b">
        <f t="shared" si="48"/>
        <v>1</v>
      </c>
      <c r="AB43" s="869" t="b">
        <f t="shared" si="48"/>
        <v>1</v>
      </c>
      <c r="AC43" s="869" t="b">
        <f t="shared" si="48"/>
        <v>1</v>
      </c>
      <c r="AD43" s="869" t="b">
        <f t="shared" si="48"/>
        <v>1</v>
      </c>
      <c r="AE43" s="869" t="b">
        <f t="shared" si="48"/>
        <v>1</v>
      </c>
      <c r="AF43" s="887" t="str">
        <f t="shared" si="19"/>
        <v/>
      </c>
      <c r="AG43" s="888" t="str">
        <f t="shared" si="20"/>
        <v/>
      </c>
      <c r="AH43" s="888" t="str">
        <f t="shared" si="21"/>
        <v/>
      </c>
      <c r="AI43" s="888" t="str">
        <f t="shared" si="22"/>
        <v/>
      </c>
      <c r="AJ43" s="888" t="str">
        <f t="shared" si="23"/>
        <v/>
      </c>
      <c r="AK43" s="888" t="str">
        <f t="shared" si="24"/>
        <v/>
      </c>
      <c r="AL43" s="888" t="str">
        <f t="shared" si="25"/>
        <v/>
      </c>
      <c r="AM43" s="888" t="str">
        <f t="shared" si="26"/>
        <v/>
      </c>
      <c r="AN43" s="888" t="str">
        <f t="shared" si="27"/>
        <v/>
      </c>
      <c r="AO43" s="888" t="str">
        <f t="shared" si="28"/>
        <v/>
      </c>
      <c r="AP43" s="888" t="str">
        <f t="shared" si="29"/>
        <v/>
      </c>
      <c r="AQ43" s="889" t="str">
        <f t="shared" si="30"/>
        <v/>
      </c>
    </row>
    <row r="44" spans="1:43">
      <c r="A44" s="880" t="str">
        <f t="shared" si="49"/>
        <v>2023/03/21</v>
      </c>
      <c r="B44" s="355" t="s">
        <v>594</v>
      </c>
      <c r="C44" s="355" t="str">
        <f t="shared" si="32"/>
        <v>陽極處理槽 dương cực Al3+ (18)</v>
      </c>
      <c r="D44" s="355" t="str">
        <f t="shared" si="33"/>
        <v>DC-000A</v>
      </c>
      <c r="E44" s="355" t="str">
        <f t="shared" si="34"/>
        <v>0C</v>
      </c>
      <c r="F44" s="355" t="str">
        <f t="shared" si="35"/>
        <v>18~25ºC
(22±2oC)</v>
      </c>
      <c r="G44" s="862">
        <f t="shared" si="36"/>
        <v>0</v>
      </c>
      <c r="H44" s="862">
        <f t="shared" si="37"/>
        <v>0</v>
      </c>
      <c r="I44" s="862">
        <f t="shared" si="38"/>
        <v>0</v>
      </c>
      <c r="J44" s="862">
        <f t="shared" si="39"/>
        <v>0</v>
      </c>
      <c r="K44" s="862">
        <f t="shared" si="40"/>
        <v>0</v>
      </c>
      <c r="L44" s="862">
        <f t="shared" si="41"/>
        <v>0</v>
      </c>
      <c r="M44" s="862">
        <f t="shared" si="42"/>
        <v>0</v>
      </c>
      <c r="N44" s="862">
        <f t="shared" si="43"/>
        <v>0</v>
      </c>
      <c r="O44" s="862">
        <f t="shared" si="44"/>
        <v>0</v>
      </c>
      <c r="P44" s="862">
        <f t="shared" si="45"/>
        <v>0</v>
      </c>
      <c r="Q44" s="862">
        <f t="shared" si="46"/>
        <v>0</v>
      </c>
      <c r="R44" s="862">
        <f t="shared" si="47"/>
        <v>0</v>
      </c>
      <c r="T44" s="869" t="b">
        <f t="shared" si="48"/>
        <v>1</v>
      </c>
      <c r="U44" s="869" t="b">
        <f t="shared" si="48"/>
        <v>1</v>
      </c>
      <c r="V44" s="869" t="b">
        <f t="shared" si="48"/>
        <v>1</v>
      </c>
      <c r="W44" s="869" t="b">
        <f t="shared" si="48"/>
        <v>1</v>
      </c>
      <c r="X44" s="869" t="b">
        <f t="shared" si="48"/>
        <v>1</v>
      </c>
      <c r="Y44" s="869" t="b">
        <f t="shared" si="48"/>
        <v>1</v>
      </c>
      <c r="Z44" s="869" t="b">
        <f t="shared" si="48"/>
        <v>1</v>
      </c>
      <c r="AA44" s="869" t="b">
        <f t="shared" si="48"/>
        <v>1</v>
      </c>
      <c r="AB44" s="869" t="b">
        <f t="shared" si="48"/>
        <v>1</v>
      </c>
      <c r="AC44" s="869" t="b">
        <f t="shared" si="48"/>
        <v>1</v>
      </c>
      <c r="AD44" s="869" t="b">
        <f t="shared" si="48"/>
        <v>1</v>
      </c>
      <c r="AE44" s="869" t="b">
        <f t="shared" si="48"/>
        <v>1</v>
      </c>
      <c r="AF44" s="887" t="str">
        <f t="shared" si="19"/>
        <v/>
      </c>
      <c r="AG44" s="888" t="str">
        <f t="shared" si="20"/>
        <v/>
      </c>
      <c r="AH44" s="888" t="str">
        <f t="shared" si="21"/>
        <v/>
      </c>
      <c r="AI44" s="888" t="str">
        <f t="shared" si="22"/>
        <v/>
      </c>
      <c r="AJ44" s="888" t="str">
        <f t="shared" si="23"/>
        <v/>
      </c>
      <c r="AK44" s="888" t="str">
        <f t="shared" si="24"/>
        <v/>
      </c>
      <c r="AL44" s="888" t="str">
        <f t="shared" si="25"/>
        <v/>
      </c>
      <c r="AM44" s="888" t="str">
        <f t="shared" si="26"/>
        <v/>
      </c>
      <c r="AN44" s="888" t="str">
        <f t="shared" si="27"/>
        <v/>
      </c>
      <c r="AO44" s="888" t="str">
        <f t="shared" si="28"/>
        <v/>
      </c>
      <c r="AP44" s="888" t="str">
        <f t="shared" si="29"/>
        <v/>
      </c>
      <c r="AQ44" s="889" t="str">
        <f t="shared" si="30"/>
        <v/>
      </c>
    </row>
    <row r="45" spans="1:43">
      <c r="A45" s="880" t="str">
        <f t="shared" si="49"/>
        <v>2023/03/21</v>
      </c>
      <c r="B45" s="355" t="s">
        <v>595</v>
      </c>
      <c r="C45" s="355" t="str">
        <f t="shared" si="32"/>
        <v>陽極處理槽 dương cực Al3+ (19)</v>
      </c>
      <c r="D45" s="355" t="str">
        <f t="shared" si="33"/>
        <v>DC-000A</v>
      </c>
      <c r="E45" s="355" t="str">
        <f t="shared" si="34"/>
        <v>0C</v>
      </c>
      <c r="F45" s="355" t="str">
        <f t="shared" si="35"/>
        <v>18~25ºC
(22±2oC)</v>
      </c>
      <c r="G45" s="862">
        <f t="shared" si="36"/>
        <v>0</v>
      </c>
      <c r="H45" s="862">
        <f t="shared" si="37"/>
        <v>0</v>
      </c>
      <c r="I45" s="862">
        <f t="shared" si="38"/>
        <v>0</v>
      </c>
      <c r="J45" s="862">
        <f t="shared" si="39"/>
        <v>0</v>
      </c>
      <c r="K45" s="862">
        <f t="shared" si="40"/>
        <v>0</v>
      </c>
      <c r="L45" s="862">
        <f t="shared" si="41"/>
        <v>0</v>
      </c>
      <c r="M45" s="862">
        <f t="shared" si="42"/>
        <v>0</v>
      </c>
      <c r="N45" s="862">
        <f t="shared" si="43"/>
        <v>0</v>
      </c>
      <c r="O45" s="862">
        <f t="shared" si="44"/>
        <v>0</v>
      </c>
      <c r="P45" s="862">
        <f t="shared" si="45"/>
        <v>0</v>
      </c>
      <c r="Q45" s="862">
        <f t="shared" si="46"/>
        <v>0</v>
      </c>
      <c r="R45" s="862">
        <f t="shared" si="47"/>
        <v>0</v>
      </c>
      <c r="T45" s="869" t="b">
        <f t="shared" si="48"/>
        <v>1</v>
      </c>
      <c r="U45" s="869" t="b">
        <f t="shared" si="48"/>
        <v>1</v>
      </c>
      <c r="V45" s="869" t="b">
        <f t="shared" si="48"/>
        <v>1</v>
      </c>
      <c r="W45" s="869" t="b">
        <f t="shared" si="48"/>
        <v>1</v>
      </c>
      <c r="X45" s="869" t="b">
        <f t="shared" si="48"/>
        <v>1</v>
      </c>
      <c r="Y45" s="869" t="b">
        <f t="shared" si="48"/>
        <v>1</v>
      </c>
      <c r="Z45" s="869" t="b">
        <f t="shared" si="48"/>
        <v>1</v>
      </c>
      <c r="AA45" s="869" t="b">
        <f t="shared" si="48"/>
        <v>1</v>
      </c>
      <c r="AB45" s="869" t="b">
        <f t="shared" si="48"/>
        <v>1</v>
      </c>
      <c r="AC45" s="869" t="b">
        <f t="shared" si="48"/>
        <v>1</v>
      </c>
      <c r="AD45" s="869" t="b">
        <f t="shared" si="48"/>
        <v>1</v>
      </c>
      <c r="AE45" s="869" t="b">
        <f t="shared" si="48"/>
        <v>1</v>
      </c>
      <c r="AF45" s="887" t="str">
        <f t="shared" si="19"/>
        <v/>
      </c>
      <c r="AG45" s="888" t="str">
        <f t="shared" si="20"/>
        <v/>
      </c>
      <c r="AH45" s="888" t="str">
        <f t="shared" si="21"/>
        <v/>
      </c>
      <c r="AI45" s="888" t="str">
        <f t="shared" si="22"/>
        <v/>
      </c>
      <c r="AJ45" s="888" t="str">
        <f t="shared" si="23"/>
        <v/>
      </c>
      <c r="AK45" s="888" t="str">
        <f t="shared" si="24"/>
        <v/>
      </c>
      <c r="AL45" s="888" t="str">
        <f t="shared" si="25"/>
        <v/>
      </c>
      <c r="AM45" s="888" t="str">
        <f t="shared" si="26"/>
        <v/>
      </c>
      <c r="AN45" s="888" t="str">
        <f t="shared" si="27"/>
        <v/>
      </c>
      <c r="AO45" s="888" t="str">
        <f t="shared" si="28"/>
        <v/>
      </c>
      <c r="AP45" s="888" t="str">
        <f t="shared" si="29"/>
        <v/>
      </c>
      <c r="AQ45" s="889" t="str">
        <f t="shared" si="30"/>
        <v/>
      </c>
    </row>
    <row r="46" spans="1:43">
      <c r="A46" s="880" t="str">
        <f t="shared" si="49"/>
        <v>2023/03/21</v>
      </c>
      <c r="B46" s="355" t="s">
        <v>596</v>
      </c>
      <c r="C46" s="355" t="str">
        <f t="shared" si="32"/>
        <v>陽極處理槽 dương cực Al3+ (20)</v>
      </c>
      <c r="D46" s="355" t="str">
        <f t="shared" si="33"/>
        <v>DC-000A</v>
      </c>
      <c r="E46" s="355" t="str">
        <f t="shared" si="34"/>
        <v>0C</v>
      </c>
      <c r="F46" s="355" t="str">
        <f t="shared" si="35"/>
        <v>18~25ºC
(22±2oC)</v>
      </c>
      <c r="G46" s="862">
        <f t="shared" si="36"/>
        <v>0</v>
      </c>
      <c r="H46" s="862">
        <f t="shared" si="37"/>
        <v>0</v>
      </c>
      <c r="I46" s="862">
        <f t="shared" si="38"/>
        <v>0</v>
      </c>
      <c r="J46" s="862">
        <f t="shared" si="39"/>
        <v>0</v>
      </c>
      <c r="K46" s="862">
        <f t="shared" si="40"/>
        <v>0</v>
      </c>
      <c r="L46" s="862">
        <f t="shared" si="41"/>
        <v>0</v>
      </c>
      <c r="M46" s="862">
        <f t="shared" si="42"/>
        <v>0</v>
      </c>
      <c r="N46" s="862">
        <f t="shared" si="43"/>
        <v>0</v>
      </c>
      <c r="O46" s="862">
        <f t="shared" si="44"/>
        <v>0</v>
      </c>
      <c r="P46" s="862">
        <f t="shared" si="45"/>
        <v>0</v>
      </c>
      <c r="Q46" s="862">
        <f t="shared" si="46"/>
        <v>0</v>
      </c>
      <c r="R46" s="862">
        <f t="shared" si="47"/>
        <v>0</v>
      </c>
      <c r="T46" s="869" t="b">
        <f t="shared" si="48"/>
        <v>1</v>
      </c>
      <c r="U46" s="869" t="b">
        <f t="shared" si="48"/>
        <v>1</v>
      </c>
      <c r="V46" s="869" t="b">
        <f t="shared" si="48"/>
        <v>1</v>
      </c>
      <c r="W46" s="869" t="b">
        <f t="shared" si="48"/>
        <v>1</v>
      </c>
      <c r="X46" s="869" t="b">
        <f t="shared" si="48"/>
        <v>1</v>
      </c>
      <c r="Y46" s="869" t="b">
        <f t="shared" si="48"/>
        <v>1</v>
      </c>
      <c r="Z46" s="869" t="b">
        <f t="shared" si="48"/>
        <v>1</v>
      </c>
      <c r="AA46" s="869" t="b">
        <f t="shared" si="48"/>
        <v>1</v>
      </c>
      <c r="AB46" s="869" t="b">
        <f t="shared" si="48"/>
        <v>1</v>
      </c>
      <c r="AC46" s="869" t="b">
        <f t="shared" si="48"/>
        <v>1</v>
      </c>
      <c r="AD46" s="869" t="b">
        <f t="shared" si="48"/>
        <v>1</v>
      </c>
      <c r="AE46" s="869" t="b">
        <f t="shared" si="48"/>
        <v>1</v>
      </c>
      <c r="AF46" s="887" t="str">
        <f t="shared" si="19"/>
        <v/>
      </c>
      <c r="AG46" s="888" t="str">
        <f t="shared" si="20"/>
        <v/>
      </c>
      <c r="AH46" s="888" t="str">
        <f t="shared" si="21"/>
        <v/>
      </c>
      <c r="AI46" s="888" t="str">
        <f t="shared" si="22"/>
        <v/>
      </c>
      <c r="AJ46" s="888" t="str">
        <f t="shared" si="23"/>
        <v/>
      </c>
      <c r="AK46" s="888" t="str">
        <f t="shared" si="24"/>
        <v/>
      </c>
      <c r="AL46" s="888" t="str">
        <f t="shared" si="25"/>
        <v/>
      </c>
      <c r="AM46" s="888" t="str">
        <f t="shared" si="26"/>
        <v/>
      </c>
      <c r="AN46" s="888" t="str">
        <f t="shared" si="27"/>
        <v/>
      </c>
      <c r="AO46" s="888" t="str">
        <f t="shared" si="28"/>
        <v/>
      </c>
      <c r="AP46" s="888" t="str">
        <f t="shared" si="29"/>
        <v/>
      </c>
      <c r="AQ46" s="889" t="str">
        <f t="shared" si="30"/>
        <v/>
      </c>
    </row>
    <row r="47" spans="1:43">
      <c r="A47" s="880" t="str">
        <f t="shared" si="49"/>
        <v>2023/03/21</v>
      </c>
      <c r="B47" s="355" t="s">
        <v>597</v>
      </c>
      <c r="C47" s="355" t="str">
        <f t="shared" si="32"/>
        <v>封孔 Đóng lỗ  (HK-101A1)</v>
      </c>
      <c r="D47" s="355" t="str">
        <f t="shared" si="33"/>
        <v>DC-000A</v>
      </c>
      <c r="E47" s="355" t="str">
        <f t="shared" si="34"/>
        <v>0C</v>
      </c>
      <c r="F47" s="355" t="str">
        <f t="shared" si="35"/>
        <v>30~60ºC
(45±5oC)</v>
      </c>
      <c r="G47" s="862">
        <f t="shared" si="36"/>
        <v>0</v>
      </c>
      <c r="H47" s="862">
        <f t="shared" si="37"/>
        <v>0</v>
      </c>
      <c r="I47" s="862">
        <f t="shared" si="38"/>
        <v>0</v>
      </c>
      <c r="J47" s="862">
        <f t="shared" si="39"/>
        <v>0</v>
      </c>
      <c r="K47" s="862">
        <f t="shared" si="40"/>
        <v>0</v>
      </c>
      <c r="L47" s="862">
        <f t="shared" si="41"/>
        <v>0</v>
      </c>
      <c r="M47" s="862">
        <f t="shared" si="42"/>
        <v>0</v>
      </c>
      <c r="N47" s="862">
        <f t="shared" si="43"/>
        <v>0</v>
      </c>
      <c r="O47" s="862">
        <f t="shared" si="44"/>
        <v>0</v>
      </c>
      <c r="P47" s="862">
        <f t="shared" si="45"/>
        <v>0</v>
      </c>
      <c r="Q47" s="862">
        <f t="shared" si="46"/>
        <v>0</v>
      </c>
      <c r="R47" s="862">
        <f t="shared" si="47"/>
        <v>0</v>
      </c>
      <c r="T47" s="869" t="b">
        <f t="shared" si="48"/>
        <v>1</v>
      </c>
      <c r="U47" s="869" t="b">
        <f t="shared" si="48"/>
        <v>1</v>
      </c>
      <c r="V47" s="869" t="b">
        <f t="shared" si="48"/>
        <v>1</v>
      </c>
      <c r="W47" s="869" t="b">
        <f t="shared" si="48"/>
        <v>1</v>
      </c>
      <c r="X47" s="869" t="b">
        <f t="shared" si="48"/>
        <v>1</v>
      </c>
      <c r="Y47" s="869" t="b">
        <f t="shared" si="48"/>
        <v>1</v>
      </c>
      <c r="Z47" s="869" t="b">
        <f t="shared" si="48"/>
        <v>1</v>
      </c>
      <c r="AA47" s="869" t="b">
        <f t="shared" si="48"/>
        <v>1</v>
      </c>
      <c r="AB47" s="869" t="b">
        <f t="shared" si="48"/>
        <v>1</v>
      </c>
      <c r="AC47" s="869" t="b">
        <f t="shared" si="48"/>
        <v>1</v>
      </c>
      <c r="AD47" s="869" t="b">
        <f t="shared" si="48"/>
        <v>1</v>
      </c>
      <c r="AE47" s="869" t="b">
        <f t="shared" si="48"/>
        <v>1</v>
      </c>
      <c r="AF47" s="887" t="str">
        <f t="shared" si="19"/>
        <v/>
      </c>
      <c r="AG47" s="888" t="str">
        <f t="shared" si="20"/>
        <v/>
      </c>
      <c r="AH47" s="888" t="str">
        <f t="shared" si="21"/>
        <v/>
      </c>
      <c r="AI47" s="888" t="str">
        <f t="shared" si="22"/>
        <v/>
      </c>
      <c r="AJ47" s="888" t="str">
        <f t="shared" si="23"/>
        <v/>
      </c>
      <c r="AK47" s="888" t="str">
        <f t="shared" si="24"/>
        <v/>
      </c>
      <c r="AL47" s="888" t="str">
        <f t="shared" si="25"/>
        <v/>
      </c>
      <c r="AM47" s="888" t="str">
        <f t="shared" si="26"/>
        <v/>
      </c>
      <c r="AN47" s="888" t="str">
        <f t="shared" si="27"/>
        <v/>
      </c>
      <c r="AO47" s="888" t="str">
        <f t="shared" si="28"/>
        <v/>
      </c>
      <c r="AP47" s="888" t="str">
        <f t="shared" si="29"/>
        <v/>
      </c>
      <c r="AQ47" s="889" t="str">
        <f t="shared" si="30"/>
        <v/>
      </c>
    </row>
    <row r="48" spans="1:43">
      <c r="A48" s="880" t="str">
        <f t="shared" si="49"/>
        <v>2023/03/21</v>
      </c>
      <c r="B48" s="355" t="s">
        <v>599</v>
      </c>
      <c r="C48" s="355" t="str">
        <f t="shared" si="32"/>
        <v xml:space="preserve"> 染色Màu - Black-05</v>
      </c>
      <c r="D48" s="355" t="str">
        <f t="shared" si="33"/>
        <v>DC-000A</v>
      </c>
      <c r="E48" s="355" t="str">
        <f t="shared" si="34"/>
        <v>0C</v>
      </c>
      <c r="F48" s="355" t="str">
        <f t="shared" si="35"/>
        <v>42~47ºC
(44±2oC)</v>
      </c>
      <c r="G48" s="862">
        <f t="shared" si="36"/>
        <v>0</v>
      </c>
      <c r="H48" s="862">
        <f t="shared" si="37"/>
        <v>0</v>
      </c>
      <c r="I48" s="862">
        <f t="shared" si="38"/>
        <v>0</v>
      </c>
      <c r="J48" s="862">
        <f t="shared" si="39"/>
        <v>0</v>
      </c>
      <c r="K48" s="862">
        <f t="shared" si="40"/>
        <v>0</v>
      </c>
      <c r="L48" s="862">
        <f t="shared" si="41"/>
        <v>0</v>
      </c>
      <c r="M48" s="862">
        <f t="shared" si="42"/>
        <v>0</v>
      </c>
      <c r="N48" s="862">
        <f t="shared" si="43"/>
        <v>0</v>
      </c>
      <c r="O48" s="862">
        <f t="shared" si="44"/>
        <v>0</v>
      </c>
      <c r="P48" s="862">
        <f t="shared" si="45"/>
        <v>0</v>
      </c>
      <c r="Q48" s="862">
        <f t="shared" si="46"/>
        <v>0</v>
      </c>
      <c r="R48" s="862">
        <f t="shared" si="47"/>
        <v>0</v>
      </c>
      <c r="T48" s="869" t="b">
        <f t="shared" si="48"/>
        <v>1</v>
      </c>
      <c r="U48" s="869" t="b">
        <f t="shared" si="48"/>
        <v>1</v>
      </c>
      <c r="V48" s="869" t="b">
        <f t="shared" si="48"/>
        <v>1</v>
      </c>
      <c r="W48" s="869" t="b">
        <f t="shared" si="48"/>
        <v>1</v>
      </c>
      <c r="X48" s="869" t="b">
        <f t="shared" si="48"/>
        <v>1</v>
      </c>
      <c r="Y48" s="869" t="b">
        <f t="shared" si="48"/>
        <v>1</v>
      </c>
      <c r="Z48" s="869" t="b">
        <f t="shared" si="48"/>
        <v>1</v>
      </c>
      <c r="AA48" s="869" t="b">
        <f t="shared" si="48"/>
        <v>1</v>
      </c>
      <c r="AB48" s="869" t="b">
        <f t="shared" si="48"/>
        <v>1</v>
      </c>
      <c r="AC48" s="869" t="b">
        <f t="shared" si="48"/>
        <v>1</v>
      </c>
      <c r="AD48" s="869" t="b">
        <f t="shared" si="48"/>
        <v>1</v>
      </c>
      <c r="AE48" s="869" t="b">
        <f t="shared" si="48"/>
        <v>1</v>
      </c>
      <c r="AF48" s="887" t="str">
        <f t="shared" si="19"/>
        <v/>
      </c>
      <c r="AG48" s="888" t="str">
        <f t="shared" si="20"/>
        <v/>
      </c>
      <c r="AH48" s="888" t="str">
        <f t="shared" si="21"/>
        <v/>
      </c>
      <c r="AI48" s="888" t="str">
        <f t="shared" si="22"/>
        <v/>
      </c>
      <c r="AJ48" s="888" t="str">
        <f t="shared" si="23"/>
        <v/>
      </c>
      <c r="AK48" s="888" t="str">
        <f t="shared" si="24"/>
        <v/>
      </c>
      <c r="AL48" s="888" t="str">
        <f t="shared" si="25"/>
        <v/>
      </c>
      <c r="AM48" s="888" t="str">
        <f t="shared" si="26"/>
        <v/>
      </c>
      <c r="AN48" s="888" t="str">
        <f t="shared" si="27"/>
        <v/>
      </c>
      <c r="AO48" s="888" t="str">
        <f t="shared" si="28"/>
        <v/>
      </c>
      <c r="AP48" s="888" t="str">
        <f t="shared" si="29"/>
        <v/>
      </c>
      <c r="AQ48" s="889" t="str">
        <f t="shared" si="30"/>
        <v/>
      </c>
    </row>
    <row r="49" spans="1:43">
      <c r="A49" s="880" t="str">
        <f t="shared" si="49"/>
        <v>2023/03/21</v>
      </c>
      <c r="B49" s="355" t="s">
        <v>600</v>
      </c>
      <c r="C49" s="355" t="str">
        <f t="shared" si="32"/>
        <v xml:space="preserve"> 染色Màu- Gey-07</v>
      </c>
      <c r="D49" s="355" t="str">
        <f t="shared" si="33"/>
        <v>DC-000A</v>
      </c>
      <c r="E49" s="355" t="str">
        <f t="shared" si="34"/>
        <v>0C</v>
      </c>
      <c r="F49" s="355" t="str">
        <f t="shared" si="35"/>
        <v>42~47ºC
(44±2oC)</v>
      </c>
      <c r="G49" s="862">
        <f t="shared" si="36"/>
        <v>0</v>
      </c>
      <c r="H49" s="862">
        <f t="shared" si="37"/>
        <v>0</v>
      </c>
      <c r="I49" s="862">
        <f t="shared" si="38"/>
        <v>0</v>
      </c>
      <c r="J49" s="862">
        <f t="shared" si="39"/>
        <v>0</v>
      </c>
      <c r="K49" s="862">
        <f t="shared" si="40"/>
        <v>0</v>
      </c>
      <c r="L49" s="862">
        <f t="shared" si="41"/>
        <v>0</v>
      </c>
      <c r="M49" s="862">
        <f t="shared" si="42"/>
        <v>0</v>
      </c>
      <c r="N49" s="862">
        <f t="shared" si="43"/>
        <v>0</v>
      </c>
      <c r="O49" s="862">
        <f t="shared" si="44"/>
        <v>0</v>
      </c>
      <c r="P49" s="862">
        <f t="shared" si="45"/>
        <v>0</v>
      </c>
      <c r="Q49" s="862">
        <f t="shared" si="46"/>
        <v>0</v>
      </c>
      <c r="R49" s="862">
        <f t="shared" si="47"/>
        <v>0</v>
      </c>
      <c r="T49" s="869" t="b">
        <f t="shared" si="48"/>
        <v>1</v>
      </c>
      <c r="U49" s="869" t="b">
        <f t="shared" si="48"/>
        <v>1</v>
      </c>
      <c r="V49" s="869" t="b">
        <f t="shared" si="48"/>
        <v>1</v>
      </c>
      <c r="W49" s="869" t="b">
        <f t="shared" si="48"/>
        <v>1</v>
      </c>
      <c r="X49" s="869" t="b">
        <f t="shared" si="48"/>
        <v>1</v>
      </c>
      <c r="Y49" s="869" t="b">
        <f t="shared" si="48"/>
        <v>1</v>
      </c>
      <c r="Z49" s="869" t="b">
        <f t="shared" si="48"/>
        <v>1</v>
      </c>
      <c r="AA49" s="869" t="b">
        <f t="shared" si="48"/>
        <v>1</v>
      </c>
      <c r="AB49" s="869" t="b">
        <f t="shared" si="48"/>
        <v>1</v>
      </c>
      <c r="AC49" s="869" t="b">
        <f t="shared" si="48"/>
        <v>1</v>
      </c>
      <c r="AD49" s="869" t="b">
        <f t="shared" si="48"/>
        <v>1</v>
      </c>
      <c r="AE49" s="869" t="b">
        <f t="shared" si="48"/>
        <v>1</v>
      </c>
      <c r="AF49" s="887" t="str">
        <f t="shared" si="19"/>
        <v/>
      </c>
      <c r="AG49" s="888" t="str">
        <f t="shared" si="20"/>
        <v/>
      </c>
      <c r="AH49" s="888" t="str">
        <f t="shared" si="21"/>
        <v/>
      </c>
      <c r="AI49" s="888" t="str">
        <f t="shared" si="22"/>
        <v/>
      </c>
      <c r="AJ49" s="888" t="str">
        <f t="shared" si="23"/>
        <v/>
      </c>
      <c r="AK49" s="888" t="str">
        <f t="shared" si="24"/>
        <v/>
      </c>
      <c r="AL49" s="888" t="str">
        <f t="shared" si="25"/>
        <v/>
      </c>
      <c r="AM49" s="888" t="str">
        <f t="shared" si="26"/>
        <v/>
      </c>
      <c r="AN49" s="888" t="str">
        <f t="shared" si="27"/>
        <v/>
      </c>
      <c r="AO49" s="888" t="str">
        <f t="shared" si="28"/>
        <v/>
      </c>
      <c r="AP49" s="888" t="str">
        <f t="shared" si="29"/>
        <v/>
      </c>
      <c r="AQ49" s="889" t="str">
        <f t="shared" si="30"/>
        <v/>
      </c>
    </row>
    <row r="50" spans="1:43">
      <c r="A50" s="880" t="str">
        <f t="shared" si="49"/>
        <v>2023/03/21</v>
      </c>
      <c r="B50" s="355" t="s">
        <v>601</v>
      </c>
      <c r="C50" s="355" t="str">
        <f t="shared" si="32"/>
        <v xml:space="preserve"> 染色Màu- Black-08</v>
      </c>
      <c r="D50" s="355" t="str">
        <f t="shared" si="33"/>
        <v>DC-000A</v>
      </c>
      <c r="E50" s="355" t="str">
        <f t="shared" si="34"/>
        <v>0C</v>
      </c>
      <c r="F50" s="355" t="str">
        <f t="shared" si="35"/>
        <v>55~65ºC
(60±3oC)</v>
      </c>
      <c r="G50" s="862">
        <f t="shared" si="36"/>
        <v>0</v>
      </c>
      <c r="H50" s="862">
        <f t="shared" si="37"/>
        <v>0</v>
      </c>
      <c r="I50" s="862">
        <f t="shared" si="38"/>
        <v>0</v>
      </c>
      <c r="J50" s="862">
        <f t="shared" si="39"/>
        <v>0</v>
      </c>
      <c r="K50" s="862">
        <f t="shared" si="40"/>
        <v>0</v>
      </c>
      <c r="L50" s="862">
        <f t="shared" si="41"/>
        <v>0</v>
      </c>
      <c r="M50" s="862">
        <f t="shared" si="42"/>
        <v>0</v>
      </c>
      <c r="N50" s="862">
        <f t="shared" si="43"/>
        <v>0</v>
      </c>
      <c r="O50" s="862">
        <f t="shared" si="44"/>
        <v>0</v>
      </c>
      <c r="P50" s="862">
        <f t="shared" si="45"/>
        <v>0</v>
      </c>
      <c r="Q50" s="862">
        <f t="shared" si="46"/>
        <v>0</v>
      </c>
      <c r="R50" s="862">
        <f t="shared" si="47"/>
        <v>0</v>
      </c>
      <c r="T50" s="869" t="b">
        <f t="shared" si="48"/>
        <v>1</v>
      </c>
      <c r="U50" s="869" t="b">
        <f t="shared" si="48"/>
        <v>1</v>
      </c>
      <c r="V50" s="869" t="b">
        <f t="shared" si="48"/>
        <v>1</v>
      </c>
      <c r="W50" s="869" t="b">
        <f t="shared" si="48"/>
        <v>1</v>
      </c>
      <c r="X50" s="869" t="b">
        <f t="shared" si="48"/>
        <v>1</v>
      </c>
      <c r="Y50" s="869" t="b">
        <f t="shared" si="48"/>
        <v>1</v>
      </c>
      <c r="Z50" s="869" t="b">
        <f t="shared" si="48"/>
        <v>1</v>
      </c>
      <c r="AA50" s="869" t="b">
        <f t="shared" si="48"/>
        <v>1</v>
      </c>
      <c r="AB50" s="869" t="b">
        <f t="shared" si="48"/>
        <v>1</v>
      </c>
      <c r="AC50" s="869" t="b">
        <f t="shared" si="48"/>
        <v>1</v>
      </c>
      <c r="AD50" s="869" t="b">
        <f t="shared" si="48"/>
        <v>1</v>
      </c>
      <c r="AE50" s="869" t="b">
        <f t="shared" si="48"/>
        <v>1</v>
      </c>
      <c r="AF50" s="887" t="str">
        <f t="shared" si="19"/>
        <v/>
      </c>
      <c r="AG50" s="888" t="str">
        <f t="shared" si="20"/>
        <v/>
      </c>
      <c r="AH50" s="888" t="str">
        <f t="shared" si="21"/>
        <v/>
      </c>
      <c r="AI50" s="888" t="str">
        <f t="shared" si="22"/>
        <v/>
      </c>
      <c r="AJ50" s="888" t="str">
        <f t="shared" si="23"/>
        <v/>
      </c>
      <c r="AK50" s="888" t="str">
        <f t="shared" si="24"/>
        <v/>
      </c>
      <c r="AL50" s="888" t="str">
        <f t="shared" si="25"/>
        <v/>
      </c>
      <c r="AM50" s="888" t="str">
        <f t="shared" si="26"/>
        <v/>
      </c>
      <c r="AN50" s="888" t="str">
        <f t="shared" si="27"/>
        <v/>
      </c>
      <c r="AO50" s="888" t="str">
        <f t="shared" si="28"/>
        <v/>
      </c>
      <c r="AP50" s="888" t="str">
        <f t="shared" si="29"/>
        <v/>
      </c>
      <c r="AQ50" s="889" t="str">
        <f t="shared" si="30"/>
        <v/>
      </c>
    </row>
    <row r="51" spans="1:43">
      <c r="A51" s="880" t="str">
        <f t="shared" si="49"/>
        <v>2023/03/21</v>
      </c>
      <c r="B51" s="355" t="s">
        <v>602</v>
      </c>
      <c r="C51" s="355" t="str">
        <f t="shared" si="32"/>
        <v>烘乾 Sấy khô</v>
      </c>
      <c r="D51" s="355" t="str">
        <f t="shared" si="33"/>
        <v>DC-000A</v>
      </c>
      <c r="E51" s="355" t="str">
        <f t="shared" si="34"/>
        <v>0C</v>
      </c>
      <c r="F51" s="355" t="str">
        <f t="shared" si="35"/>
        <v>100~110ºC
(100±5oC)</v>
      </c>
      <c r="G51" s="862" t="str">
        <f t="shared" si="36"/>
        <v>\</v>
      </c>
      <c r="H51" s="862">
        <f t="shared" si="37"/>
        <v>0</v>
      </c>
      <c r="I51" s="862" t="str">
        <f t="shared" si="38"/>
        <v>\</v>
      </c>
      <c r="J51" s="862">
        <f t="shared" si="39"/>
        <v>0</v>
      </c>
      <c r="K51" s="862">
        <f t="shared" si="40"/>
        <v>0</v>
      </c>
      <c r="L51" s="862">
        <f t="shared" si="41"/>
        <v>0</v>
      </c>
      <c r="M51" s="862">
        <f t="shared" si="42"/>
        <v>0</v>
      </c>
      <c r="N51" s="862">
        <f t="shared" si="43"/>
        <v>0</v>
      </c>
      <c r="O51" s="862">
        <f t="shared" si="44"/>
        <v>0</v>
      </c>
      <c r="P51" s="862">
        <f t="shared" si="45"/>
        <v>0</v>
      </c>
      <c r="Q51" s="862">
        <f t="shared" si="46"/>
        <v>0</v>
      </c>
      <c r="R51" s="862">
        <f t="shared" si="47"/>
        <v>0</v>
      </c>
      <c r="T51" s="869" t="b">
        <f t="shared" si="48"/>
        <v>0</v>
      </c>
      <c r="U51" s="869" t="b">
        <f t="shared" si="48"/>
        <v>1</v>
      </c>
      <c r="V51" s="869" t="b">
        <f t="shared" si="48"/>
        <v>0</v>
      </c>
      <c r="W51" s="869" t="b">
        <f t="shared" si="48"/>
        <v>1</v>
      </c>
      <c r="X51" s="869" t="b">
        <f t="shared" si="48"/>
        <v>1</v>
      </c>
      <c r="Y51" s="869" t="b">
        <f t="shared" si="48"/>
        <v>1</v>
      </c>
      <c r="Z51" s="869" t="b">
        <f t="shared" si="48"/>
        <v>1</v>
      </c>
      <c r="AA51" s="869" t="b">
        <f t="shared" si="48"/>
        <v>1</v>
      </c>
      <c r="AB51" s="869" t="b">
        <f t="shared" si="48"/>
        <v>1</v>
      </c>
      <c r="AC51" s="869" t="b">
        <f t="shared" si="48"/>
        <v>1</v>
      </c>
      <c r="AD51" s="869" t="b">
        <f t="shared" si="48"/>
        <v>1</v>
      </c>
      <c r="AE51" s="869" t="b">
        <f t="shared" si="48"/>
        <v>1</v>
      </c>
      <c r="AF51" s="890">
        <f t="shared" si="19"/>
        <v>1</v>
      </c>
      <c r="AG51" s="891" t="str">
        <f t="shared" si="20"/>
        <v/>
      </c>
      <c r="AH51" s="891">
        <f t="shared" si="21"/>
        <v>1</v>
      </c>
      <c r="AI51" s="891" t="str">
        <f t="shared" si="22"/>
        <v/>
      </c>
      <c r="AJ51" s="891" t="str">
        <f t="shared" si="23"/>
        <v/>
      </c>
      <c r="AK51" s="891" t="str">
        <f t="shared" si="24"/>
        <v/>
      </c>
      <c r="AL51" s="891" t="str">
        <f t="shared" si="25"/>
        <v/>
      </c>
      <c r="AM51" s="891" t="str">
        <f t="shared" si="26"/>
        <v/>
      </c>
      <c r="AN51" s="891" t="str">
        <f t="shared" si="27"/>
        <v/>
      </c>
      <c r="AO51" s="891" t="str">
        <f t="shared" si="28"/>
        <v/>
      </c>
      <c r="AP51" s="891" t="str">
        <f t="shared" si="29"/>
        <v/>
      </c>
      <c r="AQ51" s="892" t="str">
        <f t="shared" si="30"/>
        <v/>
      </c>
    </row>
  </sheetData>
  <phoneticPr fontId="6"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21</vt:i4>
      </vt:variant>
    </vt:vector>
  </HeadingPairs>
  <TitlesOfParts>
    <vt:vector size="72" baseType="lpstr">
      <vt:lpstr>PT TAP CHAT</vt:lpstr>
      <vt:lpstr>MENU</vt:lpstr>
      <vt:lpstr>1</vt:lpstr>
      <vt:lpstr>2</vt:lpstr>
      <vt:lpstr>3</vt:lpstr>
      <vt:lpstr>4</vt:lpstr>
      <vt:lpstr>5</vt:lpstr>
      <vt:lpstr>6</vt:lpstr>
      <vt:lpstr>7</vt:lpstr>
      <vt:lpstr>8</vt:lpstr>
      <vt:lpstr>XM.HN</vt:lpstr>
      <vt:lpstr>XM.FILE GOC</vt:lpstr>
      <vt:lpstr>1. XL-1E kh</vt:lpstr>
      <vt:lpstr>2. XL-1F kh</vt:lpstr>
      <vt:lpstr>3.XT-C kh</vt:lpstr>
      <vt:lpstr>4.ZN-NI kh</vt:lpstr>
      <vt:lpstr>1. XL-1E TT</vt:lpstr>
      <vt:lpstr>1. XL-1E TT(CA2)</vt:lpstr>
      <vt:lpstr>2. XL-1F TT </vt:lpstr>
      <vt:lpstr>2. XL-1F TT(CA2)</vt:lpstr>
      <vt:lpstr>3.XT-C TT</vt:lpstr>
      <vt:lpstr>3.XT-C TT(CA2)</vt:lpstr>
      <vt:lpstr>4.ZN-NI tt(CA1)</vt:lpstr>
      <vt:lpstr>4.ZN-NI tt(CA2)</vt:lpstr>
      <vt:lpstr>4.ZN-NI tt</vt:lpstr>
      <vt:lpstr>XM.GUI MAIL</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_XM_XT_THUCTE</vt:lpstr>
      <vt:lpstr>'1. XL-1E kh'!Print_Area</vt:lpstr>
      <vt:lpstr>'1.xi den'!Print_Area</vt:lpstr>
      <vt:lpstr>'1.xi den TT'!Print_Area</vt:lpstr>
      <vt:lpstr>'2. XL-1F kh'!Print_Area</vt:lpstr>
      <vt:lpstr>'2.RL E'!Print_Area</vt:lpstr>
      <vt:lpstr>'2.RL E tt'!Print_Area</vt:lpstr>
      <vt:lpstr>'3.RL G'!Print_Area</vt:lpstr>
      <vt:lpstr>'3.RL G tt'!Print_Area</vt:lpstr>
      <vt:lpstr>'3.XT-C kh'!Print_Area</vt:lpstr>
      <vt:lpstr>'4.RL F'!Print_Area</vt:lpstr>
      <vt:lpstr>'4.RL F tt'!Print_Area</vt:lpstr>
      <vt:lpstr>'4.ZN-NI kh'!Print_Area</vt:lpstr>
      <vt:lpstr>'4.ZN-NI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2023-03-11T00:19:46Z</cp:lastPrinted>
  <dcterms:created xsi:type="dcterms:W3CDTF">2008-06-29T07:33:16Z</dcterms:created>
  <dcterms:modified xsi:type="dcterms:W3CDTF">2023-03-21T01:52:17Z</dcterms:modified>
</cp:coreProperties>
</file>